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otonac-my.sharepoint.com/personal/kwl1y19_soton_ac_uk/Documents/UoS_2023_24/FEEG_DSO/Workbook/DSO-Workbook/"/>
    </mc:Choice>
  </mc:AlternateContent>
  <xr:revisionPtr revIDLastSave="27969" documentId="8_{42FA694E-ED08-47C7-945B-F9D07721EF18}" xr6:coauthVersionLast="47" xr6:coauthVersionMax="47" xr10:uidLastSave="{F8F9702D-571F-4AA4-91B3-73ED879BB550}"/>
  <bookViews>
    <workbookView xWindow="-120" yWindow="-120" windowWidth="29040" windowHeight="16440" tabRatio="805" firstSheet="5" activeTab="11" xr2:uid="{16D0D9C5-2E23-4080-8275-B376E5887C88}"/>
  </bookViews>
  <sheets>
    <sheet name="LineSearch" sheetId="1" r:id="rId1"/>
    <sheet name="Multivariable Optmiser (i)" sheetId="3" r:id="rId2"/>
    <sheet name="Multivariable Optimizer (ii)" sheetId="4" r:id="rId3"/>
    <sheet name="Multivariable Optimizer (iii)" sheetId="6" r:id="rId4"/>
    <sheet name="Complete GA (BONUS)" sheetId="7" r:id="rId5"/>
    <sheet name="Constrained Optimization" sheetId="8" r:id="rId6"/>
    <sheet name="Constraint Optimization (ii)" sheetId="9" r:id="rId7"/>
    <sheet name="Meta-Models RSM" sheetId="10" r:id="rId8"/>
    <sheet name="Meta-Models RSM (ii)" sheetId="11" r:id="rId9"/>
    <sheet name="Pareto Ranking" sheetId="12" r:id="rId10"/>
    <sheet name="MDO Eigenvalue" sheetId="15" r:id="rId11"/>
    <sheet name="MDO Fuzzy Logic" sheetId="13" r:id="rId12"/>
    <sheet name="LineSearchTrueDataPlot" sheetId="2" r:id="rId13"/>
    <sheet name="Misc" sheetId="5" r:id="rId14"/>
  </sheets>
  <definedNames>
    <definedName name="solver_adj" localSheetId="5" hidden="1">'Constrained Optimization'!$C$22:$D$22</definedName>
    <definedName name="solver_adj" localSheetId="6" hidden="1">'Constraint Optimization (ii)'!$C$26:$D$26</definedName>
    <definedName name="solver_adj" localSheetId="11" hidden="1">'MDO Fuzzy Logic'!$C$4</definedName>
    <definedName name="solver_adj" localSheetId="7" hidden="1">'Meta-Models RSM'!$G$15</definedName>
    <definedName name="solver_adj" localSheetId="8" hidden="1">'Meta-Models RSM (ii)'!$G$11</definedName>
    <definedName name="solver_adj" localSheetId="2" hidden="1">'Multivariable Optimizer (ii)'!$B$3:$C$3</definedName>
    <definedName name="solver_adj" localSheetId="1" hidden="1">'Multivariable Optmiser (i)'!$P$56</definedName>
    <definedName name="solver_cvg" localSheetId="5" hidden="1">0.0001</definedName>
    <definedName name="solver_cvg" localSheetId="6" hidden="1">0.0001</definedName>
    <definedName name="solver_cvg" localSheetId="11" hidden="1">0.0001</definedName>
    <definedName name="solver_cvg" localSheetId="7" hidden="1">0.0001</definedName>
    <definedName name="solver_cvg" localSheetId="8" hidden="1">0.0001</definedName>
    <definedName name="solver_cvg" localSheetId="2" hidden="1">0.0001</definedName>
    <definedName name="solver_cvg" localSheetId="1" hidden="1">0.0001</definedName>
    <definedName name="solver_drv" localSheetId="5" hidden="1">2</definedName>
    <definedName name="solver_drv" localSheetId="6" hidden="1">1</definedName>
    <definedName name="solver_drv" localSheetId="11" hidden="1">1</definedName>
    <definedName name="solver_drv" localSheetId="7" hidden="1">2</definedName>
    <definedName name="solver_drv" localSheetId="8" hidden="1">1</definedName>
    <definedName name="solver_drv" localSheetId="2" hidden="1">1</definedName>
    <definedName name="solver_drv" localSheetId="1" hidden="1">1</definedName>
    <definedName name="solver_eng" localSheetId="5" hidden="1">1</definedName>
    <definedName name="solver_eng" localSheetId="6" hidden="1">1</definedName>
    <definedName name="solver_eng" localSheetId="11" hidden="1">1</definedName>
    <definedName name="solver_eng" localSheetId="7" hidden="1">1</definedName>
    <definedName name="solver_eng" localSheetId="8" hidden="1">1</definedName>
    <definedName name="solver_eng" localSheetId="2" hidden="1">1</definedName>
    <definedName name="solver_eng" localSheetId="1" hidden="1">1</definedName>
    <definedName name="solver_est" localSheetId="5" hidden="1">1</definedName>
    <definedName name="solver_est" localSheetId="6" hidden="1">1</definedName>
    <definedName name="solver_est" localSheetId="11" hidden="1">1</definedName>
    <definedName name="solver_est" localSheetId="7" hidden="1">1</definedName>
    <definedName name="solver_est" localSheetId="8" hidden="1">1</definedName>
    <definedName name="solver_est" localSheetId="2" hidden="1">1</definedName>
    <definedName name="solver_est" localSheetId="1" hidden="1">1</definedName>
    <definedName name="solver_itr" localSheetId="5" hidden="1">2147483647</definedName>
    <definedName name="solver_itr" localSheetId="6" hidden="1">2147483647</definedName>
    <definedName name="solver_itr" localSheetId="11" hidden="1">2147483647</definedName>
    <definedName name="solver_itr" localSheetId="7" hidden="1">2147483647</definedName>
    <definedName name="solver_itr" localSheetId="8" hidden="1">2147483647</definedName>
    <definedName name="solver_itr" localSheetId="2" hidden="1">2147483647</definedName>
    <definedName name="solver_itr" localSheetId="1" hidden="1">2147483647</definedName>
    <definedName name="solver_lhs1" localSheetId="5" hidden="1">'Constrained Optimization'!$G$22</definedName>
    <definedName name="solver_lhs1" localSheetId="6" hidden="1">'Constraint Optimization (ii)'!$F$26</definedName>
    <definedName name="solver_lhs1" localSheetId="11" hidden="1">'MDO Fuzzy Logic'!$B$5</definedName>
    <definedName name="solver_lhs2" localSheetId="5" hidden="1">'Constrained Optimization'!$I$11</definedName>
    <definedName name="solver_lhs2" localSheetId="11" hidden="1">'MDO Fuzzy Logic'!$B$6</definedName>
    <definedName name="solver_lhs3" localSheetId="5" hidden="1">'Constrained Optimization'!$I$11</definedName>
    <definedName name="solver_mip" localSheetId="5" hidden="1">2147483647</definedName>
    <definedName name="solver_mip" localSheetId="6" hidden="1">2147483647</definedName>
    <definedName name="solver_mip" localSheetId="11" hidden="1">2147483647</definedName>
    <definedName name="solver_mip" localSheetId="7" hidden="1">2147483647</definedName>
    <definedName name="solver_mip" localSheetId="8" hidden="1">2147483647</definedName>
    <definedName name="solver_mip" localSheetId="2" hidden="1">2147483647</definedName>
    <definedName name="solver_mip" localSheetId="1" hidden="1">2147483647</definedName>
    <definedName name="solver_mni" localSheetId="5" hidden="1">30</definedName>
    <definedName name="solver_mni" localSheetId="6" hidden="1">30</definedName>
    <definedName name="solver_mni" localSheetId="11" hidden="1">30</definedName>
    <definedName name="solver_mni" localSheetId="7" hidden="1">30</definedName>
    <definedName name="solver_mni" localSheetId="8" hidden="1">30</definedName>
    <definedName name="solver_mni" localSheetId="2" hidden="1">30</definedName>
    <definedName name="solver_mni" localSheetId="1" hidden="1">30</definedName>
    <definedName name="solver_mrt" localSheetId="5" hidden="1">0.075</definedName>
    <definedName name="solver_mrt" localSheetId="6" hidden="1">0.075</definedName>
    <definedName name="solver_mrt" localSheetId="11" hidden="1">0.075</definedName>
    <definedName name="solver_mrt" localSheetId="7" hidden="1">0.075</definedName>
    <definedName name="solver_mrt" localSheetId="8" hidden="1">0.075</definedName>
    <definedName name="solver_mrt" localSheetId="2" hidden="1">0.075</definedName>
    <definedName name="solver_mrt" localSheetId="1" hidden="1">0.075</definedName>
    <definedName name="solver_msl" localSheetId="5" hidden="1">2</definedName>
    <definedName name="solver_msl" localSheetId="6" hidden="1">2</definedName>
    <definedName name="solver_msl" localSheetId="11" hidden="1">2</definedName>
    <definedName name="solver_msl" localSheetId="7" hidden="1">2</definedName>
    <definedName name="solver_msl" localSheetId="8" hidden="1">2</definedName>
    <definedName name="solver_msl" localSheetId="2" hidden="1">2</definedName>
    <definedName name="solver_msl" localSheetId="1" hidden="1">2</definedName>
    <definedName name="solver_neg" localSheetId="5" hidden="1">1</definedName>
    <definedName name="solver_neg" localSheetId="6" hidden="1">1</definedName>
    <definedName name="solver_neg" localSheetId="11" hidden="1">2</definedName>
    <definedName name="solver_neg" localSheetId="7" hidden="1">1</definedName>
    <definedName name="solver_neg" localSheetId="8" hidden="1">1</definedName>
    <definedName name="solver_neg" localSheetId="2" hidden="1">2</definedName>
    <definedName name="solver_neg" localSheetId="1" hidden="1">2</definedName>
    <definedName name="solver_nod" localSheetId="5" hidden="1">2147483647</definedName>
    <definedName name="solver_nod" localSheetId="6" hidden="1">2147483647</definedName>
    <definedName name="solver_nod" localSheetId="11" hidden="1">2147483647</definedName>
    <definedName name="solver_nod" localSheetId="7" hidden="1">2147483647</definedName>
    <definedName name="solver_nod" localSheetId="8" hidden="1">2147483647</definedName>
    <definedName name="solver_nod" localSheetId="2" hidden="1">2147483647</definedName>
    <definedName name="solver_nod" localSheetId="1" hidden="1">2147483647</definedName>
    <definedName name="solver_num" localSheetId="5" hidden="1">1</definedName>
    <definedName name="solver_num" localSheetId="6" hidden="1">1</definedName>
    <definedName name="solver_num" localSheetId="11" hidden="1">2</definedName>
    <definedName name="solver_num" localSheetId="7" hidden="1">0</definedName>
    <definedName name="solver_num" localSheetId="8" hidden="1">0</definedName>
    <definedName name="solver_num" localSheetId="2" hidden="1">0</definedName>
    <definedName name="solver_num" localSheetId="1" hidden="1">0</definedName>
    <definedName name="solver_nwt" localSheetId="5" hidden="1">1</definedName>
    <definedName name="solver_nwt" localSheetId="6" hidden="1">1</definedName>
    <definedName name="solver_nwt" localSheetId="11" hidden="1">1</definedName>
    <definedName name="solver_nwt" localSheetId="7" hidden="1">1</definedName>
    <definedName name="solver_nwt" localSheetId="8" hidden="1">1</definedName>
    <definedName name="solver_nwt" localSheetId="2" hidden="1">1</definedName>
    <definedName name="solver_nwt" localSheetId="1" hidden="1">1</definedName>
    <definedName name="solver_opt" localSheetId="5" hidden="1">'Constrained Optimization'!$E$22</definedName>
    <definedName name="solver_opt" localSheetId="6" hidden="1">'Constraint Optimization (ii)'!$K$26</definedName>
    <definedName name="solver_opt" localSheetId="11" hidden="1">'MDO Fuzzy Logic'!$C$9</definedName>
    <definedName name="solver_opt" localSheetId="7" hidden="1">'Meta-Models RSM'!$H$15</definedName>
    <definedName name="solver_opt" localSheetId="8" hidden="1">'Meta-Models RSM (ii)'!$H$11</definedName>
    <definedName name="solver_opt" localSheetId="2" hidden="1">'Multivariable Optimizer (ii)'!$D$3</definedName>
    <definedName name="solver_opt" localSheetId="1" hidden="1">'Multivariable Optmiser (i)'!$S$56</definedName>
    <definedName name="solver_pre" localSheetId="5" hidden="1">0.000001</definedName>
    <definedName name="solver_pre" localSheetId="6" hidden="1">0.000001</definedName>
    <definedName name="solver_pre" localSheetId="11" hidden="1">0.000001</definedName>
    <definedName name="solver_pre" localSheetId="7" hidden="1">0.000001</definedName>
    <definedName name="solver_pre" localSheetId="8" hidden="1">0.000001</definedName>
    <definedName name="solver_pre" localSheetId="2" hidden="1">0.000001</definedName>
    <definedName name="solver_pre" localSheetId="1" hidden="1">0.000000000001</definedName>
    <definedName name="solver_rbv" localSheetId="5" hidden="1">2</definedName>
    <definedName name="solver_rbv" localSheetId="6" hidden="1">1</definedName>
    <definedName name="solver_rbv" localSheetId="11" hidden="1">1</definedName>
    <definedName name="solver_rbv" localSheetId="7" hidden="1">2</definedName>
    <definedName name="solver_rbv" localSheetId="8" hidden="1">1</definedName>
    <definedName name="solver_rbv" localSheetId="2" hidden="1">1</definedName>
    <definedName name="solver_rbv" localSheetId="1" hidden="1">1</definedName>
    <definedName name="solver_rel1" localSheetId="5" hidden="1">3</definedName>
    <definedName name="solver_rel1" localSheetId="6" hidden="1">2</definedName>
    <definedName name="solver_rel1" localSheetId="11" hidden="1">1</definedName>
    <definedName name="solver_rel2" localSheetId="5" hidden="1">3</definedName>
    <definedName name="solver_rel2" localSheetId="11" hidden="1">1</definedName>
    <definedName name="solver_rel3" localSheetId="5" hidden="1">3</definedName>
    <definedName name="solver_rhs1" localSheetId="5" hidden="1">'Constrained Optimization'!$E$17</definedName>
    <definedName name="solver_rhs1" localSheetId="6" hidden="1">'Constraint Optimization (ii)'!$D$18</definedName>
    <definedName name="solver_rhs1" localSheetId="11" hidden="1">'MDO Fuzzy Logic'!$F$5</definedName>
    <definedName name="solver_rhs2" localSheetId="5" hidden="1">'Constrained Optimization'!$D$6</definedName>
    <definedName name="solver_rhs2" localSheetId="11" hidden="1">'MDO Fuzzy Logic'!$F$6</definedName>
    <definedName name="solver_rhs3" localSheetId="5" hidden="1">'Constrained Optimization'!$D$6</definedName>
    <definedName name="solver_rlx" localSheetId="5" hidden="1">2</definedName>
    <definedName name="solver_rlx" localSheetId="6" hidden="1">2</definedName>
    <definedName name="solver_rlx" localSheetId="11" hidden="1">2</definedName>
    <definedName name="solver_rlx" localSheetId="7" hidden="1">2</definedName>
    <definedName name="solver_rlx" localSheetId="8" hidden="1">2</definedName>
    <definedName name="solver_rlx" localSheetId="2" hidden="1">2</definedName>
    <definedName name="solver_rlx" localSheetId="1" hidden="1">2</definedName>
    <definedName name="solver_rsd" localSheetId="5" hidden="1">0</definedName>
    <definedName name="solver_rsd" localSheetId="6" hidden="1">0</definedName>
    <definedName name="solver_rsd" localSheetId="11" hidden="1">0</definedName>
    <definedName name="solver_rsd" localSheetId="7" hidden="1">0</definedName>
    <definedName name="solver_rsd" localSheetId="8" hidden="1">0</definedName>
    <definedName name="solver_rsd" localSheetId="2" hidden="1">0</definedName>
    <definedName name="solver_rsd" localSheetId="1" hidden="1">0</definedName>
    <definedName name="solver_scl" localSheetId="5" hidden="1">1</definedName>
    <definedName name="solver_scl" localSheetId="6" hidden="1">1</definedName>
    <definedName name="solver_scl" localSheetId="11" hidden="1">1</definedName>
    <definedName name="solver_scl" localSheetId="7" hidden="1">2</definedName>
    <definedName name="solver_scl" localSheetId="8" hidden="1">1</definedName>
    <definedName name="solver_scl" localSheetId="2" hidden="1">1</definedName>
    <definedName name="solver_scl" localSheetId="1" hidden="1">1</definedName>
    <definedName name="solver_sho" localSheetId="5" hidden="1">2</definedName>
    <definedName name="solver_sho" localSheetId="6" hidden="1">2</definedName>
    <definedName name="solver_sho" localSheetId="11" hidden="1">2</definedName>
    <definedName name="solver_sho" localSheetId="7" hidden="1">2</definedName>
    <definedName name="solver_sho" localSheetId="8" hidden="1">2</definedName>
    <definedName name="solver_sho" localSheetId="2" hidden="1">2</definedName>
    <definedName name="solver_sho" localSheetId="1" hidden="1">2</definedName>
    <definedName name="solver_ssz" localSheetId="5" hidden="1">100</definedName>
    <definedName name="solver_ssz" localSheetId="6" hidden="1">100</definedName>
    <definedName name="solver_ssz" localSheetId="11" hidden="1">100</definedName>
    <definedName name="solver_ssz" localSheetId="7" hidden="1">100</definedName>
    <definedName name="solver_ssz" localSheetId="8" hidden="1">100</definedName>
    <definedName name="solver_ssz" localSheetId="2" hidden="1">100</definedName>
    <definedName name="solver_ssz" localSheetId="1" hidden="1">100</definedName>
    <definedName name="solver_tim" localSheetId="5" hidden="1">2147483647</definedName>
    <definedName name="solver_tim" localSheetId="6" hidden="1">2147483647</definedName>
    <definedName name="solver_tim" localSheetId="11" hidden="1">2147483647</definedName>
    <definedName name="solver_tim" localSheetId="7" hidden="1">2147483647</definedName>
    <definedName name="solver_tim" localSheetId="8" hidden="1">2147483647</definedName>
    <definedName name="solver_tim" localSheetId="2" hidden="1">2147483647</definedName>
    <definedName name="solver_tim" localSheetId="1" hidden="1">2147483647</definedName>
    <definedName name="solver_tol" localSheetId="5" hidden="1">0.01</definedName>
    <definedName name="solver_tol" localSheetId="6" hidden="1">0.01</definedName>
    <definedName name="solver_tol" localSheetId="11" hidden="1">0.01</definedName>
    <definedName name="solver_tol" localSheetId="7" hidden="1">0.01</definedName>
    <definedName name="solver_tol" localSheetId="8" hidden="1">0.01</definedName>
    <definedName name="solver_tol" localSheetId="2" hidden="1">0.01</definedName>
    <definedName name="solver_tol" localSheetId="1" hidden="1">0.01</definedName>
    <definedName name="solver_typ" localSheetId="5" hidden="1">2</definedName>
    <definedName name="solver_typ" localSheetId="6" hidden="1">2</definedName>
    <definedName name="solver_typ" localSheetId="11" hidden="1">2</definedName>
    <definedName name="solver_typ" localSheetId="7" hidden="1">2</definedName>
    <definedName name="solver_typ" localSheetId="8" hidden="1">2</definedName>
    <definedName name="solver_typ" localSheetId="2" hidden="1">2</definedName>
    <definedName name="solver_typ" localSheetId="1" hidden="1">2</definedName>
    <definedName name="solver_val" localSheetId="5" hidden="1">0</definedName>
    <definedName name="solver_val" localSheetId="6" hidden="1">0</definedName>
    <definedName name="solver_val" localSheetId="11" hidden="1">0</definedName>
    <definedName name="solver_val" localSheetId="7" hidden="1">0</definedName>
    <definedName name="solver_val" localSheetId="8" hidden="1">0</definedName>
    <definedName name="solver_val" localSheetId="2" hidden="1">0</definedName>
    <definedName name="solver_val" localSheetId="1" hidden="1">0</definedName>
    <definedName name="solver_ver" localSheetId="5" hidden="1">3</definedName>
    <definedName name="solver_ver" localSheetId="6" hidden="1">3</definedName>
    <definedName name="solver_ver" localSheetId="11" hidden="1">3</definedName>
    <definedName name="solver_ver" localSheetId="7" hidden="1">3</definedName>
    <definedName name="solver_ver" localSheetId="8" hidden="1">3</definedName>
    <definedName name="solver_ver" localSheetId="2" hidden="1">3</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6" i="13" l="1"/>
  <c r="C16" i="13"/>
  <c r="D17" i="13"/>
  <c r="D18" i="13"/>
  <c r="D19" i="13"/>
  <c r="D20" i="13"/>
  <c r="D21" i="13"/>
  <c r="D22" i="13"/>
  <c r="D23" i="13"/>
  <c r="D24" i="13"/>
  <c r="D25" i="13"/>
  <c r="D26" i="13"/>
  <c r="D27" i="13"/>
  <c r="D28" i="13"/>
  <c r="D29" i="13"/>
  <c r="D30" i="13"/>
  <c r="D31" i="13"/>
  <c r="D32" i="13"/>
  <c r="D33" i="13"/>
  <c r="F33" i="13" s="1"/>
  <c r="D34" i="13"/>
  <c r="F34" i="13" s="1"/>
  <c r="D35" i="13"/>
  <c r="F35" i="13" s="1"/>
  <c r="D36" i="13"/>
  <c r="F36" i="13" s="1"/>
  <c r="D37" i="13"/>
  <c r="F37" i="13" s="1"/>
  <c r="D38" i="13"/>
  <c r="F38" i="13" s="1"/>
  <c r="D39" i="13"/>
  <c r="F39" i="13" s="1"/>
  <c r="D40" i="13"/>
  <c r="F40" i="13" s="1"/>
  <c r="D41" i="13"/>
  <c r="F41" i="13" s="1"/>
  <c r="D42" i="13"/>
  <c r="F42" i="13" s="1"/>
  <c r="D43" i="13"/>
  <c r="F43" i="13" s="1"/>
  <c r="D44" i="13"/>
  <c r="F44" i="13" s="1"/>
  <c r="D45" i="13"/>
  <c r="F45" i="13" s="1"/>
  <c r="D46" i="13"/>
  <c r="F46" i="13" s="1"/>
  <c r="D47" i="13"/>
  <c r="F47" i="13" s="1"/>
  <c r="D48" i="13"/>
  <c r="F48" i="13" s="1"/>
  <c r="D49" i="13"/>
  <c r="F49" i="13" s="1"/>
  <c r="D50" i="13"/>
  <c r="F50" i="13" s="1"/>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E43" i="13" s="1"/>
  <c r="G43" i="13" s="1"/>
  <c r="C44" i="13"/>
  <c r="E44" i="13" s="1"/>
  <c r="C45" i="13"/>
  <c r="E45" i="13" s="1"/>
  <c r="C46" i="13"/>
  <c r="E46" i="13" s="1"/>
  <c r="C47" i="13"/>
  <c r="E47" i="13" s="1"/>
  <c r="C48" i="13"/>
  <c r="E48" i="13" s="1"/>
  <c r="C49" i="13"/>
  <c r="E49" i="13" s="1"/>
  <c r="C50" i="13"/>
  <c r="E50" i="13" s="1"/>
  <c r="C2" i="2" a="1"/>
  <c r="C2" i="2" s="1"/>
  <c r="G45" i="13" l="1"/>
  <c r="G47" i="13"/>
  <c r="G44" i="13"/>
  <c r="G48" i="13"/>
  <c r="G49" i="13"/>
  <c r="G50" i="13"/>
  <c r="G46" i="13"/>
  <c r="F16" i="13"/>
  <c r="C11" i="11" l="1" a="1"/>
  <c r="C11" i="11" s="1"/>
  <c r="J6" i="13" a="1"/>
  <c r="J6" i="13" s="1"/>
  <c r="J5" i="13" a="1"/>
  <c r="J5" i="13" s="1"/>
  <c r="B6" i="13"/>
  <c r="B5" i="13"/>
  <c r="C6" i="13"/>
  <c r="C8" i="13" s="1"/>
  <c r="C5" i="13"/>
  <c r="E20" i="1"/>
  <c r="D2" i="2"/>
  <c r="H19" i="1"/>
  <c r="F4" i="12" a="1"/>
  <c r="F4" i="12" s="1"/>
  <c r="E4" i="12" s="1"/>
  <c r="Q11" i="12"/>
  <c r="R11" i="12" s="1" a="1"/>
  <c r="R11" i="12" s="1"/>
  <c r="P11" i="12"/>
  <c r="O11" i="12"/>
  <c r="L11" i="12"/>
  <c r="K11" i="12"/>
  <c r="J11" i="12"/>
  <c r="Q10" i="12"/>
  <c r="R10" i="12" s="1" a="1"/>
  <c r="R10" i="12" s="1"/>
  <c r="P10" i="12"/>
  <c r="O10" i="12"/>
  <c r="L10" i="12"/>
  <c r="K10" i="12"/>
  <c r="J10" i="12"/>
  <c r="Q9" i="12"/>
  <c r="R9" i="12" s="1" a="1"/>
  <c r="R9" i="12" s="1"/>
  <c r="P9" i="12"/>
  <c r="O9" i="12"/>
  <c r="L9" i="12"/>
  <c r="K9" i="12"/>
  <c r="J9" i="12"/>
  <c r="Q8" i="12"/>
  <c r="P8" i="12"/>
  <c r="O8" i="12"/>
  <c r="E9" i="12"/>
  <c r="C10" i="10" a="1"/>
  <c r="C10" i="10" s="1"/>
  <c r="E18" i="3"/>
  <c r="C17" i="4"/>
  <c r="C11" i="4"/>
  <c r="D27" i="4"/>
  <c r="C27" i="4"/>
  <c r="D22" i="4"/>
  <c r="C22" i="4"/>
  <c r="D17" i="4"/>
  <c r="D11" i="4"/>
  <c r="E8" i="4"/>
  <c r="D10" i="4"/>
  <c r="C10" i="4"/>
  <c r="C6" i="4"/>
  <c r="E6" i="4"/>
  <c r="E7" i="4"/>
  <c r="E9" i="4"/>
  <c r="E10" i="4"/>
  <c r="E5" i="4"/>
  <c r="B8" i="13" l="1"/>
  <c r="B7" i="13"/>
  <c r="F31" i="13"/>
  <c r="F17" i="13"/>
  <c r="F26" i="13"/>
  <c r="F19" i="13"/>
  <c r="F22" i="13"/>
  <c r="F27" i="13"/>
  <c r="F21" i="13"/>
  <c r="F23" i="13"/>
  <c r="F28" i="13"/>
  <c r="F25" i="13"/>
  <c r="F29" i="13"/>
  <c r="F30" i="13"/>
  <c r="F24" i="13"/>
  <c r="F32" i="13"/>
  <c r="F18" i="13"/>
  <c r="F20" i="13"/>
  <c r="C7" i="13"/>
  <c r="E16" i="13"/>
  <c r="G16" i="13" s="1"/>
  <c r="E28" i="13"/>
  <c r="E41" i="13"/>
  <c r="G41" i="13" s="1"/>
  <c r="E33" i="13"/>
  <c r="G33" i="13" s="1"/>
  <c r="E23" i="13"/>
  <c r="E37" i="13"/>
  <c r="G37" i="13" s="1"/>
  <c r="E36" i="13"/>
  <c r="G36" i="13" s="1"/>
  <c r="E30" i="13"/>
  <c r="G30" i="13" s="1"/>
  <c r="E39" i="13"/>
  <c r="G39" i="13" s="1"/>
  <c r="E38" i="13"/>
  <c r="G38" i="13" s="1"/>
  <c r="E35" i="13"/>
  <c r="G35" i="13" s="1"/>
  <c r="E25" i="13"/>
  <c r="E18" i="13"/>
  <c r="G18" i="13" s="1"/>
  <c r="E27" i="13"/>
  <c r="G27" i="13" s="1"/>
  <c r="E32" i="13"/>
  <c r="G32" i="13" s="1"/>
  <c r="E31" i="13"/>
  <c r="G31" i="13" s="1"/>
  <c r="E34" i="13"/>
  <c r="G34" i="13" s="1"/>
  <c r="E20" i="13"/>
  <c r="E22" i="13"/>
  <c r="E29" i="13"/>
  <c r="G29" i="13" s="1"/>
  <c r="E26" i="13"/>
  <c r="G26" i="13" s="1"/>
  <c r="E19" i="13"/>
  <c r="E17" i="13"/>
  <c r="G17" i="13" s="1"/>
  <c r="E40" i="13"/>
  <c r="G40" i="13" s="1"/>
  <c r="E24" i="13"/>
  <c r="G24" i="13" s="1"/>
  <c r="E42" i="13"/>
  <c r="G42" i="13" s="1"/>
  <c r="E21" i="13"/>
  <c r="G21" i="13" s="1"/>
  <c r="C9" i="13"/>
  <c r="E6" i="12"/>
  <c r="E7" i="12"/>
  <c r="E8" i="12"/>
  <c r="G8" i="12"/>
  <c r="E5" i="12"/>
  <c r="E10" i="12"/>
  <c r="E11" i="12"/>
  <c r="G9" i="12"/>
  <c r="G10" i="12"/>
  <c r="G11" i="12"/>
  <c r="G5" i="12"/>
  <c r="G6" i="12"/>
  <c r="G7" i="12"/>
  <c r="E11" i="4"/>
  <c r="G19" i="13" l="1"/>
  <c r="G23" i="13"/>
  <c r="G25" i="13"/>
  <c r="G28" i="13"/>
  <c r="G22" i="13"/>
  <c r="G20" i="13"/>
  <c r="B9" i="13"/>
  <c r="G4" i="12"/>
  <c r="H5" i="12" s="1" a="1"/>
  <c r="H5" i="12" s="1"/>
  <c r="H6" i="12" l="1" a="1"/>
  <c r="H6" i="12" s="1"/>
  <c r="H7" i="12" s="1" a="1"/>
  <c r="H7" i="12" s="1"/>
  <c r="H8" i="12" s="1" a="1"/>
  <c r="H8" i="12" s="1"/>
  <c r="H9" i="12" s="1" a="1"/>
  <c r="H9" i="12" s="1"/>
  <c r="H10" i="12" s="1" a="1"/>
  <c r="H10" i="12" s="1"/>
  <c r="H11" i="12" s="1" a="1"/>
  <c r="H11" i="12" s="1"/>
  <c r="E15" i="12" l="1" a="1"/>
  <c r="K8" i="12" l="1"/>
  <c r="J8" i="12"/>
  <c r="L7" i="12"/>
  <c r="L6" i="12"/>
  <c r="K5" i="12"/>
  <c r="L8" i="12"/>
  <c r="E15" i="12"/>
  <c r="J4" i="12" s="1"/>
  <c r="K7" i="12"/>
  <c r="J7" i="12"/>
  <c r="L4" i="12"/>
  <c r="K6" i="12"/>
  <c r="K4" i="12"/>
  <c r="J6" i="12"/>
  <c r="L5" i="12"/>
  <c r="J5" i="12"/>
  <c r="M5" i="12" l="1" a="1"/>
  <c r="M5" i="12" s="1"/>
  <c r="M6" i="12" l="1" a="1"/>
  <c r="M6" i="12" s="1"/>
  <c r="M7" i="12" s="1" a="1"/>
  <c r="M7" i="12" s="1"/>
  <c r="M8" i="12" s="1" a="1"/>
  <c r="M8" i="12" s="1"/>
  <c r="J15" i="12" l="1" a="1"/>
  <c r="J15" i="12" l="1"/>
  <c r="O4" i="12" s="1"/>
  <c r="O6" i="12"/>
  <c r="Q5" i="12"/>
  <c r="Q4" i="12"/>
  <c r="P4" i="12"/>
  <c r="P5" i="12"/>
  <c r="O7" i="12"/>
  <c r="O5" i="12"/>
  <c r="P6" i="12"/>
  <c r="Q7" i="12"/>
  <c r="P7" i="12"/>
  <c r="Q6" i="12"/>
  <c r="R6" i="12" s="1" a="1"/>
  <c r="R6" i="12" s="1"/>
  <c r="R5" i="12" l="1" a="1"/>
  <c r="R5" i="12" s="1"/>
  <c r="R7" i="12" a="1"/>
  <c r="R7" i="12" s="1"/>
  <c r="R8" i="12" a="1"/>
  <c r="R8" i="12" s="1"/>
  <c r="H11" i="11" l="1"/>
  <c r="F11" i="11"/>
  <c r="D3" i="11"/>
  <c r="I15" i="10"/>
  <c r="C15" i="10" a="1"/>
  <c r="C15" i="10" s="1"/>
  <c r="H15" i="10" s="1"/>
  <c r="H10" i="10"/>
  <c r="F15" i="10"/>
  <c r="F10" i="10"/>
  <c r="G35" i="4"/>
  <c r="G47" i="4" s="1"/>
  <c r="E26" i="9"/>
  <c r="F26" i="9"/>
  <c r="G26" i="9" s="1"/>
  <c r="I26" i="9"/>
  <c r="E25" i="9"/>
  <c r="E40" i="3"/>
  <c r="F25" i="9"/>
  <c r="G25" i="9" s="1"/>
  <c r="I25" i="9"/>
  <c r="I24" i="9"/>
  <c r="E24" i="9"/>
  <c r="D23" i="9"/>
  <c r="C23" i="9"/>
  <c r="E23" i="9" s="1"/>
  <c r="H23" i="9"/>
  <c r="J15" i="10" l="1"/>
  <c r="F23" i="9"/>
  <c r="G23" i="9" s="1"/>
  <c r="H24" i="9" s="1"/>
  <c r="H25" i="9" s="1"/>
  <c r="F24" i="9"/>
  <c r="K23" i="9"/>
  <c r="E10" i="9"/>
  <c r="G10" i="9"/>
  <c r="E11" i="9"/>
  <c r="F11" i="9"/>
  <c r="G11" i="9" s="1"/>
  <c r="H10" i="9"/>
  <c r="I10" i="9" s="1"/>
  <c r="F10" i="9"/>
  <c r="G29" i="8"/>
  <c r="D35" i="4"/>
  <c r="H26" i="9" l="1"/>
  <c r="K26" i="9" s="1"/>
  <c r="K25" i="9"/>
  <c r="G24" i="9"/>
  <c r="K24" i="9" s="1"/>
  <c r="I11" i="9"/>
  <c r="D36" i="4"/>
  <c r="H40" i="3"/>
  <c r="M41" i="3"/>
  <c r="Q41" i="3" s="1"/>
  <c r="C42" i="3" s="1"/>
  <c r="Q40" i="3"/>
  <c r="C41" i="3"/>
  <c r="H10" i="3"/>
  <c r="C31" i="8"/>
  <c r="D31" i="8" s="1"/>
  <c r="F30" i="8"/>
  <c r="D30" i="8"/>
  <c r="E30" i="8"/>
  <c r="G30" i="8"/>
  <c r="F29" i="8"/>
  <c r="E29" i="8"/>
  <c r="D29" i="8"/>
  <c r="E21" i="8"/>
  <c r="G22" i="8"/>
  <c r="F22" i="8"/>
  <c r="F21" i="8"/>
  <c r="E22" i="8"/>
  <c r="I11" i="8"/>
  <c r="H11" i="8"/>
  <c r="G11" i="8"/>
  <c r="K11" i="8"/>
  <c r="F11" i="8"/>
  <c r="L11" i="8"/>
  <c r="J11" i="8"/>
  <c r="D14" i="7"/>
  <c r="AA4" i="7" s="1"/>
  <c r="D15" i="7"/>
  <c r="AA5" i="7" s="1"/>
  <c r="D16" i="7"/>
  <c r="AA6" i="7" s="1"/>
  <c r="D17" i="7"/>
  <c r="AA7" i="7" s="1"/>
  <c r="D18" i="7"/>
  <c r="AA8" i="7" s="1"/>
  <c r="D19" i="7"/>
  <c r="AA9" i="7" s="1"/>
  <c r="D20" i="7"/>
  <c r="AA10" i="7" s="1"/>
  <c r="D21" i="7"/>
  <c r="AA11" i="7" s="1"/>
  <c r="D22" i="7"/>
  <c r="AA12" i="7" s="1"/>
  <c r="D13" i="7"/>
  <c r="AA3" i="7" s="1"/>
  <c r="C14" i="7"/>
  <c r="H14" i="7" s="1"/>
  <c r="C15" i="7"/>
  <c r="H15" i="7" s="1"/>
  <c r="C16" i="7"/>
  <c r="Z6" i="7" s="1"/>
  <c r="C17" i="7"/>
  <c r="Z7" i="7" s="1"/>
  <c r="C18" i="7"/>
  <c r="Z8" i="7" s="1"/>
  <c r="C19" i="7"/>
  <c r="Z9" i="7" s="1"/>
  <c r="C20" i="7"/>
  <c r="H20" i="7" s="1"/>
  <c r="C21" i="7"/>
  <c r="Z11" i="7" s="1"/>
  <c r="C22" i="7"/>
  <c r="Z12" i="7" s="1"/>
  <c r="C13" i="7"/>
  <c r="Z3" i="7" s="1"/>
  <c r="B11" i="7"/>
  <c r="AC474" i="7"/>
  <c r="AC473" i="7"/>
  <c r="AC472" i="7"/>
  <c r="AC471" i="7"/>
  <c r="AC470" i="7"/>
  <c r="AC469" i="7"/>
  <c r="AC461" i="7"/>
  <c r="AC460" i="7"/>
  <c r="AC459" i="7"/>
  <c r="AC458" i="7"/>
  <c r="AC457" i="7"/>
  <c r="AC456" i="7"/>
  <c r="AC448" i="7"/>
  <c r="AC447" i="7"/>
  <c r="AC446" i="7"/>
  <c r="AC445" i="7"/>
  <c r="AC444" i="7"/>
  <c r="AC443" i="7"/>
  <c r="AF440" i="7"/>
  <c r="AF465" i="7" s="1"/>
  <c r="AE440" i="7"/>
  <c r="AE465" i="7" s="1"/>
  <c r="AD440" i="7"/>
  <c r="AD452" i="7" s="1"/>
  <c r="Z438" i="7"/>
  <c r="AC431" i="7"/>
  <c r="AC430" i="7"/>
  <c r="AC429" i="7"/>
  <c r="AC428" i="7"/>
  <c r="AC427" i="7"/>
  <c r="AC426" i="7"/>
  <c r="AC418" i="7"/>
  <c r="AC417" i="7"/>
  <c r="AC416" i="7"/>
  <c r="AC415" i="7"/>
  <c r="AC414" i="7"/>
  <c r="AC413" i="7"/>
  <c r="AC405" i="7"/>
  <c r="AC404" i="7"/>
  <c r="AC403" i="7"/>
  <c r="AC402" i="7"/>
  <c r="AC401" i="7"/>
  <c r="AC400" i="7"/>
  <c r="AF397" i="7"/>
  <c r="AF422" i="7" s="1"/>
  <c r="AE397" i="7"/>
  <c r="AE422" i="7" s="1"/>
  <c r="AD397" i="7"/>
  <c r="AD409" i="7" s="1"/>
  <c r="Z395" i="7"/>
  <c r="AC388" i="7"/>
  <c r="AC387" i="7"/>
  <c r="AC386" i="7"/>
  <c r="AC385" i="7"/>
  <c r="AC384" i="7"/>
  <c r="AC383" i="7"/>
  <c r="AC375" i="7"/>
  <c r="AC374" i="7"/>
  <c r="AC373" i="7"/>
  <c r="AC372" i="7"/>
  <c r="AC371" i="7"/>
  <c r="AC370" i="7"/>
  <c r="AC362" i="7"/>
  <c r="AC361" i="7"/>
  <c r="AC360" i="7"/>
  <c r="AC359" i="7"/>
  <c r="AC358" i="7"/>
  <c r="AC357" i="7"/>
  <c r="AF354" i="7"/>
  <c r="AF379" i="7" s="1"/>
  <c r="AE354" i="7"/>
  <c r="AE379" i="7" s="1"/>
  <c r="AD354" i="7"/>
  <c r="AD366" i="7" s="1"/>
  <c r="Z352" i="7"/>
  <c r="AC345" i="7"/>
  <c r="AC344" i="7"/>
  <c r="AC343" i="7"/>
  <c r="AC342" i="7"/>
  <c r="AC341" i="7"/>
  <c r="AC340" i="7"/>
  <c r="AC332" i="7"/>
  <c r="AC331" i="7"/>
  <c r="AC330" i="7"/>
  <c r="AC329" i="7"/>
  <c r="AC328" i="7"/>
  <c r="AC327" i="7"/>
  <c r="AC319" i="7"/>
  <c r="AC318" i="7"/>
  <c r="AC317" i="7"/>
  <c r="AC316" i="7"/>
  <c r="AC315" i="7"/>
  <c r="AC314" i="7"/>
  <c r="AF311" i="7"/>
  <c r="AF336" i="7" s="1"/>
  <c r="AE311" i="7"/>
  <c r="AE336" i="7" s="1"/>
  <c r="AD311" i="7"/>
  <c r="AD323" i="7" s="1"/>
  <c r="Z309" i="7"/>
  <c r="AC302" i="7"/>
  <c r="AC301" i="7"/>
  <c r="AC300" i="7"/>
  <c r="AC299" i="7"/>
  <c r="AC298" i="7"/>
  <c r="AC297" i="7"/>
  <c r="AC289" i="7"/>
  <c r="AC288" i="7"/>
  <c r="AC287" i="7"/>
  <c r="AC286" i="7"/>
  <c r="AC285" i="7"/>
  <c r="AC284" i="7"/>
  <c r="AC276" i="7"/>
  <c r="AC275" i="7"/>
  <c r="AC274" i="7"/>
  <c r="AC273" i="7"/>
  <c r="AC272" i="7"/>
  <c r="AC271" i="7"/>
  <c r="AF268" i="7"/>
  <c r="AF293" i="7" s="1"/>
  <c r="AE268" i="7"/>
  <c r="AE293" i="7" s="1"/>
  <c r="AD268" i="7"/>
  <c r="AD280" i="7" s="1"/>
  <c r="Z266" i="7"/>
  <c r="AC259" i="7"/>
  <c r="AC258" i="7"/>
  <c r="AC257" i="7"/>
  <c r="AC256" i="7"/>
  <c r="AC255" i="7"/>
  <c r="AC254" i="7"/>
  <c r="AC246" i="7"/>
  <c r="AC245" i="7"/>
  <c r="AC244" i="7"/>
  <c r="AC243" i="7"/>
  <c r="AC242" i="7"/>
  <c r="AC241" i="7"/>
  <c r="AC233" i="7"/>
  <c r="AC232" i="7"/>
  <c r="AC231" i="7"/>
  <c r="AC230" i="7"/>
  <c r="AC229" i="7"/>
  <c r="AC228" i="7"/>
  <c r="AF225" i="7"/>
  <c r="AF250" i="7" s="1"/>
  <c r="AE225" i="7"/>
  <c r="AE250" i="7" s="1"/>
  <c r="AD225" i="7"/>
  <c r="AD237" i="7" s="1"/>
  <c r="Z223" i="7"/>
  <c r="AC216" i="7"/>
  <c r="AC215" i="7"/>
  <c r="AC214" i="7"/>
  <c r="AC213" i="7"/>
  <c r="AC212" i="7"/>
  <c r="AC211" i="7"/>
  <c r="AC203" i="7"/>
  <c r="AC202" i="7"/>
  <c r="AC201" i="7"/>
  <c r="AC200" i="7"/>
  <c r="AC199" i="7"/>
  <c r="AC198" i="7"/>
  <c r="AC190" i="7"/>
  <c r="AC189" i="7"/>
  <c r="AC188" i="7"/>
  <c r="AC187" i="7"/>
  <c r="AC186" i="7"/>
  <c r="AC185" i="7"/>
  <c r="AF182" i="7"/>
  <c r="AF207" i="7" s="1"/>
  <c r="AE182" i="7"/>
  <c r="AE207" i="7" s="1"/>
  <c r="AD182" i="7"/>
  <c r="AD194" i="7" s="1"/>
  <c r="Z180" i="7"/>
  <c r="AC173" i="7"/>
  <c r="AC172" i="7"/>
  <c r="AC171" i="7"/>
  <c r="AC170" i="7"/>
  <c r="AC169" i="7"/>
  <c r="AC168" i="7"/>
  <c r="AC160" i="7"/>
  <c r="AC159" i="7"/>
  <c r="AC158" i="7"/>
  <c r="AC157" i="7"/>
  <c r="AC156" i="7"/>
  <c r="AC155" i="7"/>
  <c r="AC147" i="7"/>
  <c r="AC146" i="7"/>
  <c r="AC145" i="7"/>
  <c r="AC144" i="7"/>
  <c r="AC143" i="7"/>
  <c r="AC142" i="7"/>
  <c r="AF139" i="7"/>
  <c r="AF164" i="7" s="1"/>
  <c r="AE139" i="7"/>
  <c r="AE164" i="7" s="1"/>
  <c r="AD139" i="7"/>
  <c r="AD151" i="7" s="1"/>
  <c r="Z137" i="7"/>
  <c r="AC130" i="7"/>
  <c r="AC129" i="7"/>
  <c r="AC128" i="7"/>
  <c r="AC127" i="7"/>
  <c r="AC126" i="7"/>
  <c r="AC125" i="7"/>
  <c r="AC117" i="7"/>
  <c r="AC116" i="7"/>
  <c r="AC115" i="7"/>
  <c r="AC114" i="7"/>
  <c r="AC113" i="7"/>
  <c r="AC112" i="7"/>
  <c r="AC104" i="7"/>
  <c r="AC103" i="7"/>
  <c r="AC102" i="7"/>
  <c r="AC101" i="7"/>
  <c r="AC100" i="7"/>
  <c r="AC99" i="7"/>
  <c r="AF96" i="7"/>
  <c r="AF121" i="7" s="1"/>
  <c r="AE96" i="7"/>
  <c r="AE121" i="7" s="1"/>
  <c r="AD96" i="7"/>
  <c r="AD108" i="7" s="1"/>
  <c r="Z94" i="7"/>
  <c r="AC87" i="7"/>
  <c r="AC86" i="7"/>
  <c r="AC85" i="7"/>
  <c r="AC84" i="7"/>
  <c r="AC83" i="7"/>
  <c r="AC82" i="7"/>
  <c r="AC74" i="7"/>
  <c r="AC73" i="7"/>
  <c r="AC72" i="7"/>
  <c r="AC71" i="7"/>
  <c r="AC70" i="7"/>
  <c r="AC69" i="7"/>
  <c r="AC61" i="7"/>
  <c r="AC60" i="7"/>
  <c r="AC59" i="7"/>
  <c r="AC58" i="7"/>
  <c r="AC57" i="7"/>
  <c r="AC56" i="7"/>
  <c r="AF53" i="7"/>
  <c r="AF78" i="7" s="1"/>
  <c r="AE53" i="7"/>
  <c r="AE78" i="7" s="1"/>
  <c r="AD53" i="7"/>
  <c r="AD65" i="7" s="1"/>
  <c r="Z51" i="7"/>
  <c r="B88" i="7"/>
  <c r="C88" i="7" s="1"/>
  <c r="B87" i="7"/>
  <c r="C87" i="7" s="1"/>
  <c r="B86" i="7"/>
  <c r="C86" i="7" s="1"/>
  <c r="B85" i="7"/>
  <c r="C85" i="7" s="1"/>
  <c r="B84" i="7"/>
  <c r="C84" i="7" s="1"/>
  <c r="B83" i="7"/>
  <c r="C83" i="7" s="1"/>
  <c r="B82" i="7"/>
  <c r="C82" i="7" s="1"/>
  <c r="B81" i="7"/>
  <c r="C81" i="7" s="1"/>
  <c r="B80" i="7"/>
  <c r="C80" i="7" s="1"/>
  <c r="B79" i="7"/>
  <c r="C79" i="7" s="1"/>
  <c r="B51" i="7"/>
  <c r="S474" i="7"/>
  <c r="S473" i="7"/>
  <c r="S472" i="7"/>
  <c r="S471" i="7"/>
  <c r="S470" i="7"/>
  <c r="S469" i="7"/>
  <c r="S461" i="7"/>
  <c r="S460" i="7"/>
  <c r="S459" i="7"/>
  <c r="S458" i="7"/>
  <c r="S457" i="7"/>
  <c r="S456" i="7"/>
  <c r="S448" i="7"/>
  <c r="S447" i="7"/>
  <c r="S446" i="7"/>
  <c r="S445" i="7"/>
  <c r="S444" i="7"/>
  <c r="S443" i="7"/>
  <c r="V440" i="7"/>
  <c r="V465" i="7" s="1"/>
  <c r="U440" i="7"/>
  <c r="U465" i="7" s="1"/>
  <c r="T440" i="7"/>
  <c r="T452" i="7" s="1"/>
  <c r="P438" i="7"/>
  <c r="S431" i="7"/>
  <c r="S430" i="7"/>
  <c r="S429" i="7"/>
  <c r="S428" i="7"/>
  <c r="S427" i="7"/>
  <c r="S426" i="7"/>
  <c r="S418" i="7"/>
  <c r="S417" i="7"/>
  <c r="S416" i="7"/>
  <c r="S415" i="7"/>
  <c r="S414" i="7"/>
  <c r="S413" i="7"/>
  <c r="S405" i="7"/>
  <c r="S404" i="7"/>
  <c r="S403" i="7"/>
  <c r="S402" i="7"/>
  <c r="S401" i="7"/>
  <c r="S400" i="7"/>
  <c r="V397" i="7"/>
  <c r="V422" i="7" s="1"/>
  <c r="U397" i="7"/>
  <c r="U422" i="7" s="1"/>
  <c r="T397" i="7"/>
  <c r="T409" i="7" s="1"/>
  <c r="P395" i="7"/>
  <c r="S388" i="7"/>
  <c r="S387" i="7"/>
  <c r="S386" i="7"/>
  <c r="S385" i="7"/>
  <c r="S384" i="7"/>
  <c r="S383" i="7"/>
  <c r="S375" i="7"/>
  <c r="S374" i="7"/>
  <c r="S373" i="7"/>
  <c r="S372" i="7"/>
  <c r="S371" i="7"/>
  <c r="S370" i="7"/>
  <c r="S362" i="7"/>
  <c r="S361" i="7"/>
  <c r="S360" i="7"/>
  <c r="S359" i="7"/>
  <c r="S358" i="7"/>
  <c r="S357" i="7"/>
  <c r="V354" i="7"/>
  <c r="V379" i="7" s="1"/>
  <c r="U354" i="7"/>
  <c r="U379" i="7" s="1"/>
  <c r="T354" i="7"/>
  <c r="T366" i="7" s="1"/>
  <c r="P352" i="7"/>
  <c r="S345" i="7"/>
  <c r="S344" i="7"/>
  <c r="S343" i="7"/>
  <c r="S342" i="7"/>
  <c r="S341" i="7"/>
  <c r="S340" i="7"/>
  <c r="S332" i="7"/>
  <c r="S331" i="7"/>
  <c r="S330" i="7"/>
  <c r="S329" i="7"/>
  <c r="S328" i="7"/>
  <c r="S327" i="7"/>
  <c r="S319" i="7"/>
  <c r="S318" i="7"/>
  <c r="S317" i="7"/>
  <c r="S316" i="7"/>
  <c r="S315" i="7"/>
  <c r="S314" i="7"/>
  <c r="V311" i="7"/>
  <c r="V336" i="7" s="1"/>
  <c r="U311" i="7"/>
  <c r="U336" i="7" s="1"/>
  <c r="T311" i="7"/>
  <c r="T323" i="7" s="1"/>
  <c r="P309" i="7"/>
  <c r="S302" i="7"/>
  <c r="S301" i="7"/>
  <c r="S300" i="7"/>
  <c r="S299" i="7"/>
  <c r="S298" i="7"/>
  <c r="S297" i="7"/>
  <c r="S289" i="7"/>
  <c r="S288" i="7"/>
  <c r="S287" i="7"/>
  <c r="S286" i="7"/>
  <c r="S285" i="7"/>
  <c r="S284" i="7"/>
  <c r="S276" i="7"/>
  <c r="S275" i="7"/>
  <c r="S274" i="7"/>
  <c r="S273" i="7"/>
  <c r="S272" i="7"/>
  <c r="S271" i="7"/>
  <c r="V268" i="7"/>
  <c r="V293" i="7" s="1"/>
  <c r="U268" i="7"/>
  <c r="U293" i="7" s="1"/>
  <c r="T268" i="7"/>
  <c r="T280" i="7" s="1"/>
  <c r="P266" i="7"/>
  <c r="S259" i="7"/>
  <c r="S258" i="7"/>
  <c r="S257" i="7"/>
  <c r="S256" i="7"/>
  <c r="S255" i="7"/>
  <c r="S254" i="7"/>
  <c r="S246" i="7"/>
  <c r="S245" i="7"/>
  <c r="S244" i="7"/>
  <c r="S243" i="7"/>
  <c r="S242" i="7"/>
  <c r="S241" i="7"/>
  <c r="S233" i="7"/>
  <c r="S232" i="7"/>
  <c r="S231" i="7"/>
  <c r="S230" i="7"/>
  <c r="S229" i="7"/>
  <c r="S228" i="7"/>
  <c r="V225" i="7"/>
  <c r="V250" i="7" s="1"/>
  <c r="U225" i="7"/>
  <c r="U250" i="7" s="1"/>
  <c r="T225" i="7"/>
  <c r="T237" i="7" s="1"/>
  <c r="P223" i="7"/>
  <c r="S216" i="7"/>
  <c r="S215" i="7"/>
  <c r="S214" i="7"/>
  <c r="S213" i="7"/>
  <c r="S212" i="7"/>
  <c r="S211" i="7"/>
  <c r="S203" i="7"/>
  <c r="S202" i="7"/>
  <c r="S201" i="7"/>
  <c r="S200" i="7"/>
  <c r="S199" i="7"/>
  <c r="S198" i="7"/>
  <c r="S190" i="7"/>
  <c r="S189" i="7"/>
  <c r="S188" i="7"/>
  <c r="S187" i="7"/>
  <c r="S186" i="7"/>
  <c r="S185" i="7"/>
  <c r="V182" i="7"/>
  <c r="V207" i="7" s="1"/>
  <c r="U182" i="7"/>
  <c r="U207" i="7" s="1"/>
  <c r="T182" i="7"/>
  <c r="T194" i="7" s="1"/>
  <c r="P180" i="7"/>
  <c r="S173" i="7"/>
  <c r="S172" i="7"/>
  <c r="S171" i="7"/>
  <c r="S170" i="7"/>
  <c r="S169" i="7"/>
  <c r="S168" i="7"/>
  <c r="S160" i="7"/>
  <c r="S159" i="7"/>
  <c r="S158" i="7"/>
  <c r="S157" i="7"/>
  <c r="S156" i="7"/>
  <c r="S155" i="7"/>
  <c r="S147" i="7"/>
  <c r="S146" i="7"/>
  <c r="S145" i="7"/>
  <c r="S144" i="7"/>
  <c r="S143" i="7"/>
  <c r="S142" i="7"/>
  <c r="V139" i="7"/>
  <c r="V164" i="7" s="1"/>
  <c r="U139" i="7"/>
  <c r="U164" i="7" s="1"/>
  <c r="T139" i="7"/>
  <c r="T151" i="7" s="1"/>
  <c r="P137" i="7"/>
  <c r="S130" i="7"/>
  <c r="S129" i="7"/>
  <c r="S128" i="7"/>
  <c r="S127" i="7"/>
  <c r="S126" i="7"/>
  <c r="S125" i="7"/>
  <c r="S117" i="7"/>
  <c r="S116" i="7"/>
  <c r="S115" i="7"/>
  <c r="S114" i="7"/>
  <c r="S113" i="7"/>
  <c r="S112" i="7"/>
  <c r="S104" i="7"/>
  <c r="S103" i="7"/>
  <c r="S102" i="7"/>
  <c r="S101" i="7"/>
  <c r="S100" i="7"/>
  <c r="S99" i="7"/>
  <c r="V96" i="7"/>
  <c r="V121" i="7" s="1"/>
  <c r="U96" i="7"/>
  <c r="U121" i="7" s="1"/>
  <c r="T96" i="7"/>
  <c r="T108" i="7" s="1"/>
  <c r="P94" i="7"/>
  <c r="S87" i="7"/>
  <c r="S86" i="7"/>
  <c r="S85" i="7"/>
  <c r="S84" i="7"/>
  <c r="S83" i="7"/>
  <c r="S82" i="7"/>
  <c r="S74" i="7"/>
  <c r="S73" i="7"/>
  <c r="S72" i="7"/>
  <c r="S71" i="7"/>
  <c r="S70" i="7"/>
  <c r="S69" i="7"/>
  <c r="S61" i="7"/>
  <c r="S60" i="7"/>
  <c r="S59" i="7"/>
  <c r="S58" i="7"/>
  <c r="S57" i="7"/>
  <c r="S56" i="7"/>
  <c r="V53" i="7"/>
  <c r="V78" i="7" s="1"/>
  <c r="U53" i="7"/>
  <c r="U78" i="7" s="1"/>
  <c r="T53" i="7"/>
  <c r="T65" i="7" s="1"/>
  <c r="P51" i="7"/>
  <c r="B48" i="7"/>
  <c r="C48" i="7" s="1"/>
  <c r="B47" i="7"/>
  <c r="C47" i="7" s="1"/>
  <c r="B46" i="7"/>
  <c r="C46" i="7" s="1"/>
  <c r="B45" i="7"/>
  <c r="C45" i="7" s="1"/>
  <c r="B44" i="7"/>
  <c r="C44" i="7" s="1"/>
  <c r="B43" i="7"/>
  <c r="C43" i="7" s="1"/>
  <c r="B42" i="7"/>
  <c r="C42" i="7" s="1"/>
  <c r="B41" i="7"/>
  <c r="C41" i="7" s="1"/>
  <c r="D9" i="7"/>
  <c r="B40" i="7"/>
  <c r="C40" i="7" s="1"/>
  <c r="B39" i="7"/>
  <c r="C39" i="7" s="1"/>
  <c r="C29" i="6"/>
  <c r="D29" i="6" s="1"/>
  <c r="E29" i="6" s="1"/>
  <c r="C28" i="6"/>
  <c r="D2" i="6"/>
  <c r="B13" i="6" s="1"/>
  <c r="E6" i="6" s="1"/>
  <c r="F2" i="6"/>
  <c r="B22" i="6"/>
  <c r="B16" i="6"/>
  <c r="F3" i="6"/>
  <c r="F4" i="6"/>
  <c r="F5" i="6"/>
  <c r="F6" i="6"/>
  <c r="F7" i="6"/>
  <c r="F8" i="6"/>
  <c r="F9" i="6"/>
  <c r="F10" i="6"/>
  <c r="F11" i="6"/>
  <c r="D13" i="6"/>
  <c r="D3" i="6"/>
  <c r="C20" i="6" s="1"/>
  <c r="F20" i="6" s="1"/>
  <c r="D4" i="6"/>
  <c r="D5" i="6"/>
  <c r="C24" i="6" s="1"/>
  <c r="F24" i="6" s="1"/>
  <c r="D6" i="6"/>
  <c r="D7" i="6"/>
  <c r="D8" i="6"/>
  <c r="D9" i="6"/>
  <c r="D10" i="6"/>
  <c r="D11" i="6"/>
  <c r="F69" i="4"/>
  <c r="F68" i="4"/>
  <c r="F67" i="4"/>
  <c r="F66" i="4"/>
  <c r="F65" i="4"/>
  <c r="F64" i="4"/>
  <c r="H35" i="4"/>
  <c r="H60" i="4" s="1"/>
  <c r="I35" i="4"/>
  <c r="I60" i="4" s="1"/>
  <c r="F56" i="4"/>
  <c r="F55" i="4"/>
  <c r="F54" i="4"/>
  <c r="F53" i="4"/>
  <c r="F52" i="4"/>
  <c r="F51" i="4"/>
  <c r="F39" i="4"/>
  <c r="F40" i="4"/>
  <c r="F41" i="4"/>
  <c r="F42" i="4"/>
  <c r="F43" i="4"/>
  <c r="F38" i="4"/>
  <c r="C33" i="4"/>
  <c r="D3" i="4"/>
  <c r="D9" i="4"/>
  <c r="C9" i="4"/>
  <c r="C13" i="4" s="1"/>
  <c r="D8" i="4"/>
  <c r="C8" i="4"/>
  <c r="D7" i="4"/>
  <c r="D6" i="4"/>
  <c r="C7" i="4"/>
  <c r="D7" i="3"/>
  <c r="I52" i="3"/>
  <c r="K52" i="3"/>
  <c r="I53" i="3"/>
  <c r="K53" i="3"/>
  <c r="I54" i="3"/>
  <c r="K54" i="3"/>
  <c r="I55" i="3"/>
  <c r="K55" i="3"/>
  <c r="I56" i="3"/>
  <c r="K56" i="3"/>
  <c r="I57" i="3"/>
  <c r="K57" i="3"/>
  <c r="I58" i="3"/>
  <c r="K58" i="3"/>
  <c r="I59" i="3"/>
  <c r="K59" i="3"/>
  <c r="I51" i="3"/>
  <c r="K51" i="3"/>
  <c r="I42" i="3"/>
  <c r="K42" i="3"/>
  <c r="I43" i="3"/>
  <c r="K43" i="3"/>
  <c r="I44" i="3"/>
  <c r="K44" i="3"/>
  <c r="I45" i="3"/>
  <c r="K45" i="3"/>
  <c r="I46" i="3"/>
  <c r="K46" i="3"/>
  <c r="I47" i="3"/>
  <c r="K47" i="3"/>
  <c r="I48" i="3"/>
  <c r="K48" i="3"/>
  <c r="I49" i="3"/>
  <c r="K49" i="3"/>
  <c r="I50" i="3"/>
  <c r="K50" i="3"/>
  <c r="K41" i="3"/>
  <c r="I41" i="3"/>
  <c r="K40" i="3"/>
  <c r="I40" i="3"/>
  <c r="G40" i="3"/>
  <c r="R40" i="3" s="1"/>
  <c r="D41" i="3" s="1"/>
  <c r="F40" i="3"/>
  <c r="D38" i="4" l="1"/>
  <c r="D39" i="4" s="1"/>
  <c r="F31" i="8"/>
  <c r="E31" i="8"/>
  <c r="G31" i="8" s="1"/>
  <c r="C32" i="8" s="1"/>
  <c r="C30" i="8"/>
  <c r="H18" i="7"/>
  <c r="H19" i="7"/>
  <c r="H22" i="7"/>
  <c r="H17" i="7"/>
  <c r="H21" i="7"/>
  <c r="AB12" i="7"/>
  <c r="AB3" i="7"/>
  <c r="AB11" i="7"/>
  <c r="AB8" i="7"/>
  <c r="AB7" i="7"/>
  <c r="AB6" i="7"/>
  <c r="AB9" i="7"/>
  <c r="Z5" i="7"/>
  <c r="AB5" i="7" s="1"/>
  <c r="Z10" i="7"/>
  <c r="AB10" i="7" s="1"/>
  <c r="Z4" i="7"/>
  <c r="AB4" i="7" s="1"/>
  <c r="E13" i="7"/>
  <c r="E16" i="7"/>
  <c r="E22" i="7"/>
  <c r="E21" i="7"/>
  <c r="H16" i="7"/>
  <c r="E20" i="7"/>
  <c r="E19" i="7"/>
  <c r="E18" i="7"/>
  <c r="E17" i="7"/>
  <c r="E15" i="7"/>
  <c r="E14" i="7"/>
  <c r="H13" i="7"/>
  <c r="C23" i="6"/>
  <c r="F23" i="6" s="1"/>
  <c r="B21" i="6"/>
  <c r="C22" i="6"/>
  <c r="F22" i="6" s="1"/>
  <c r="B20" i="6"/>
  <c r="C21" i="6"/>
  <c r="F21" i="6" s="1"/>
  <c r="B19" i="6"/>
  <c r="B18" i="6"/>
  <c r="C19" i="6"/>
  <c r="F19" i="6" s="1"/>
  <c r="B17" i="6"/>
  <c r="C18" i="6"/>
  <c r="F18" i="6" s="1"/>
  <c r="C17" i="6"/>
  <c r="F17" i="6" s="1"/>
  <c r="B25" i="6"/>
  <c r="C16" i="6"/>
  <c r="F16" i="6" s="1"/>
  <c r="B24" i="6"/>
  <c r="C25" i="6"/>
  <c r="F25" i="6" s="1"/>
  <c r="B23" i="6"/>
  <c r="D28" i="6"/>
  <c r="F28" i="6" s="1"/>
  <c r="E19" i="6"/>
  <c r="E2" i="6"/>
  <c r="E16" i="6"/>
  <c r="G16" i="6" s="1"/>
  <c r="F29" i="6"/>
  <c r="E7" i="6"/>
  <c r="E18" i="6"/>
  <c r="E5" i="6"/>
  <c r="E20" i="6"/>
  <c r="E4" i="6"/>
  <c r="E21" i="6"/>
  <c r="E3" i="6"/>
  <c r="E22" i="6"/>
  <c r="E23" i="6"/>
  <c r="E24" i="6"/>
  <c r="E25" i="6"/>
  <c r="E17" i="6"/>
  <c r="G17" i="6" s="1"/>
  <c r="E10" i="6"/>
  <c r="E9" i="6"/>
  <c r="E11" i="6"/>
  <c r="E8" i="6"/>
  <c r="E36" i="4"/>
  <c r="E38" i="4" s="1"/>
  <c r="C12" i="4"/>
  <c r="C14" i="4"/>
  <c r="F6" i="4"/>
  <c r="G6" i="4" s="1"/>
  <c r="N40" i="3"/>
  <c r="M40" i="3"/>
  <c r="G41" i="3"/>
  <c r="E41" i="3"/>
  <c r="S40" i="3"/>
  <c r="F41" i="3"/>
  <c r="I37" i="3"/>
  <c r="K37" i="3"/>
  <c r="I34" i="3"/>
  <c r="K34" i="3"/>
  <c r="I35" i="3"/>
  <c r="K35" i="3"/>
  <c r="I36" i="3"/>
  <c r="K36" i="3"/>
  <c r="I28" i="3"/>
  <c r="K28" i="3"/>
  <c r="I29" i="3"/>
  <c r="K29" i="3"/>
  <c r="I30" i="3"/>
  <c r="K30" i="3"/>
  <c r="I31" i="3"/>
  <c r="K31" i="3"/>
  <c r="I32" i="3"/>
  <c r="K32" i="3"/>
  <c r="I33" i="3"/>
  <c r="K33" i="3"/>
  <c r="I10" i="3"/>
  <c r="F10" i="3"/>
  <c r="Q10" i="3" s="1"/>
  <c r="G55" i="1"/>
  <c r="F55" i="1"/>
  <c r="E55" i="1"/>
  <c r="I44" i="1"/>
  <c r="G44" i="1"/>
  <c r="E44" i="1"/>
  <c r="G32" i="1"/>
  <c r="G33" i="1"/>
  <c r="E32" i="1"/>
  <c r="I23" i="3"/>
  <c r="K23" i="3"/>
  <c r="I24" i="3"/>
  <c r="K24" i="3"/>
  <c r="I25" i="3"/>
  <c r="K25" i="3"/>
  <c r="I26" i="3"/>
  <c r="K26" i="3"/>
  <c r="I27" i="3"/>
  <c r="K27" i="3"/>
  <c r="I20" i="3"/>
  <c r="K20" i="3"/>
  <c r="I21" i="3"/>
  <c r="K21" i="3"/>
  <c r="I22" i="3"/>
  <c r="K22" i="3"/>
  <c r="F18" i="3"/>
  <c r="G18" i="3"/>
  <c r="R18" i="3" s="1"/>
  <c r="D19" i="3" s="1"/>
  <c r="I18" i="3"/>
  <c r="K18" i="3"/>
  <c r="I19" i="3"/>
  <c r="K19" i="3"/>
  <c r="C15" i="4" l="1"/>
  <c r="D40" i="4"/>
  <c r="D41" i="4"/>
  <c r="F13" i="7"/>
  <c r="D32" i="8"/>
  <c r="E32" i="8"/>
  <c r="G32" i="8" s="1"/>
  <c r="C33" i="8" s="1"/>
  <c r="F32" i="8"/>
  <c r="AH3" i="7" a="1"/>
  <c r="AH3" i="7" s="1"/>
  <c r="AD3" i="7" a="1"/>
  <c r="AD3" i="7" s="1"/>
  <c r="F14" i="7"/>
  <c r="F16" i="7"/>
  <c r="F15" i="7"/>
  <c r="F17" i="7"/>
  <c r="F18" i="7"/>
  <c r="F19" i="7"/>
  <c r="F20" i="7"/>
  <c r="F21" i="7"/>
  <c r="F22" i="7"/>
  <c r="E28" i="6"/>
  <c r="G18" i="6"/>
  <c r="G19" i="6" s="1"/>
  <c r="G20" i="6" s="1"/>
  <c r="G21" i="6" s="1"/>
  <c r="G22" i="6" s="1"/>
  <c r="G23" i="6" s="1"/>
  <c r="G24" i="6" s="1"/>
  <c r="G25" i="6" s="1"/>
  <c r="E51" i="4"/>
  <c r="E64" i="4" s="1"/>
  <c r="E39" i="4"/>
  <c r="E52" i="4" s="1"/>
  <c r="E65" i="4" s="1"/>
  <c r="F9" i="4"/>
  <c r="G9" i="4" s="1"/>
  <c r="F11" i="4"/>
  <c r="G11" i="4" s="1"/>
  <c r="F7" i="4"/>
  <c r="G7" i="4" s="1"/>
  <c r="F8" i="4"/>
  <c r="G8" i="4" s="1"/>
  <c r="H18" i="3"/>
  <c r="H41" i="3"/>
  <c r="Q18" i="3"/>
  <c r="C16" i="4" l="1"/>
  <c r="S18" i="3"/>
  <c r="C19" i="3"/>
  <c r="E33" i="8"/>
  <c r="F33" i="8"/>
  <c r="G33" i="8" s="1"/>
  <c r="C34" i="8" s="1"/>
  <c r="D33" i="8"/>
  <c r="B72" i="7"/>
  <c r="B71" i="7"/>
  <c r="B76" i="7"/>
  <c r="B70" i="7"/>
  <c r="B75" i="7"/>
  <c r="B69" i="7"/>
  <c r="B74" i="7"/>
  <c r="B68" i="7"/>
  <c r="B73" i="7"/>
  <c r="B67" i="7"/>
  <c r="B27" i="7"/>
  <c r="D28" i="7"/>
  <c r="D29" i="7"/>
  <c r="D33" i="7"/>
  <c r="D36" i="7"/>
  <c r="D30" i="7"/>
  <c r="D31" i="7"/>
  <c r="D32" i="7"/>
  <c r="D34" i="7"/>
  <c r="D35" i="7"/>
  <c r="D27" i="7"/>
  <c r="C27" i="7"/>
  <c r="C28" i="7"/>
  <c r="C29" i="7"/>
  <c r="C30" i="7"/>
  <c r="C31" i="7"/>
  <c r="C32" i="7"/>
  <c r="C33" i="7"/>
  <c r="C34" i="7"/>
  <c r="C35" i="7"/>
  <c r="C36" i="7"/>
  <c r="E27" i="7"/>
  <c r="H27" i="7" s="1"/>
  <c r="E28" i="7"/>
  <c r="E29" i="7"/>
  <c r="E30" i="7"/>
  <c r="H30" i="7" s="1"/>
  <c r="E31" i="7"/>
  <c r="H31" i="7" s="1"/>
  <c r="E32" i="7"/>
  <c r="H32" i="7" s="1"/>
  <c r="E33" i="7"/>
  <c r="E34" i="7"/>
  <c r="E35" i="7"/>
  <c r="E36" i="7"/>
  <c r="B30" i="7"/>
  <c r="B32" i="7"/>
  <c r="B31" i="7"/>
  <c r="D52" i="4"/>
  <c r="D65" i="4" s="1"/>
  <c r="D51" i="4"/>
  <c r="D64" i="4" s="1"/>
  <c r="E40" i="4"/>
  <c r="E53" i="4" s="1"/>
  <c r="E66" i="4" s="1"/>
  <c r="D54" i="4"/>
  <c r="D67" i="4" s="1"/>
  <c r="D13" i="4"/>
  <c r="E13" i="4" s="1"/>
  <c r="D12" i="4"/>
  <c r="E12" i="4" s="1"/>
  <c r="D15" i="4"/>
  <c r="E15" i="4" s="1"/>
  <c r="D14" i="4"/>
  <c r="N41" i="3"/>
  <c r="R41" i="3" s="1"/>
  <c r="D42" i="3" s="1"/>
  <c r="E19" i="3"/>
  <c r="G19" i="3"/>
  <c r="R19" i="3" s="1"/>
  <c r="D20" i="3" s="1"/>
  <c r="F19" i="3"/>
  <c r="I15" i="3"/>
  <c r="K15" i="3"/>
  <c r="I16" i="3"/>
  <c r="K16" i="3"/>
  <c r="G10" i="3"/>
  <c r="I12" i="3"/>
  <c r="K12" i="3"/>
  <c r="I13" i="3"/>
  <c r="K13" i="3"/>
  <c r="I14" i="3"/>
  <c r="K14" i="3"/>
  <c r="K11" i="3"/>
  <c r="I11" i="3"/>
  <c r="G11" i="3"/>
  <c r="R11" i="3" s="1"/>
  <c r="F11" i="3"/>
  <c r="Q11" i="3" s="1"/>
  <c r="E11" i="3"/>
  <c r="K10" i="3"/>
  <c r="E10" i="3"/>
  <c r="G59" i="1"/>
  <c r="G60" i="1"/>
  <c r="G56" i="1"/>
  <c r="G57" i="1"/>
  <c r="G58" i="1"/>
  <c r="G61" i="1"/>
  <c r="G62" i="1"/>
  <c r="G63" i="1"/>
  <c r="G64" i="1"/>
  <c r="F56" i="1"/>
  <c r="F57" i="1"/>
  <c r="F58" i="1"/>
  <c r="F59" i="1"/>
  <c r="F60" i="1"/>
  <c r="F61" i="1"/>
  <c r="F62" i="1"/>
  <c r="F63" i="1"/>
  <c r="F64" i="1"/>
  <c r="E56" i="1"/>
  <c r="E57" i="1"/>
  <c r="E58" i="1"/>
  <c r="E59" i="1"/>
  <c r="E60" i="1"/>
  <c r="E61" i="1"/>
  <c r="E62" i="1"/>
  <c r="E63" i="1"/>
  <c r="E64" i="1"/>
  <c r="D57" i="1"/>
  <c r="C57" i="1"/>
  <c r="C58" i="1"/>
  <c r="D58" i="1" s="1"/>
  <c r="C59" i="1" s="1"/>
  <c r="D59" i="1" s="1"/>
  <c r="C60" i="1" s="1"/>
  <c r="D60" i="1" s="1"/>
  <c r="C61" i="1" s="1"/>
  <c r="D61" i="1" s="1"/>
  <c r="C62" i="1" s="1"/>
  <c r="D62" i="1" s="1"/>
  <c r="C63" i="1" s="1"/>
  <c r="D63" i="1" s="1"/>
  <c r="C64" i="1" s="1"/>
  <c r="D64" i="1" s="1"/>
  <c r="C56" i="1"/>
  <c r="D56" i="1" s="1"/>
  <c r="H43" i="1"/>
  <c r="D43" i="1"/>
  <c r="D36" i="1"/>
  <c r="D37" i="1"/>
  <c r="D38" i="1"/>
  <c r="D39" i="1"/>
  <c r="D40" i="1"/>
  <c r="E31" i="1"/>
  <c r="H32" i="1" s="1"/>
  <c r="D33" i="1"/>
  <c r="D34" i="1"/>
  <c r="D35" i="1"/>
  <c r="D32" i="1"/>
  <c r="H31" i="1"/>
  <c r="D31" i="1"/>
  <c r="D16" i="4" l="1"/>
  <c r="E14" i="4"/>
  <c r="F12" i="4"/>
  <c r="G12" i="4" s="1"/>
  <c r="F15" i="4"/>
  <c r="G15" i="4" s="1"/>
  <c r="D53" i="4"/>
  <c r="D66" i="4" s="1"/>
  <c r="D34" i="8"/>
  <c r="E34" i="8"/>
  <c r="G34" i="8" s="1"/>
  <c r="C35" i="8" s="1"/>
  <c r="F34" i="8"/>
  <c r="D42" i="4"/>
  <c r="D55" i="4" s="1"/>
  <c r="D68" i="4" s="1"/>
  <c r="E41" i="4"/>
  <c r="E54" i="4" s="1"/>
  <c r="E67" i="4" s="1"/>
  <c r="S41" i="3"/>
  <c r="R10" i="3"/>
  <c r="E42" i="3"/>
  <c r="G42" i="3"/>
  <c r="F42" i="3"/>
  <c r="H19" i="3"/>
  <c r="Q19" i="3"/>
  <c r="S10" i="3"/>
  <c r="H11" i="3"/>
  <c r="F12" i="3"/>
  <c r="Q12" i="3" s="1"/>
  <c r="E12" i="3"/>
  <c r="G12" i="3"/>
  <c r="R12" i="3" s="1"/>
  <c r="S11" i="3"/>
  <c r="F31" i="1"/>
  <c r="I31" i="1"/>
  <c r="E17" i="4" l="1"/>
  <c r="E16" i="4"/>
  <c r="C18" i="4"/>
  <c r="F35" i="8"/>
  <c r="D35" i="8"/>
  <c r="E35" i="8"/>
  <c r="G35" i="8" s="1"/>
  <c r="C36" i="8" s="1"/>
  <c r="D43" i="4"/>
  <c r="E42" i="4"/>
  <c r="E55" i="4" s="1"/>
  <c r="E68" i="4" s="1"/>
  <c r="F14" i="4"/>
  <c r="G14" i="4" s="1"/>
  <c r="F13" i="4"/>
  <c r="G13" i="4" s="1"/>
  <c r="H42" i="3"/>
  <c r="N42" i="3" s="1"/>
  <c r="R42" i="3" s="1"/>
  <c r="D43" i="3" s="1"/>
  <c r="C20" i="3"/>
  <c r="S19" i="3"/>
  <c r="S12" i="3"/>
  <c r="H12" i="3"/>
  <c r="J31" i="1"/>
  <c r="F32" i="1"/>
  <c r="I32" i="1" s="1"/>
  <c r="H33" i="1"/>
  <c r="L31" i="1"/>
  <c r="K31" i="1"/>
  <c r="M31" i="1" s="1"/>
  <c r="C19" i="4" l="1"/>
  <c r="E43" i="4"/>
  <c r="E56" i="4" s="1"/>
  <c r="E69" i="4" s="1"/>
  <c r="E71" i="4" s="1"/>
  <c r="E73" i="4" s="1"/>
  <c r="D36" i="8"/>
  <c r="E36" i="8"/>
  <c r="F36" i="8"/>
  <c r="G36" i="8" s="1"/>
  <c r="D56" i="4"/>
  <c r="D45" i="4"/>
  <c r="E45" i="4"/>
  <c r="D20" i="4"/>
  <c r="D21" i="4" s="1"/>
  <c r="D19" i="4"/>
  <c r="D18" i="4"/>
  <c r="E18" i="4" s="1"/>
  <c r="F17" i="4"/>
  <c r="G17" i="4" s="1"/>
  <c r="M42" i="3"/>
  <c r="Q42" i="3" s="1"/>
  <c r="S42" i="3" s="1"/>
  <c r="E20" i="3"/>
  <c r="G20" i="3"/>
  <c r="R20" i="3" s="1"/>
  <c r="D21" i="3" s="1"/>
  <c r="F20" i="3"/>
  <c r="E13" i="3"/>
  <c r="G13" i="3"/>
  <c r="R13" i="3" s="1"/>
  <c r="F13" i="3"/>
  <c r="J32" i="1"/>
  <c r="K32" i="1"/>
  <c r="L32" i="1"/>
  <c r="M32" i="1" s="1"/>
  <c r="E33" i="1"/>
  <c r="G19" i="1"/>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6" i="1"/>
  <c r="D5" i="1"/>
  <c r="D7" i="1"/>
  <c r="D12" i="1"/>
  <c r="D13" i="1"/>
  <c r="D14" i="1"/>
  <c r="D15" i="1"/>
  <c r="D10" i="1"/>
  <c r="D11" i="1"/>
  <c r="C19" i="1"/>
  <c r="D8" i="1"/>
  <c r="T20" i="1"/>
  <c r="E43" i="1" s="1"/>
  <c r="D9" i="1"/>
  <c r="D19" i="1" l="1"/>
  <c r="E19" i="1"/>
  <c r="F19" i="1" s="1"/>
  <c r="I19" i="1" s="1"/>
  <c r="E19" i="4"/>
  <c r="E58" i="4"/>
  <c r="E59" i="4" s="1"/>
  <c r="C20" i="4"/>
  <c r="D69" i="4"/>
  <c r="D71" i="4" s="1"/>
  <c r="D73" i="4" s="1"/>
  <c r="D58" i="4"/>
  <c r="D59" i="4" s="1"/>
  <c r="F19" i="4"/>
  <c r="G19" i="4" s="1"/>
  <c r="F18" i="4"/>
  <c r="G18" i="4" s="1"/>
  <c r="C43" i="3"/>
  <c r="E43" i="3" s="1"/>
  <c r="H13" i="3"/>
  <c r="H20" i="3"/>
  <c r="Q20" i="3"/>
  <c r="Q13" i="3"/>
  <c r="H44" i="1"/>
  <c r="F43" i="1"/>
  <c r="I43" i="1" s="1"/>
  <c r="F33" i="1"/>
  <c r="I33" i="1" s="1"/>
  <c r="G34" i="1"/>
  <c r="H34" i="1" s="1"/>
  <c r="K19" i="1"/>
  <c r="G20" i="1" s="1"/>
  <c r="E20" i="4" l="1"/>
  <c r="C21" i="4"/>
  <c r="F20" i="4"/>
  <c r="G20" i="4" s="1"/>
  <c r="F43" i="3"/>
  <c r="G43" i="3"/>
  <c r="C21" i="3"/>
  <c r="S20" i="3"/>
  <c r="S13" i="3"/>
  <c r="M19" i="1"/>
  <c r="N19" i="1"/>
  <c r="O19" i="1" s="1"/>
  <c r="J19" i="1"/>
  <c r="C20" i="1" s="1"/>
  <c r="J33" i="1"/>
  <c r="K33" i="1"/>
  <c r="L33" i="1"/>
  <c r="E34" i="1"/>
  <c r="C44" i="1"/>
  <c r="J43" i="1"/>
  <c r="K43" i="1"/>
  <c r="L43" i="1"/>
  <c r="L19" i="1"/>
  <c r="E21" i="4" l="1"/>
  <c r="E22" i="4"/>
  <c r="D23" i="4"/>
  <c r="D25" i="4"/>
  <c r="H43" i="3"/>
  <c r="M43" i="3" s="1"/>
  <c r="Q43" i="3" s="1"/>
  <c r="C44" i="3" s="1"/>
  <c r="G21" i="3"/>
  <c r="R21" i="3" s="1"/>
  <c r="D22" i="3" s="1"/>
  <c r="E21" i="3"/>
  <c r="F21" i="3"/>
  <c r="G14" i="3"/>
  <c r="R14" i="3" s="1"/>
  <c r="E14" i="3"/>
  <c r="F14" i="3"/>
  <c r="D44" i="1"/>
  <c r="D20" i="1"/>
  <c r="P19" i="1"/>
  <c r="M43" i="1"/>
  <c r="M33" i="1"/>
  <c r="G35" i="1"/>
  <c r="H35" i="1" s="1"/>
  <c r="F34" i="1"/>
  <c r="I34" i="1" s="1"/>
  <c r="H20" i="1"/>
  <c r="M20" i="1"/>
  <c r="F20" i="1"/>
  <c r="N20" i="1"/>
  <c r="O20" i="1" l="1"/>
  <c r="D26" i="4"/>
  <c r="F22" i="4"/>
  <c r="G22" i="4" s="1"/>
  <c r="C23" i="4"/>
  <c r="E23" i="4" s="1"/>
  <c r="D24" i="4"/>
  <c r="N43" i="3"/>
  <c r="R43" i="3" s="1"/>
  <c r="D44" i="3" s="1"/>
  <c r="E44" i="3" s="1"/>
  <c r="Q21" i="3"/>
  <c r="H21" i="3"/>
  <c r="Q14" i="3"/>
  <c r="H14" i="3"/>
  <c r="E35" i="1"/>
  <c r="K34" i="1"/>
  <c r="L34" i="1"/>
  <c r="M34" i="1" s="1"/>
  <c r="J34" i="1"/>
  <c r="Q19" i="1"/>
  <c r="R19" i="1" s="1"/>
  <c r="F44" i="1"/>
  <c r="G45" i="1"/>
  <c r="H45" i="1" s="1"/>
  <c r="L20" i="1"/>
  <c r="J20" i="1"/>
  <c r="C21" i="1" s="1"/>
  <c r="K20" i="1"/>
  <c r="I20" i="1"/>
  <c r="F23" i="4" l="1"/>
  <c r="G23" i="4" s="1"/>
  <c r="C24" i="4"/>
  <c r="E24" i="4" s="1"/>
  <c r="F44" i="3"/>
  <c r="G44" i="3"/>
  <c r="S43" i="3"/>
  <c r="C22" i="3"/>
  <c r="S21" i="3"/>
  <c r="F15" i="3"/>
  <c r="Q15" i="3" s="1"/>
  <c r="S14" i="3"/>
  <c r="E15" i="3"/>
  <c r="G15" i="3"/>
  <c r="R15" i="3" s="1"/>
  <c r="C45" i="1"/>
  <c r="K44" i="1"/>
  <c r="L44" i="1"/>
  <c r="M44" i="1" s="1"/>
  <c r="J44" i="1"/>
  <c r="G21" i="1"/>
  <c r="H21" i="1" s="1"/>
  <c r="G36" i="1"/>
  <c r="H36" i="1" s="1"/>
  <c r="F35" i="1"/>
  <c r="I35" i="1" s="1"/>
  <c r="D21" i="1"/>
  <c r="F24" i="4" l="1"/>
  <c r="G24" i="4" s="1"/>
  <c r="C25" i="4"/>
  <c r="H44" i="3"/>
  <c r="N44" i="3" s="1"/>
  <c r="R44" i="3" s="1"/>
  <c r="D45" i="3" s="1"/>
  <c r="G22" i="3"/>
  <c r="R22" i="3" s="1"/>
  <c r="D23" i="3" s="1"/>
  <c r="E22" i="3"/>
  <c r="F22" i="3"/>
  <c r="S15" i="3"/>
  <c r="H15" i="3"/>
  <c r="E21" i="1"/>
  <c r="P20" i="1" s="1"/>
  <c r="J35" i="1"/>
  <c r="K35" i="1"/>
  <c r="L35" i="1"/>
  <c r="M35" i="1" s="1"/>
  <c r="E36" i="1"/>
  <c r="D45" i="1"/>
  <c r="E45" i="1"/>
  <c r="M21" i="1" l="1"/>
  <c r="N21" i="1"/>
  <c r="F21" i="1"/>
  <c r="Q20" i="1"/>
  <c r="R20" i="1" s="1"/>
  <c r="E25" i="4"/>
  <c r="F25" i="4" s="1"/>
  <c r="G25" i="4" s="1"/>
  <c r="C26" i="4"/>
  <c r="M44" i="3"/>
  <c r="S44" i="3" s="1"/>
  <c r="H22" i="3"/>
  <c r="Q22" i="3"/>
  <c r="S22" i="3" s="1"/>
  <c r="G16" i="3"/>
  <c r="R16" i="3" s="1"/>
  <c r="E16" i="3"/>
  <c r="F16" i="3"/>
  <c r="F36" i="1"/>
  <c r="I36" i="1" s="1"/>
  <c r="G37" i="1"/>
  <c r="H37" i="1" s="1"/>
  <c r="G46" i="1"/>
  <c r="H46" i="1" s="1"/>
  <c r="F45" i="1"/>
  <c r="I45" i="1" s="1"/>
  <c r="K21" i="1"/>
  <c r="G22" i="1" s="1"/>
  <c r="H22" i="1" s="1"/>
  <c r="I21" i="1"/>
  <c r="L21" i="1"/>
  <c r="J21" i="1"/>
  <c r="C22" i="1" s="1"/>
  <c r="O21" i="1" l="1"/>
  <c r="E26" i="4"/>
  <c r="E27" i="4"/>
  <c r="F27" i="4" s="1"/>
  <c r="G27" i="4" s="1"/>
  <c r="C45" i="3"/>
  <c r="G45" i="3" s="1"/>
  <c r="C23" i="3"/>
  <c r="F23" i="3" s="1"/>
  <c r="Q23" i="3" s="1"/>
  <c r="Q16" i="3"/>
  <c r="H16" i="3"/>
  <c r="C46" i="1"/>
  <c r="J45" i="1"/>
  <c r="L45" i="1"/>
  <c r="K45" i="1"/>
  <c r="L36" i="1"/>
  <c r="K36" i="1"/>
  <c r="J36" i="1"/>
  <c r="E37" i="1"/>
  <c r="D22" i="1"/>
  <c r="E22" i="1"/>
  <c r="F22" i="1" s="1"/>
  <c r="E45" i="3" l="1"/>
  <c r="F45" i="3"/>
  <c r="H45" i="3" s="1"/>
  <c r="M45" i="3" s="1"/>
  <c r="Q45" i="3" s="1"/>
  <c r="C46" i="3" s="1"/>
  <c r="G23" i="3"/>
  <c r="R23" i="3" s="1"/>
  <c r="D24" i="3" s="1"/>
  <c r="E23" i="3"/>
  <c r="C24" i="3"/>
  <c r="S16" i="3"/>
  <c r="G38" i="1"/>
  <c r="H38" i="1" s="1"/>
  <c r="F37" i="1"/>
  <c r="I37" i="1" s="1"/>
  <c r="M36" i="1"/>
  <c r="M45" i="1"/>
  <c r="D46" i="1"/>
  <c r="E46" i="1"/>
  <c r="P21" i="1"/>
  <c r="Q21" i="1"/>
  <c r="M22" i="1"/>
  <c r="N22" i="1"/>
  <c r="O22" i="1" s="1"/>
  <c r="N45" i="3" l="1"/>
  <c r="R45" i="3" s="1"/>
  <c r="D46" i="3" s="1"/>
  <c r="G46" i="3" s="1"/>
  <c r="H23" i="3"/>
  <c r="S23" i="3"/>
  <c r="G24" i="3"/>
  <c r="R24" i="3" s="1"/>
  <c r="D25" i="3" s="1"/>
  <c r="E24" i="3"/>
  <c r="F24" i="3"/>
  <c r="E38" i="1"/>
  <c r="L37" i="1"/>
  <c r="K37" i="1"/>
  <c r="J37" i="1"/>
  <c r="F46" i="1"/>
  <c r="I46" i="1" s="1"/>
  <c r="G47" i="1"/>
  <c r="H47" i="1" s="1"/>
  <c r="R21" i="1"/>
  <c r="L22" i="1"/>
  <c r="I22" i="1"/>
  <c r="J22" i="1"/>
  <c r="C23" i="1" s="1"/>
  <c r="K22" i="1"/>
  <c r="G23" i="1" s="1"/>
  <c r="H23" i="1" s="1"/>
  <c r="F46" i="3" l="1"/>
  <c r="H46" i="3" s="1"/>
  <c r="M46" i="3" s="1"/>
  <c r="Q46" i="3" s="1"/>
  <c r="E46" i="3"/>
  <c r="S45" i="3"/>
  <c r="Q24" i="3"/>
  <c r="H24" i="3"/>
  <c r="M37" i="1"/>
  <c r="C47" i="1"/>
  <c r="K46" i="1"/>
  <c r="J46" i="1"/>
  <c r="L46" i="1"/>
  <c r="M46" i="1" s="1"/>
  <c r="G39" i="1"/>
  <c r="H39" i="1" s="1"/>
  <c r="F38" i="1"/>
  <c r="I38" i="1" s="1"/>
  <c r="E23" i="1"/>
  <c r="D23" i="1"/>
  <c r="N46" i="3" l="1"/>
  <c r="R46" i="3" s="1"/>
  <c r="D47" i="3" s="1"/>
  <c r="C47" i="3"/>
  <c r="S24" i="3"/>
  <c r="C25" i="3"/>
  <c r="E39" i="1"/>
  <c r="J38" i="1"/>
  <c r="L38" i="1"/>
  <c r="K38" i="1"/>
  <c r="E47" i="1"/>
  <c r="D47" i="1"/>
  <c r="Q22" i="1"/>
  <c r="P22" i="1"/>
  <c r="N23" i="1"/>
  <c r="F23" i="1"/>
  <c r="M23" i="1"/>
  <c r="S46" i="3" l="1"/>
  <c r="G47" i="3"/>
  <c r="E47" i="3"/>
  <c r="F47" i="3"/>
  <c r="E25" i="3"/>
  <c r="G25" i="3"/>
  <c r="R25" i="3" s="1"/>
  <c r="D26" i="3" s="1"/>
  <c r="F25" i="3"/>
  <c r="G48" i="1"/>
  <c r="H48" i="1" s="1"/>
  <c r="F47" i="1"/>
  <c r="I47" i="1" s="1"/>
  <c r="M38" i="1"/>
  <c r="O23" i="1"/>
  <c r="G40" i="1"/>
  <c r="H40" i="1" s="1"/>
  <c r="F39" i="1"/>
  <c r="I39" i="1" s="1"/>
  <c r="R22" i="1"/>
  <c r="K23" i="1"/>
  <c r="G24" i="1" s="1"/>
  <c r="H24" i="1" s="1"/>
  <c r="I23" i="1"/>
  <c r="L23" i="1"/>
  <c r="J23" i="1"/>
  <c r="C24" i="1" s="1"/>
  <c r="H47" i="3" l="1"/>
  <c r="N47" i="3" s="1"/>
  <c r="R47" i="3" s="1"/>
  <c r="D48" i="3" s="1"/>
  <c r="H25" i="3"/>
  <c r="Q25" i="3"/>
  <c r="E40" i="1"/>
  <c r="F40" i="1" s="1"/>
  <c r="J39" i="1"/>
  <c r="L39" i="1"/>
  <c r="K39" i="1"/>
  <c r="I40" i="1"/>
  <c r="C48" i="1"/>
  <c r="J47" i="1"/>
  <c r="K47" i="1"/>
  <c r="L47" i="1"/>
  <c r="E24" i="1"/>
  <c r="D24" i="1"/>
  <c r="M47" i="3" l="1"/>
  <c r="Q47" i="3" s="1"/>
  <c r="S47" i="3" s="1"/>
  <c r="C26" i="3"/>
  <c r="S25" i="3"/>
  <c r="M47" i="1"/>
  <c r="E48" i="1"/>
  <c r="D48" i="1"/>
  <c r="L40" i="1"/>
  <c r="K40" i="1"/>
  <c r="J40" i="1"/>
  <c r="M39" i="1"/>
  <c r="P23" i="1"/>
  <c r="Q23" i="1"/>
  <c r="F24" i="1"/>
  <c r="L24" i="1" s="1"/>
  <c r="M24" i="1"/>
  <c r="N24" i="1"/>
  <c r="O24" i="1" l="1"/>
  <c r="C48" i="3"/>
  <c r="E48" i="3" s="1"/>
  <c r="G26" i="3"/>
  <c r="R26" i="3" s="1"/>
  <c r="D27" i="3" s="1"/>
  <c r="E26" i="3"/>
  <c r="F26" i="3"/>
  <c r="M40" i="1"/>
  <c r="G49" i="1"/>
  <c r="H49" i="1" s="1"/>
  <c r="F48" i="1"/>
  <c r="I48" i="1" s="1"/>
  <c r="R23" i="1"/>
  <c r="I24" i="1"/>
  <c r="K24" i="1"/>
  <c r="G25" i="1" s="1"/>
  <c r="H25" i="1" s="1"/>
  <c r="J24" i="1"/>
  <c r="C25" i="1" s="1"/>
  <c r="F48" i="3" l="1"/>
  <c r="G48" i="3"/>
  <c r="Q26" i="3"/>
  <c r="H26" i="3"/>
  <c r="C49" i="1"/>
  <c r="K48" i="1"/>
  <c r="L48" i="1"/>
  <c r="M48" i="1" s="1"/>
  <c r="J48" i="1"/>
  <c r="D25" i="1"/>
  <c r="E25" i="1"/>
  <c r="H48" i="3" l="1"/>
  <c r="N48" i="3" s="1"/>
  <c r="R48" i="3" s="1"/>
  <c r="D49" i="3" s="1"/>
  <c r="S26" i="3"/>
  <c r="C27" i="3"/>
  <c r="D49" i="1"/>
  <c r="E49" i="1"/>
  <c r="P24" i="1"/>
  <c r="Q24" i="1"/>
  <c r="M25" i="1"/>
  <c r="N25" i="1"/>
  <c r="F25" i="1"/>
  <c r="M48" i="3" l="1"/>
  <c r="Q48" i="3" s="1"/>
  <c r="S48" i="3" s="1"/>
  <c r="E27" i="3"/>
  <c r="G27" i="3"/>
  <c r="R27" i="3" s="1"/>
  <c r="D28" i="3" s="1"/>
  <c r="F27" i="3"/>
  <c r="G50" i="1"/>
  <c r="H50" i="1" s="1"/>
  <c r="F49" i="1"/>
  <c r="I49" i="1" s="1"/>
  <c r="O25" i="1"/>
  <c r="R24" i="1"/>
  <c r="J25" i="1"/>
  <c r="C26" i="1" s="1"/>
  <c r="L25" i="1"/>
  <c r="K25" i="1"/>
  <c r="G26" i="1" s="1"/>
  <c r="H26" i="1" s="1"/>
  <c r="I25" i="1"/>
  <c r="C49" i="3" l="1"/>
  <c r="E49" i="3" s="1"/>
  <c r="H27" i="3"/>
  <c r="Q27" i="3"/>
  <c r="C50" i="1"/>
  <c r="L49" i="1"/>
  <c r="J49" i="1"/>
  <c r="K49" i="1"/>
  <c r="D26" i="1"/>
  <c r="E26" i="1"/>
  <c r="G49" i="3" l="1"/>
  <c r="F49" i="3"/>
  <c r="S27" i="3"/>
  <c r="C28" i="3"/>
  <c r="M49" i="1"/>
  <c r="E50" i="1"/>
  <c r="D50" i="1"/>
  <c r="Q25" i="1"/>
  <c r="P25" i="1"/>
  <c r="F26" i="1"/>
  <c r="N26" i="1"/>
  <c r="M26" i="1"/>
  <c r="H49" i="3" l="1"/>
  <c r="N49" i="3" s="1"/>
  <c r="R49" i="3" s="1"/>
  <c r="D50" i="3" s="1"/>
  <c r="E28" i="3"/>
  <c r="G28" i="3"/>
  <c r="F28" i="3"/>
  <c r="Q28" i="3" s="1"/>
  <c r="O26" i="1"/>
  <c r="F50" i="1"/>
  <c r="I50" i="1" s="1"/>
  <c r="G51" i="1"/>
  <c r="H51" i="1" s="1"/>
  <c r="R25" i="1"/>
  <c r="L26" i="1"/>
  <c r="J26" i="1"/>
  <c r="C27" i="1" s="1"/>
  <c r="I26" i="1"/>
  <c r="K26" i="1"/>
  <c r="G27" i="1" s="1"/>
  <c r="H27" i="1" s="1"/>
  <c r="M49" i="3" l="1"/>
  <c r="Q49" i="3" s="1"/>
  <c r="C50" i="3" s="1"/>
  <c r="E50" i="3" s="1"/>
  <c r="C29" i="3"/>
  <c r="H28" i="3"/>
  <c r="R28" i="3"/>
  <c r="D29" i="3" s="1"/>
  <c r="F29" i="3" s="1"/>
  <c r="C51" i="1"/>
  <c r="J50" i="1"/>
  <c r="L50" i="1"/>
  <c r="M50" i="1" s="1"/>
  <c r="K50" i="1"/>
  <c r="E27" i="1"/>
  <c r="D27" i="1"/>
  <c r="S49" i="3" l="1"/>
  <c r="G50" i="3"/>
  <c r="F50" i="3"/>
  <c r="S28" i="3"/>
  <c r="E29" i="3"/>
  <c r="G29" i="3"/>
  <c r="R29" i="3" s="1"/>
  <c r="D30" i="3" s="1"/>
  <c r="Q29" i="3"/>
  <c r="E51" i="1"/>
  <c r="D51" i="1"/>
  <c r="P26" i="1"/>
  <c r="Q26" i="1"/>
  <c r="M27" i="1"/>
  <c r="N27" i="1"/>
  <c r="F27" i="1"/>
  <c r="O27" i="1" l="1"/>
  <c r="H50" i="3"/>
  <c r="N50" i="3" s="1"/>
  <c r="R50" i="3" s="1"/>
  <c r="D51" i="3" s="1"/>
  <c r="S29" i="3"/>
  <c r="C30" i="3"/>
  <c r="F30" i="3" s="1"/>
  <c r="H29" i="3"/>
  <c r="G52" i="1"/>
  <c r="H52" i="1" s="1"/>
  <c r="F51" i="1"/>
  <c r="I51" i="1" s="1"/>
  <c r="R26" i="1"/>
  <c r="L27" i="1"/>
  <c r="K27" i="1"/>
  <c r="G28" i="1" s="1"/>
  <c r="H28" i="1" s="1"/>
  <c r="I27" i="1"/>
  <c r="J27" i="1"/>
  <c r="C28" i="1" s="1"/>
  <c r="M50" i="3" l="1"/>
  <c r="Q50" i="3" s="1"/>
  <c r="C51" i="3" s="1"/>
  <c r="E51" i="3" s="1"/>
  <c r="E30" i="3"/>
  <c r="G30" i="3"/>
  <c r="R30" i="3" s="1"/>
  <c r="D31" i="3" s="1"/>
  <c r="Q30" i="3"/>
  <c r="C52" i="1"/>
  <c r="L51" i="1"/>
  <c r="K51" i="1"/>
  <c r="J51" i="1"/>
  <c r="E28" i="1"/>
  <c r="D28" i="1"/>
  <c r="S50" i="3" l="1"/>
  <c r="G51" i="3"/>
  <c r="F51" i="3"/>
  <c r="H30" i="3"/>
  <c r="S30" i="3"/>
  <c r="C31" i="3"/>
  <c r="F31" i="3" s="1"/>
  <c r="M51" i="1"/>
  <c r="D52" i="1"/>
  <c r="E52" i="1"/>
  <c r="F52" i="1" s="1"/>
  <c r="I52" i="1" s="1"/>
  <c r="P27" i="1"/>
  <c r="Q27" i="1"/>
  <c r="F28" i="1"/>
  <c r="M28" i="1"/>
  <c r="N28" i="1"/>
  <c r="H51" i="3" l="1"/>
  <c r="M51" i="3" s="1"/>
  <c r="Q51" i="3" s="1"/>
  <c r="C52" i="3" s="1"/>
  <c r="G31" i="3"/>
  <c r="R31" i="3" s="1"/>
  <c r="D32" i="3" s="1"/>
  <c r="E31" i="3"/>
  <c r="Q31" i="3"/>
  <c r="O28" i="1"/>
  <c r="L52" i="1"/>
  <c r="J52" i="1"/>
  <c r="K52" i="1"/>
  <c r="P28" i="1"/>
  <c r="Q28" i="1"/>
  <c r="R27" i="1"/>
  <c r="L28" i="1"/>
  <c r="I28" i="1"/>
  <c r="J28" i="1"/>
  <c r="K28" i="1"/>
  <c r="N51" i="3" l="1"/>
  <c r="R51" i="3" s="1"/>
  <c r="D52" i="3" s="1"/>
  <c r="E52" i="3" s="1"/>
  <c r="S31" i="3"/>
  <c r="C32" i="3"/>
  <c r="F32" i="3" s="1"/>
  <c r="H31" i="3"/>
  <c r="M52" i="1"/>
  <c r="R28" i="1"/>
  <c r="S51" i="3" l="1"/>
  <c r="G52" i="3"/>
  <c r="F52" i="3"/>
  <c r="G32" i="3"/>
  <c r="R32" i="3" s="1"/>
  <c r="D33" i="3" s="1"/>
  <c r="E32" i="3"/>
  <c r="Q32" i="3"/>
  <c r="H52" i="3" l="1"/>
  <c r="M52" i="3" s="1"/>
  <c r="Q52" i="3" s="1"/>
  <c r="C53" i="3" s="1"/>
  <c r="H32" i="3"/>
  <c r="S32" i="3"/>
  <c r="C33" i="3"/>
  <c r="F33" i="3" s="1"/>
  <c r="N52" i="3" l="1"/>
  <c r="R52" i="3" s="1"/>
  <c r="D53" i="3" s="1"/>
  <c r="E53" i="3" s="1"/>
  <c r="E33" i="3"/>
  <c r="G33" i="3"/>
  <c r="R33" i="3" s="1"/>
  <c r="D34" i="3" s="1"/>
  <c r="Q33" i="3"/>
  <c r="C34" i="3" s="1"/>
  <c r="S52" i="3" l="1"/>
  <c r="G53" i="3"/>
  <c r="F53" i="3"/>
  <c r="G34" i="3"/>
  <c r="R34" i="3" s="1"/>
  <c r="D35" i="3" s="1"/>
  <c r="E34" i="3"/>
  <c r="F34" i="3"/>
  <c r="H34" i="3" s="1"/>
  <c r="S33" i="3"/>
  <c r="H33" i="3"/>
  <c r="H53" i="3" l="1"/>
  <c r="M53" i="3" s="1"/>
  <c r="Q53" i="3" s="1"/>
  <c r="C54" i="3" s="1"/>
  <c r="Q34" i="3"/>
  <c r="N53" i="3" l="1"/>
  <c r="R53" i="3" s="1"/>
  <c r="D54" i="3" s="1"/>
  <c r="E54" i="3" s="1"/>
  <c r="S34" i="3"/>
  <c r="C35" i="3"/>
  <c r="G54" i="3" l="1"/>
  <c r="S53" i="3"/>
  <c r="F54" i="3"/>
  <c r="E35" i="3"/>
  <c r="G35" i="3"/>
  <c r="R35" i="3" s="1"/>
  <c r="D36" i="3" s="1"/>
  <c r="F35" i="3"/>
  <c r="H54" i="3" l="1"/>
  <c r="N54" i="3" s="1"/>
  <c r="R54" i="3" s="1"/>
  <c r="D55" i="3" s="1"/>
  <c r="H35" i="3"/>
  <c r="Q35" i="3"/>
  <c r="M54" i="3" l="1"/>
  <c r="Q54" i="3" s="1"/>
  <c r="C55" i="3" s="1"/>
  <c r="F55" i="3" s="1"/>
  <c r="S35" i="3"/>
  <c r="C36" i="3"/>
  <c r="S54" i="3" l="1"/>
  <c r="E55" i="3"/>
  <c r="G55" i="3"/>
  <c r="H55" i="3" s="1"/>
  <c r="M55" i="3" s="1"/>
  <c r="Q55" i="3" s="1"/>
  <c r="C56" i="3" s="1"/>
  <c r="E36" i="3"/>
  <c r="G36" i="3"/>
  <c r="R36" i="3" s="1"/>
  <c r="D37" i="3" s="1"/>
  <c r="F36" i="3"/>
  <c r="N55" i="3" l="1"/>
  <c r="R55" i="3" s="1"/>
  <c r="D56" i="3" s="1"/>
  <c r="G56" i="3" s="1"/>
  <c r="H36" i="3"/>
  <c r="Q36" i="3"/>
  <c r="F56" i="3" l="1"/>
  <c r="H56" i="3" s="1"/>
  <c r="N56" i="3" s="1"/>
  <c r="R56" i="3" s="1"/>
  <c r="D57" i="3" s="1"/>
  <c r="E56" i="3"/>
  <c r="S55" i="3"/>
  <c r="S36" i="3"/>
  <c r="C37" i="3"/>
  <c r="M56" i="3" l="1"/>
  <c r="Q56" i="3" s="1"/>
  <c r="S56" i="3" s="1"/>
  <c r="E37" i="3"/>
  <c r="G37" i="3"/>
  <c r="R37" i="3" s="1"/>
  <c r="F37" i="3"/>
  <c r="H37" i="3" s="1"/>
  <c r="C57" i="3" l="1"/>
  <c r="E57" i="3" s="1"/>
  <c r="Q37" i="3"/>
  <c r="S37" i="3" s="1"/>
  <c r="F57" i="3" l="1"/>
  <c r="G57" i="3"/>
  <c r="H57" i="3" l="1"/>
  <c r="N57" i="3" s="1"/>
  <c r="R57" i="3" s="1"/>
  <c r="D58" i="3" s="1"/>
  <c r="M57" i="3" l="1"/>
  <c r="Q57" i="3" s="1"/>
  <c r="S57" i="3" s="1"/>
  <c r="C58" i="3" l="1"/>
  <c r="G58" i="3" s="1"/>
  <c r="E58" i="3" l="1"/>
  <c r="F58" i="3"/>
  <c r="H58" i="3" s="1"/>
  <c r="M58" i="3" s="1"/>
  <c r="Q58" i="3" s="1"/>
  <c r="C59" i="3" s="1"/>
  <c r="N58" i="3" l="1"/>
  <c r="R58" i="3" s="1"/>
  <c r="D59" i="3" s="1"/>
  <c r="G59" i="3" s="1"/>
  <c r="E59" i="3" l="1"/>
  <c r="F59" i="3"/>
  <c r="H59" i="3" s="1"/>
  <c r="N59" i="3" s="1"/>
  <c r="R59" i="3" s="1"/>
  <c r="S58" i="3"/>
  <c r="M59" i="3" l="1"/>
  <c r="Q59" i="3" s="1"/>
  <c r="S59" i="3" s="1"/>
  <c r="D24" i="7" l="1"/>
  <c r="H36" i="7"/>
  <c r="H35" i="7"/>
  <c r="H29" i="7"/>
  <c r="H34" i="7"/>
  <c r="B33" i="7"/>
  <c r="B28" i="7"/>
  <c r="H33" i="7"/>
  <c r="B29" i="7"/>
  <c r="B34" i="7"/>
  <c r="B35" i="7"/>
  <c r="B36" i="7"/>
  <c r="B24" i="7"/>
  <c r="H28" i="7"/>
  <c r="G21" i="7" l="1"/>
  <c r="G72" i="7"/>
  <c r="G71" i="7"/>
  <c r="G67" i="7"/>
  <c r="G76" i="7"/>
  <c r="G70" i="7"/>
  <c r="G75" i="7"/>
  <c r="G69" i="7"/>
  <c r="G74" i="7"/>
  <c r="G68" i="7"/>
  <c r="G73" i="7"/>
  <c r="G20" i="7"/>
  <c r="G32" i="7"/>
  <c r="G28" i="7"/>
  <c r="G31" i="7"/>
  <c r="G33" i="7"/>
  <c r="G36" i="7"/>
  <c r="G30" i="7"/>
  <c r="G16" i="7"/>
  <c r="G27" i="7"/>
  <c r="J27" i="7" s="1"/>
  <c r="G18" i="7"/>
  <c r="G14" i="7"/>
  <c r="G35" i="7"/>
  <c r="G29" i="7"/>
  <c r="G34" i="7"/>
  <c r="G17" i="7"/>
  <c r="G13" i="7"/>
  <c r="G15" i="7"/>
  <c r="G19" i="7"/>
  <c r="G22" i="7"/>
  <c r="J67" i="7" l="1"/>
  <c r="J68" i="7" s="1"/>
  <c r="J69" i="7" s="1"/>
  <c r="J70" i="7" s="1"/>
  <c r="J71" i="7" s="1"/>
  <c r="J72" i="7" s="1"/>
  <c r="J73" i="7" s="1"/>
  <c r="J74" i="7" s="1"/>
  <c r="J75" i="7" s="1"/>
  <c r="J76" i="7" s="1"/>
  <c r="I67" i="7"/>
  <c r="I68" i="7" s="1"/>
  <c r="I69" i="7" s="1"/>
  <c r="I70" i="7" s="1"/>
  <c r="I71" i="7" s="1"/>
  <c r="I72" i="7" s="1"/>
  <c r="I73" i="7" s="1"/>
  <c r="I74" i="7" s="1"/>
  <c r="I75" i="7" s="1"/>
  <c r="I76" i="7" s="1"/>
  <c r="J28" i="7"/>
  <c r="J29" i="7" s="1"/>
  <c r="J30" i="7" s="1"/>
  <c r="J31" i="7" s="1"/>
  <c r="J32" i="7" s="1"/>
  <c r="J33" i="7" s="1"/>
  <c r="J34" i="7" s="1"/>
  <c r="J35" i="7" s="1"/>
  <c r="J36" i="7" s="1"/>
  <c r="I27" i="7"/>
  <c r="I28" i="7" s="1"/>
  <c r="I29" i="7" s="1"/>
  <c r="I30" i="7" s="1"/>
  <c r="I31" i="7" s="1"/>
  <c r="I32" i="7" s="1"/>
  <c r="I33" i="7" s="1"/>
  <c r="I34" i="7" s="1"/>
  <c r="I35" i="7" s="1"/>
  <c r="I36" i="7" s="1"/>
  <c r="D39" i="7" l="1"/>
  <c r="E39" i="7" s="1"/>
  <c r="D81" i="7"/>
  <c r="H81" i="7" s="1"/>
  <c r="D88" i="7"/>
  <c r="H88" i="7" s="1"/>
  <c r="D87" i="7"/>
  <c r="H87" i="7" s="1"/>
  <c r="D80" i="7"/>
  <c r="H80" i="7" s="1"/>
  <c r="D85" i="7"/>
  <c r="H85" i="7" s="1"/>
  <c r="D83" i="7"/>
  <c r="H83" i="7" s="1"/>
  <c r="D86" i="7"/>
  <c r="H86" i="7" s="1"/>
  <c r="D79" i="7"/>
  <c r="H79" i="7" s="1"/>
  <c r="D84" i="7"/>
  <c r="H84" i="7" s="1"/>
  <c r="D82" i="7"/>
  <c r="H82" i="7" s="1"/>
  <c r="D48" i="7"/>
  <c r="D47" i="7"/>
  <c r="D46" i="7"/>
  <c r="D45" i="7"/>
  <c r="D43" i="7"/>
  <c r="D44" i="7"/>
  <c r="D42" i="7"/>
  <c r="D41" i="7"/>
  <c r="D40" i="7"/>
  <c r="E40" i="7" s="1"/>
  <c r="F39" i="7" l="1"/>
  <c r="R53" i="7" s="1"/>
  <c r="Q96" i="7"/>
  <c r="F40" i="7"/>
  <c r="R96" i="7" s="1"/>
  <c r="E42" i="7"/>
  <c r="Q182" i="7" s="1"/>
  <c r="F42" i="7"/>
  <c r="R182" i="7" s="1"/>
  <c r="E43" i="7"/>
  <c r="Q225" i="7" s="1"/>
  <c r="F43" i="7"/>
  <c r="R225" i="7" s="1"/>
  <c r="E41" i="7"/>
  <c r="Q139" i="7" s="1"/>
  <c r="F41" i="7"/>
  <c r="R139" i="7" s="1"/>
  <c r="E47" i="7"/>
  <c r="Q397" i="7" s="1"/>
  <c r="F47" i="7"/>
  <c r="R397" i="7" s="1"/>
  <c r="R398" i="7" s="1"/>
  <c r="E44" i="7"/>
  <c r="Q268" i="7" s="1"/>
  <c r="Q269" i="7" s="1"/>
  <c r="F44" i="7"/>
  <c r="R268" i="7" s="1"/>
  <c r="R269" i="7" s="1"/>
  <c r="E45" i="7"/>
  <c r="Q311" i="7" s="1"/>
  <c r="F45" i="7"/>
  <c r="R311" i="7" s="1"/>
  <c r="R312" i="7" s="1"/>
  <c r="E46" i="7"/>
  <c r="Q354" i="7" s="1"/>
  <c r="F46" i="7"/>
  <c r="R354" i="7" s="1"/>
  <c r="R355" i="7" s="1"/>
  <c r="E48" i="7"/>
  <c r="Q440" i="7" s="1"/>
  <c r="F48" i="7"/>
  <c r="R440" i="7" s="1"/>
  <c r="R441" i="7" s="1"/>
  <c r="G39" i="7"/>
  <c r="Q53" i="7"/>
  <c r="G42" i="7"/>
  <c r="H42" i="7"/>
  <c r="G44" i="7"/>
  <c r="H44" i="7"/>
  <c r="G43" i="7"/>
  <c r="H43" i="7"/>
  <c r="G40" i="7"/>
  <c r="H40" i="7"/>
  <c r="G41" i="7"/>
  <c r="H41" i="7"/>
  <c r="G45" i="7"/>
  <c r="H45" i="7"/>
  <c r="G46" i="7"/>
  <c r="H46" i="7"/>
  <c r="G47" i="7"/>
  <c r="H47" i="7"/>
  <c r="G48" i="7"/>
  <c r="H48" i="7"/>
  <c r="H39" i="7"/>
  <c r="R54" i="7" l="1"/>
  <c r="R56" i="7" s="1"/>
  <c r="Q183" i="7"/>
  <c r="Q185" i="7" s="1"/>
  <c r="Q226" i="7"/>
  <c r="Q228" i="7" s="1"/>
  <c r="R443" i="7"/>
  <c r="R400" i="7"/>
  <c r="R357" i="7"/>
  <c r="R314" i="7"/>
  <c r="R271" i="7"/>
  <c r="Q271" i="7"/>
  <c r="Q272" i="7" s="1"/>
  <c r="R140" i="7"/>
  <c r="R142" i="7" s="1"/>
  <c r="R183" i="7"/>
  <c r="R185" i="7" s="1"/>
  <c r="Q97" i="7"/>
  <c r="Q99" i="7" s="1"/>
  <c r="R226" i="7"/>
  <c r="R228" i="7" s="1"/>
  <c r="Q140" i="7"/>
  <c r="Q142" i="7" s="1"/>
  <c r="Q54" i="7"/>
  <c r="Q56" i="7" s="1"/>
  <c r="R97" i="7"/>
  <c r="R99" i="7" s="1"/>
  <c r="R100" i="7" s="1"/>
  <c r="R186" i="7" l="1"/>
  <c r="R187" i="7" s="1"/>
  <c r="R272" i="7"/>
  <c r="Q285" i="7" s="1"/>
  <c r="Q298" i="7" s="1"/>
  <c r="R358" i="7"/>
  <c r="R359" i="7" s="1"/>
  <c r="R360" i="7" s="1"/>
  <c r="R361" i="7" s="1"/>
  <c r="R362" i="7" s="1"/>
  <c r="R375" i="7" s="1"/>
  <c r="R388" i="7" s="1"/>
  <c r="R143" i="7"/>
  <c r="R144" i="7" s="1"/>
  <c r="R315" i="7"/>
  <c r="R316" i="7" s="1"/>
  <c r="R317" i="7" s="1"/>
  <c r="R318" i="7" s="1"/>
  <c r="R401" i="7"/>
  <c r="R402" i="7" s="1"/>
  <c r="R403" i="7" s="1"/>
  <c r="R444" i="7"/>
  <c r="R445" i="7" s="1"/>
  <c r="R446" i="7" s="1"/>
  <c r="R447" i="7" s="1"/>
  <c r="R448" i="7" s="1"/>
  <c r="R461" i="7" s="1"/>
  <c r="R474" i="7" s="1"/>
  <c r="Q284" i="7"/>
  <c r="Q297" i="7" s="1"/>
  <c r="Q273" i="7"/>
  <c r="Q274" i="7" s="1"/>
  <c r="R284" i="7"/>
  <c r="Q100" i="7"/>
  <c r="Q101" i="7" s="1"/>
  <c r="Q102" i="7" s="1"/>
  <c r="Q229" i="7"/>
  <c r="Q230" i="7" s="1"/>
  <c r="Q241" i="7"/>
  <c r="Q254" i="7" s="1"/>
  <c r="R229" i="7"/>
  <c r="R241" i="7"/>
  <c r="Q198" i="7"/>
  <c r="Q211" i="7" s="1"/>
  <c r="R198" i="7"/>
  <c r="Q186" i="7"/>
  <c r="Q155" i="7"/>
  <c r="Q168" i="7" s="1"/>
  <c r="R155" i="7"/>
  <c r="Q143" i="7"/>
  <c r="R101" i="7"/>
  <c r="R102" i="7" s="1"/>
  <c r="R103" i="7" s="1"/>
  <c r="Q112" i="7"/>
  <c r="Q125" i="7" s="1"/>
  <c r="R112" i="7"/>
  <c r="R57" i="7"/>
  <c r="R58" i="7" s="1"/>
  <c r="Q69" i="7"/>
  <c r="Q82" i="7" s="1"/>
  <c r="Q57" i="7"/>
  <c r="R69" i="7"/>
  <c r="R82" i="7" s="1"/>
  <c r="R285" i="7" l="1"/>
  <c r="R298" i="7" s="1"/>
  <c r="R273" i="7"/>
  <c r="R274" i="7" s="1"/>
  <c r="Q287" i="7" s="1"/>
  <c r="Q300" i="7" s="1"/>
  <c r="Q199" i="7"/>
  <c r="Q212" i="7" s="1"/>
  <c r="Q156" i="7"/>
  <c r="Q169" i="7" s="1"/>
  <c r="R450" i="7"/>
  <c r="R404" i="7"/>
  <c r="R405" i="7" s="1"/>
  <c r="R418" i="7" s="1"/>
  <c r="R431" i="7" s="1"/>
  <c r="R364" i="7"/>
  <c r="R319" i="7"/>
  <c r="R332" i="7" s="1"/>
  <c r="R345" i="7" s="1"/>
  <c r="Q113" i="7"/>
  <c r="Q126" i="7" s="1"/>
  <c r="R297" i="7"/>
  <c r="Q275" i="7"/>
  <c r="R113" i="7"/>
  <c r="R126" i="7" s="1"/>
  <c r="Q242" i="7"/>
  <c r="Q255" i="7" s="1"/>
  <c r="R242" i="7"/>
  <c r="R255" i="7" s="1"/>
  <c r="Q355" i="7" s="1"/>
  <c r="R230" i="7"/>
  <c r="R243" i="7" s="1"/>
  <c r="R256" i="7" s="1"/>
  <c r="Q398" i="7" s="1"/>
  <c r="Q231" i="7"/>
  <c r="Q232" i="7" s="1"/>
  <c r="R254" i="7"/>
  <c r="Q312" i="7" s="1"/>
  <c r="R188" i="7"/>
  <c r="R145" i="7"/>
  <c r="Q187" i="7"/>
  <c r="R200" i="7" s="1"/>
  <c r="R213" i="7" s="1"/>
  <c r="R199" i="7"/>
  <c r="R212" i="7" s="1"/>
  <c r="R211" i="7"/>
  <c r="Q144" i="7"/>
  <c r="Q157" i="7" s="1"/>
  <c r="R156" i="7"/>
  <c r="R169" i="7" s="1"/>
  <c r="R168" i="7"/>
  <c r="Q114" i="7"/>
  <c r="Q127" i="7" s="1"/>
  <c r="R104" i="7"/>
  <c r="R117" i="7" s="1"/>
  <c r="R130" i="7" s="1"/>
  <c r="R125" i="7"/>
  <c r="Q115" i="7"/>
  <c r="R115" i="7"/>
  <c r="R128" i="7" s="1"/>
  <c r="R114" i="7"/>
  <c r="R127" i="7" s="1"/>
  <c r="Q103" i="7"/>
  <c r="Q70" i="7"/>
  <c r="Q83" i="7" s="1"/>
  <c r="Q58" i="7"/>
  <c r="Q71" i="7" s="1"/>
  <c r="Q84" i="7" s="1"/>
  <c r="R70" i="7"/>
  <c r="R83" i="7" s="1"/>
  <c r="R59" i="7"/>
  <c r="R275" i="7" l="1"/>
  <c r="R288" i="7" s="1"/>
  <c r="R301" i="7" s="1"/>
  <c r="R287" i="7"/>
  <c r="R300" i="7" s="1"/>
  <c r="Q286" i="7"/>
  <c r="Q299" i="7" s="1"/>
  <c r="R286" i="7"/>
  <c r="R299" i="7" s="1"/>
  <c r="R407" i="7"/>
  <c r="R321" i="7"/>
  <c r="Q276" i="7"/>
  <c r="Q289" i="7" s="1"/>
  <c r="Q302" i="7" s="1"/>
  <c r="Q314" i="7"/>
  <c r="Q327" i="7" s="1"/>
  <c r="Q340" i="7" s="1"/>
  <c r="Q400" i="7"/>
  <c r="Q413" i="7" s="1"/>
  <c r="Q426" i="7" s="1"/>
  <c r="Q357" i="7"/>
  <c r="Q370" i="7" s="1"/>
  <c r="Q383" i="7" s="1"/>
  <c r="Q200" i="7"/>
  <c r="Q213" i="7" s="1"/>
  <c r="Q188" i="7"/>
  <c r="R201" i="7" s="1"/>
  <c r="R214" i="7" s="1"/>
  <c r="Q243" i="7"/>
  <c r="Q256" i="7" s="1"/>
  <c r="R231" i="7"/>
  <c r="Q244" i="7" s="1"/>
  <c r="R146" i="7"/>
  <c r="R147" i="7" s="1"/>
  <c r="R160" i="7" s="1"/>
  <c r="R173" i="7" s="1"/>
  <c r="Q233" i="7"/>
  <c r="Q246" i="7" s="1"/>
  <c r="Q259" i="7" s="1"/>
  <c r="R189" i="7"/>
  <c r="R157" i="7"/>
  <c r="R170" i="7" s="1"/>
  <c r="Q145" i="7"/>
  <c r="Q146" i="7" s="1"/>
  <c r="Q170" i="7"/>
  <c r="R106" i="7"/>
  <c r="Q116" i="7"/>
  <c r="Q129" i="7" s="1"/>
  <c r="R116" i="7"/>
  <c r="R129" i="7" s="1"/>
  <c r="R132" i="7" s="1"/>
  <c r="R134" i="7" s="1"/>
  <c r="K40" i="7" s="1"/>
  <c r="Q104" i="7"/>
  <c r="Q117" i="7" s="1"/>
  <c r="Q130" i="7" s="1"/>
  <c r="Q128" i="7"/>
  <c r="R60" i="7"/>
  <c r="R71" i="7"/>
  <c r="R84" i="7" s="1"/>
  <c r="Q59" i="7"/>
  <c r="Q72" i="7" s="1"/>
  <c r="Q85" i="7" s="1"/>
  <c r="Q288" i="7" l="1"/>
  <c r="Q301" i="7" s="1"/>
  <c r="Q304" i="7" s="1"/>
  <c r="Q306" i="7" s="1"/>
  <c r="J44" i="7" s="1"/>
  <c r="Z19" i="7" s="1"/>
  <c r="R276" i="7"/>
  <c r="R289" i="7" s="1"/>
  <c r="R302" i="7" s="1"/>
  <c r="R304" i="7" s="1"/>
  <c r="R306" i="7" s="1"/>
  <c r="K44" i="7" s="1"/>
  <c r="D54" i="7"/>
  <c r="AA15" i="7"/>
  <c r="Q278" i="7"/>
  <c r="R413" i="7"/>
  <c r="R327" i="7"/>
  <c r="R370" i="7"/>
  <c r="Q315" i="7"/>
  <c r="Q401" i="7"/>
  <c r="Q358" i="7"/>
  <c r="Q201" i="7"/>
  <c r="Q214" i="7" s="1"/>
  <c r="Q189" i="7"/>
  <c r="Q190" i="7" s="1"/>
  <c r="Q158" i="7"/>
  <c r="Q171" i="7" s="1"/>
  <c r="R244" i="7"/>
  <c r="R232" i="7"/>
  <c r="Q235" i="7"/>
  <c r="Q257" i="7"/>
  <c r="R158" i="7"/>
  <c r="R171" i="7" s="1"/>
  <c r="R149" i="7"/>
  <c r="R190" i="7"/>
  <c r="R203" i="7" s="1"/>
  <c r="R216" i="7" s="1"/>
  <c r="Q132" i="7"/>
  <c r="Q134" i="7" s="1"/>
  <c r="J40" i="7" s="1"/>
  <c r="Z15" i="7" s="1"/>
  <c r="R159" i="7"/>
  <c r="R172" i="7" s="1"/>
  <c r="Q159" i="7"/>
  <c r="R119" i="7"/>
  <c r="Q147" i="7"/>
  <c r="Q160" i="7" s="1"/>
  <c r="Q173" i="7" s="1"/>
  <c r="Q106" i="7"/>
  <c r="Q119" i="7"/>
  <c r="Q60" i="7"/>
  <c r="R73" i="7" s="1"/>
  <c r="R86" i="7" s="1"/>
  <c r="R72" i="7"/>
  <c r="R85" i="7" s="1"/>
  <c r="R61" i="7"/>
  <c r="Q291" i="7" l="1"/>
  <c r="R278" i="7"/>
  <c r="R291" i="7"/>
  <c r="D58" i="7"/>
  <c r="AA19" i="7"/>
  <c r="L40" i="7"/>
  <c r="AB15" i="7" s="1"/>
  <c r="C54" i="7"/>
  <c r="L44" i="7"/>
  <c r="AB19" i="7" s="1"/>
  <c r="C58" i="7"/>
  <c r="R328" i="7"/>
  <c r="R341" i="7" s="1"/>
  <c r="Q328" i="7"/>
  <c r="Q341" i="7" s="1"/>
  <c r="R371" i="7"/>
  <c r="R384" i="7" s="1"/>
  <c r="Q371" i="7"/>
  <c r="Q384" i="7" s="1"/>
  <c r="R414" i="7"/>
  <c r="R427" i="7" s="1"/>
  <c r="Q414" i="7"/>
  <c r="Q427" i="7" s="1"/>
  <c r="R383" i="7"/>
  <c r="R340" i="7"/>
  <c r="Q402" i="7"/>
  <c r="Q316" i="7"/>
  <c r="Q359" i="7"/>
  <c r="R426" i="7"/>
  <c r="R202" i="7"/>
  <c r="R205" i="7" s="1"/>
  <c r="R175" i="7"/>
  <c r="R177" i="7" s="1"/>
  <c r="K41" i="7" s="1"/>
  <c r="Q202" i="7"/>
  <c r="Q215" i="7" s="1"/>
  <c r="Q203" i="7"/>
  <c r="Q216" i="7" s="1"/>
  <c r="Q192" i="7"/>
  <c r="R245" i="7"/>
  <c r="R258" i="7" s="1"/>
  <c r="Q245" i="7"/>
  <c r="R257" i="7"/>
  <c r="Q441" i="7" s="1"/>
  <c r="R233" i="7"/>
  <c r="R162" i="7"/>
  <c r="R192" i="7"/>
  <c r="Q172" i="7"/>
  <c r="Q175" i="7" s="1"/>
  <c r="Q177" i="7" s="1"/>
  <c r="J41" i="7" s="1"/>
  <c r="Q162" i="7"/>
  <c r="Q149" i="7"/>
  <c r="R63" i="7"/>
  <c r="R74" i="7"/>
  <c r="Q61" i="7"/>
  <c r="Q74" i="7" s="1"/>
  <c r="Q87" i="7" s="1"/>
  <c r="Q73" i="7"/>
  <c r="C55" i="7" l="1"/>
  <c r="H55" i="7" s="1"/>
  <c r="Z16" i="7"/>
  <c r="D55" i="7"/>
  <c r="AA16" i="7"/>
  <c r="H58" i="7"/>
  <c r="E58" i="7"/>
  <c r="H54" i="7"/>
  <c r="E54" i="7"/>
  <c r="R372" i="7"/>
  <c r="R385" i="7" s="1"/>
  <c r="Q372" i="7"/>
  <c r="Q385" i="7" s="1"/>
  <c r="Q360" i="7"/>
  <c r="Q361" i="7" s="1"/>
  <c r="Q218" i="7"/>
  <c r="Q220" i="7" s="1"/>
  <c r="J42" i="7" s="1"/>
  <c r="Q329" i="7"/>
  <c r="Q342" i="7" s="1"/>
  <c r="R329" i="7"/>
  <c r="R415" i="7"/>
  <c r="R428" i="7" s="1"/>
  <c r="Q415" i="7"/>
  <c r="Q428" i="7" s="1"/>
  <c r="Q403" i="7"/>
  <c r="R215" i="7"/>
  <c r="R218" i="7" s="1"/>
  <c r="R220" i="7" s="1"/>
  <c r="K42" i="7" s="1"/>
  <c r="Q443" i="7"/>
  <c r="Q317" i="7"/>
  <c r="Q205" i="7"/>
  <c r="L41" i="7"/>
  <c r="AB16" i="7" s="1"/>
  <c r="Q258" i="7"/>
  <c r="Q261" i="7" s="1"/>
  <c r="Q263" i="7" s="1"/>
  <c r="J43" i="7" s="1"/>
  <c r="Q248" i="7"/>
  <c r="R246" i="7"/>
  <c r="R235" i="7"/>
  <c r="R76" i="7"/>
  <c r="R87" i="7"/>
  <c r="R89" i="7" s="1"/>
  <c r="R91" i="7" s="1"/>
  <c r="K39" i="7" s="1"/>
  <c r="Q76" i="7"/>
  <c r="Q86" i="7"/>
  <c r="Q89" i="7" s="1"/>
  <c r="Q91" i="7" s="1"/>
  <c r="J39" i="7" s="1"/>
  <c r="Q63" i="7"/>
  <c r="E55" i="7" l="1"/>
  <c r="D56" i="7"/>
  <c r="AA17" i="7"/>
  <c r="C56" i="7"/>
  <c r="H56" i="7" s="1"/>
  <c r="Z17" i="7"/>
  <c r="C57" i="7"/>
  <c r="H57" i="7" s="1"/>
  <c r="Z18" i="7"/>
  <c r="D53" i="7"/>
  <c r="AA14" i="7"/>
  <c r="C53" i="7"/>
  <c r="H53" i="7" s="1"/>
  <c r="Z14" i="7"/>
  <c r="L42" i="7"/>
  <c r="AB17" i="7" s="1"/>
  <c r="Q330" i="7"/>
  <c r="Q343" i="7" s="1"/>
  <c r="R330" i="7"/>
  <c r="R343" i="7" s="1"/>
  <c r="R373" i="7"/>
  <c r="R386" i="7" s="1"/>
  <c r="Q373" i="7"/>
  <c r="Q386" i="7" s="1"/>
  <c r="Q404" i="7"/>
  <c r="Q405" i="7" s="1"/>
  <c r="Q418" i="7" s="1"/>
  <c r="Q431" i="7" s="1"/>
  <c r="R416" i="7"/>
  <c r="R342" i="7"/>
  <c r="Q374" i="7"/>
  <c r="Q387" i="7" s="1"/>
  <c r="R374" i="7"/>
  <c r="Q444" i="7"/>
  <c r="Q457" i="7" s="1"/>
  <c r="Q470" i="7" s="1"/>
  <c r="Q456" i="7"/>
  <c r="Q469" i="7" s="1"/>
  <c r="Q362" i="7"/>
  <c r="Q375" i="7" s="1"/>
  <c r="Q388" i="7" s="1"/>
  <c r="R456" i="7"/>
  <c r="Q416" i="7"/>
  <c r="Q318" i="7"/>
  <c r="L39" i="7"/>
  <c r="AB14" i="7" s="1"/>
  <c r="R259" i="7"/>
  <c r="R261" i="7" s="1"/>
  <c r="R263" i="7" s="1"/>
  <c r="K43" i="7" s="1"/>
  <c r="AA18" i="7" s="1"/>
  <c r="R248" i="7"/>
  <c r="E56" i="7" l="1"/>
  <c r="E53" i="7"/>
  <c r="L43" i="7"/>
  <c r="AB18" i="7" s="1"/>
  <c r="D57" i="7"/>
  <c r="E57" i="7" s="1"/>
  <c r="Q331" i="7"/>
  <c r="Q344" i="7" s="1"/>
  <c r="R331" i="7"/>
  <c r="Q445" i="7"/>
  <c r="R458" i="7" s="1"/>
  <c r="R471" i="7" s="1"/>
  <c r="R429" i="7"/>
  <c r="R457" i="7"/>
  <c r="R470" i="7" s="1"/>
  <c r="Q417" i="7"/>
  <c r="Q430" i="7" s="1"/>
  <c r="R417" i="7"/>
  <c r="R430" i="7" s="1"/>
  <c r="Q407" i="7"/>
  <c r="R387" i="7"/>
  <c r="R390" i="7" s="1"/>
  <c r="R392" i="7" s="1"/>
  <c r="K46" i="7" s="1"/>
  <c r="R377" i="7"/>
  <c r="R469" i="7"/>
  <c r="Q390" i="7"/>
  <c r="Q392" i="7" s="1"/>
  <c r="J46" i="7" s="1"/>
  <c r="Q319" i="7"/>
  <c r="Q332" i="7" s="1"/>
  <c r="Q345" i="7" s="1"/>
  <c r="Q364" i="7"/>
  <c r="Q377" i="7"/>
  <c r="Q429" i="7"/>
  <c r="Q347" i="7" l="1"/>
  <c r="Q349" i="7" s="1"/>
  <c r="J45" i="7" s="1"/>
  <c r="C59" i="7" s="1"/>
  <c r="H59" i="7" s="1"/>
  <c r="D60" i="7"/>
  <c r="AA21" i="7"/>
  <c r="C60" i="7"/>
  <c r="H60" i="7" s="1"/>
  <c r="Z21" i="7"/>
  <c r="Q446" i="7"/>
  <c r="Q459" i="7" s="1"/>
  <c r="Q472" i="7" s="1"/>
  <c r="Q458" i="7"/>
  <c r="Q471" i="7" s="1"/>
  <c r="Q420" i="7"/>
  <c r="R344" i="7"/>
  <c r="R347" i="7" s="1"/>
  <c r="R349" i="7" s="1"/>
  <c r="K45" i="7" s="1"/>
  <c r="AA20" i="7" s="1"/>
  <c r="R334" i="7"/>
  <c r="Q433" i="7"/>
  <c r="Q435" i="7" s="1"/>
  <c r="J47" i="7" s="1"/>
  <c r="R420" i="7"/>
  <c r="R433" i="7"/>
  <c r="R435" i="7" s="1"/>
  <c r="K47" i="7" s="1"/>
  <c r="L46" i="7"/>
  <c r="AB21" i="7" s="1"/>
  <c r="Q321" i="7"/>
  <c r="Q334" i="7"/>
  <c r="Z20" i="7" l="1"/>
  <c r="E60" i="7"/>
  <c r="D61" i="7"/>
  <c r="AA22" i="7"/>
  <c r="C61" i="7"/>
  <c r="Z22" i="7"/>
  <c r="Q447" i="7"/>
  <c r="Q460" i="7" s="1"/>
  <c r="Q473" i="7" s="1"/>
  <c r="R459" i="7"/>
  <c r="R472" i="7" s="1"/>
  <c r="L45" i="7"/>
  <c r="AB20" i="7" s="1"/>
  <c r="D59" i="7"/>
  <c r="E59" i="7" s="1"/>
  <c r="H61" i="7"/>
  <c r="L47" i="7"/>
  <c r="AB22" i="7" s="1"/>
  <c r="E61" i="7" l="1"/>
  <c r="Q448" i="7"/>
  <c r="Q461" i="7" s="1"/>
  <c r="Q474" i="7" s="1"/>
  <c r="Q476" i="7" s="1"/>
  <c r="Q478" i="7" s="1"/>
  <c r="J48" i="7" s="1"/>
  <c r="R460" i="7"/>
  <c r="R473" i="7" s="1"/>
  <c r="R476" i="7" s="1"/>
  <c r="R478" i="7" s="1"/>
  <c r="K48" i="7" s="1"/>
  <c r="R463" i="7" l="1"/>
  <c r="D62" i="7"/>
  <c r="AA23" i="7"/>
  <c r="C62" i="7"/>
  <c r="H62" i="7" s="1"/>
  <c r="Z23" i="7"/>
  <c r="Q450" i="7"/>
  <c r="Q463" i="7"/>
  <c r="L48" i="7"/>
  <c r="AB23" i="7" s="1"/>
  <c r="AH14" i="7" l="1" a="1"/>
  <c r="AH14" i="7" s="1"/>
  <c r="E62" i="7"/>
  <c r="F54" i="7" s="1"/>
  <c r="AD14" i="7" a="1"/>
  <c r="AD14" i="7" s="1"/>
  <c r="F57" i="7" l="1"/>
  <c r="F53" i="7"/>
  <c r="F56" i="7"/>
  <c r="F58" i="7"/>
  <c r="F61" i="7"/>
  <c r="F60" i="7"/>
  <c r="F59" i="7"/>
  <c r="F55" i="7"/>
  <c r="F62" i="7"/>
  <c r="D71" i="7" l="1"/>
  <c r="E75" i="7"/>
  <c r="H75" i="7" s="1"/>
  <c r="C72" i="7"/>
  <c r="C73" i="7"/>
  <c r="D73" i="7"/>
  <c r="E73" i="7"/>
  <c r="H73" i="7" s="1"/>
  <c r="C68" i="7"/>
  <c r="C74" i="7"/>
  <c r="D74" i="7"/>
  <c r="C67" i="7"/>
  <c r="E67" i="7"/>
  <c r="E72" i="7"/>
  <c r="H72" i="7" s="1"/>
  <c r="D72" i="7"/>
  <c r="E74" i="7"/>
  <c r="H74" i="7" s="1"/>
  <c r="C70" i="7"/>
  <c r="D75" i="7"/>
  <c r="B64" i="7"/>
  <c r="D68" i="7"/>
  <c r="D64" i="7"/>
  <c r="C75" i="7"/>
  <c r="E71" i="7"/>
  <c r="D70" i="7"/>
  <c r="C71" i="7"/>
  <c r="D69" i="7"/>
  <c r="D67" i="7"/>
  <c r="C69" i="7"/>
  <c r="E76" i="7"/>
  <c r="H76" i="7" s="1"/>
  <c r="D76" i="7"/>
  <c r="E69" i="7"/>
  <c r="H69" i="7" s="1"/>
  <c r="E70" i="7"/>
  <c r="H70" i="7" s="1"/>
  <c r="C76" i="7"/>
  <c r="E68" i="7"/>
  <c r="H68" i="7" s="1"/>
  <c r="E82" i="7" l="1"/>
  <c r="AA182" i="7" s="1"/>
  <c r="AA183" i="7" s="1"/>
  <c r="AA185" i="7" s="1"/>
  <c r="AA186" i="7" s="1"/>
  <c r="F85" i="7"/>
  <c r="AB354" i="7" s="1"/>
  <c r="AB355" i="7" s="1"/>
  <c r="AB357" i="7" s="1"/>
  <c r="AB358" i="7" s="1"/>
  <c r="G87" i="7"/>
  <c r="F82" i="7"/>
  <c r="AB182" i="7" s="1"/>
  <c r="AB183" i="7" s="1"/>
  <c r="AB185" i="7" s="1"/>
  <c r="F88" i="7"/>
  <c r="E86" i="7"/>
  <c r="AA397" i="7" s="1"/>
  <c r="AA398" i="7" s="1"/>
  <c r="AA400" i="7" s="1"/>
  <c r="AA401" i="7" s="1"/>
  <c r="G80" i="7"/>
  <c r="E88" i="7"/>
  <c r="E79" i="7"/>
  <c r="AA53" i="7" s="1"/>
  <c r="AA54" i="7" s="1"/>
  <c r="AA56" i="7" s="1"/>
  <c r="AA57" i="7" s="1"/>
  <c r="AA58" i="7" s="1"/>
  <c r="F79" i="7"/>
  <c r="AB53" i="7" s="1"/>
  <c r="AB54" i="7" s="1"/>
  <c r="AB56" i="7" s="1"/>
  <c r="AB57" i="7" s="1"/>
  <c r="G54" i="7"/>
  <c r="H67" i="7"/>
  <c r="E84" i="7"/>
  <c r="AA311" i="7" s="1"/>
  <c r="AA312" i="7" s="1"/>
  <c r="AA314" i="7" s="1"/>
  <c r="AA315" i="7" s="1"/>
  <c r="F87" i="7"/>
  <c r="AB440" i="7" s="1"/>
  <c r="AB441" i="7" s="1"/>
  <c r="AB443" i="7" s="1"/>
  <c r="AB444" i="7" s="1"/>
  <c r="E80" i="7"/>
  <c r="AA96" i="7" s="1"/>
  <c r="AA97" i="7" s="1"/>
  <c r="AA99" i="7" s="1"/>
  <c r="G82" i="7"/>
  <c r="E81" i="7"/>
  <c r="AA139" i="7" s="1"/>
  <c r="AA140" i="7" s="1"/>
  <c r="AA142" i="7" s="1"/>
  <c r="F81" i="7"/>
  <c r="AB139" i="7" s="1"/>
  <c r="AB140" i="7" s="1"/>
  <c r="AB142" i="7" s="1"/>
  <c r="AB143" i="7" s="1"/>
  <c r="AB144" i="7" s="1"/>
  <c r="F86" i="7"/>
  <c r="AB397" i="7" s="1"/>
  <c r="AB398" i="7" s="1"/>
  <c r="AB400" i="7" s="1"/>
  <c r="E87" i="7"/>
  <c r="AA440" i="7" s="1"/>
  <c r="AA441" i="7" s="1"/>
  <c r="AA443" i="7" s="1"/>
  <c r="AA444" i="7" s="1"/>
  <c r="E83" i="7"/>
  <c r="AA268" i="7" s="1"/>
  <c r="AA269" i="7" s="1"/>
  <c r="AA271" i="7" s="1"/>
  <c r="E85" i="7"/>
  <c r="AA354" i="7" s="1"/>
  <c r="AA355" i="7" s="1"/>
  <c r="AA357" i="7" s="1"/>
  <c r="AA358" i="7" s="1"/>
  <c r="F84" i="7"/>
  <c r="AB311" i="7" s="1"/>
  <c r="AB312" i="7" s="1"/>
  <c r="AB314" i="7" s="1"/>
  <c r="G53" i="7"/>
  <c r="G60" i="7"/>
  <c r="G61" i="7"/>
  <c r="F80" i="7"/>
  <c r="AB96" i="7" s="1"/>
  <c r="AB97" i="7" s="1"/>
  <c r="AB99" i="7" s="1"/>
  <c r="AB100" i="7" s="1"/>
  <c r="G62" i="7"/>
  <c r="G58" i="7"/>
  <c r="F83" i="7"/>
  <c r="AB268" i="7" s="1"/>
  <c r="AB269" i="7" s="1"/>
  <c r="AB271" i="7" s="1"/>
  <c r="AB272" i="7" s="1"/>
  <c r="AB273" i="7" s="1"/>
  <c r="AB274" i="7" s="1"/>
  <c r="G57" i="7"/>
  <c r="G56" i="7"/>
  <c r="G55" i="7"/>
  <c r="G59" i="7"/>
  <c r="G81" i="7"/>
  <c r="H71" i="7"/>
  <c r="G79" i="7"/>
  <c r="G83" i="7"/>
  <c r="G88" i="7"/>
  <c r="G84" i="7"/>
  <c r="G86" i="7"/>
  <c r="G85" i="7"/>
  <c r="AB225" i="7" l="1"/>
  <c r="AB226" i="7" s="1"/>
  <c r="AB228" i="7" s="1"/>
  <c r="AB229" i="7" s="1"/>
  <c r="AA225" i="7"/>
  <c r="AA226" i="7" s="1"/>
  <c r="AA228" i="7" s="1"/>
  <c r="AA229" i="7" s="1"/>
  <c r="AB70" i="7"/>
  <c r="AB83" i="7" s="1"/>
  <c r="AA371" i="7"/>
  <c r="AA384" i="7" s="1"/>
  <c r="AA457" i="7"/>
  <c r="AA470" i="7" s="1"/>
  <c r="AB445" i="7"/>
  <c r="AB446" i="7" s="1"/>
  <c r="AA456" i="7"/>
  <c r="AA469" i="7" s="1"/>
  <c r="AB457" i="7"/>
  <c r="AB470" i="7" s="1"/>
  <c r="AA445" i="7"/>
  <c r="AB456" i="7"/>
  <c r="AA402" i="7"/>
  <c r="AA403" i="7" s="1"/>
  <c r="AA413" i="7"/>
  <c r="AA426" i="7" s="1"/>
  <c r="AB401" i="7"/>
  <c r="AB413" i="7"/>
  <c r="AB359" i="7"/>
  <c r="AB360" i="7" s="1"/>
  <c r="AB361" i="7" s="1"/>
  <c r="AA370" i="7"/>
  <c r="AA383" i="7" s="1"/>
  <c r="AB371" i="7"/>
  <c r="AB384" i="7" s="1"/>
  <c r="AA359" i="7"/>
  <c r="AB370" i="7"/>
  <c r="AA327" i="7"/>
  <c r="AA340" i="7" s="1"/>
  <c r="AB315" i="7"/>
  <c r="AB328" i="7" s="1"/>
  <c r="AB341" i="7" s="1"/>
  <c r="AA316" i="7"/>
  <c r="AB327" i="7"/>
  <c r="AB275" i="7"/>
  <c r="AA284" i="7"/>
  <c r="AA297" i="7" s="1"/>
  <c r="AB284" i="7"/>
  <c r="AA272" i="7"/>
  <c r="AA187" i="7"/>
  <c r="AA188" i="7" s="1"/>
  <c r="AA198" i="7"/>
  <c r="AA211" i="7" s="1"/>
  <c r="AB186" i="7"/>
  <c r="AB187" i="7" s="1"/>
  <c r="AB69" i="7"/>
  <c r="AB82" i="7" s="1"/>
  <c r="AB198" i="7"/>
  <c r="AB145" i="7"/>
  <c r="AA143" i="7"/>
  <c r="AA144" i="7" s="1"/>
  <c r="AA145" i="7" s="1"/>
  <c r="AA146" i="7" s="1"/>
  <c r="AA155" i="7"/>
  <c r="AA168" i="7" s="1"/>
  <c r="AB155" i="7"/>
  <c r="AB101" i="7"/>
  <c r="AA100" i="7"/>
  <c r="AA113" i="7" s="1"/>
  <c r="AA126" i="7" s="1"/>
  <c r="AA112" i="7"/>
  <c r="AA125" i="7" s="1"/>
  <c r="AB112" i="7"/>
  <c r="AB58" i="7"/>
  <c r="AB71" i="7" s="1"/>
  <c r="AB84" i="7" s="1"/>
  <c r="AA70" i="7"/>
  <c r="AA83" i="7" s="1"/>
  <c r="AA69" i="7"/>
  <c r="AA82" i="7" s="1"/>
  <c r="AA59" i="7"/>
  <c r="AA60" i="7" s="1"/>
  <c r="AA242" i="7" l="1"/>
  <c r="AA255" i="7" s="1"/>
  <c r="AB372" i="7"/>
  <c r="AB385" i="7" s="1"/>
  <c r="AB447" i="7"/>
  <c r="AB458" i="7"/>
  <c r="AB471" i="7" s="1"/>
  <c r="AA458" i="7"/>
  <c r="AA471" i="7" s="1"/>
  <c r="AB469" i="7"/>
  <c r="AA446" i="7"/>
  <c r="AA414" i="7"/>
  <c r="AA427" i="7" s="1"/>
  <c r="AB402" i="7"/>
  <c r="AB403" i="7" s="1"/>
  <c r="AB416" i="7" s="1"/>
  <c r="AB429" i="7" s="1"/>
  <c r="AB414" i="7"/>
  <c r="AB427" i="7" s="1"/>
  <c r="AB362" i="7"/>
  <c r="AB375" i="7" s="1"/>
  <c r="AB388" i="7" s="1"/>
  <c r="AB426" i="7"/>
  <c r="AA404" i="7"/>
  <c r="AA405" i="7" s="1"/>
  <c r="AA418" i="7" s="1"/>
  <c r="AA431" i="7" s="1"/>
  <c r="AA372" i="7"/>
  <c r="AA385" i="7" s="1"/>
  <c r="AB383" i="7"/>
  <c r="AA360" i="7"/>
  <c r="AA328" i="7"/>
  <c r="AA341" i="7" s="1"/>
  <c r="AB316" i="7"/>
  <c r="AA329" i="7" s="1"/>
  <c r="AA342" i="7" s="1"/>
  <c r="AB340" i="7"/>
  <c r="AA317" i="7"/>
  <c r="AB276" i="7"/>
  <c r="AA285" i="7"/>
  <c r="AB285" i="7"/>
  <c r="AB298" i="7" s="1"/>
  <c r="AB199" i="7"/>
  <c r="AB212" i="7" s="1"/>
  <c r="AB297" i="7"/>
  <c r="AA273" i="7"/>
  <c r="AB230" i="7"/>
  <c r="AA241" i="7"/>
  <c r="AA254" i="7" s="1"/>
  <c r="AB242" i="7"/>
  <c r="AB255" i="7" s="1"/>
  <c r="AA230" i="7"/>
  <c r="AA199" i="7"/>
  <c r="AA212" i="7" s="1"/>
  <c r="AB241" i="7"/>
  <c r="AB188" i="7"/>
  <c r="AB201" i="7" s="1"/>
  <c r="AB214" i="7" s="1"/>
  <c r="AA200" i="7"/>
  <c r="AA213" i="7" s="1"/>
  <c r="AB200" i="7"/>
  <c r="AB213" i="7" s="1"/>
  <c r="AB211" i="7"/>
  <c r="AA189" i="7"/>
  <c r="AB156" i="7"/>
  <c r="AB169" i="7" s="1"/>
  <c r="AA156" i="7"/>
  <c r="AA169" i="7" s="1"/>
  <c r="AB146" i="7"/>
  <c r="AB159" i="7" s="1"/>
  <c r="AB172" i="7" s="1"/>
  <c r="AB157" i="7"/>
  <c r="AB170" i="7" s="1"/>
  <c r="AA157" i="7"/>
  <c r="AA170" i="7" s="1"/>
  <c r="AA101" i="7"/>
  <c r="AA114" i="7" s="1"/>
  <c r="AB113" i="7"/>
  <c r="AB126" i="7" s="1"/>
  <c r="AA158" i="7"/>
  <c r="AB158" i="7"/>
  <c r="AB171" i="7" s="1"/>
  <c r="AB168" i="7"/>
  <c r="AA147" i="7"/>
  <c r="AA160" i="7" s="1"/>
  <c r="AA173" i="7" s="1"/>
  <c r="AB102" i="7"/>
  <c r="AB103" i="7" s="1"/>
  <c r="AA71" i="7"/>
  <c r="AA84" i="7" s="1"/>
  <c r="AB59" i="7"/>
  <c r="AA72" i="7" s="1"/>
  <c r="AB125" i="7"/>
  <c r="AA61" i="7"/>
  <c r="AA74" i="7" s="1"/>
  <c r="AA87" i="7" s="1"/>
  <c r="AB448" i="7" l="1"/>
  <c r="AB461" i="7" s="1"/>
  <c r="AB474" i="7" s="1"/>
  <c r="AA415" i="7"/>
  <c r="AA428" i="7" s="1"/>
  <c r="AA416" i="7"/>
  <c r="AA429" i="7" s="1"/>
  <c r="AB415" i="7"/>
  <c r="AB428" i="7" s="1"/>
  <c r="AB404" i="7"/>
  <c r="AB417" i="7" s="1"/>
  <c r="AB430" i="7" s="1"/>
  <c r="AA459" i="7"/>
  <c r="AB459" i="7"/>
  <c r="AA447" i="7"/>
  <c r="AA460" i="7" s="1"/>
  <c r="AA473" i="7" s="1"/>
  <c r="AB364" i="7"/>
  <c r="AB329" i="7"/>
  <c r="AB342" i="7" s="1"/>
  <c r="AA407" i="7"/>
  <c r="AB317" i="7"/>
  <c r="AA330" i="7" s="1"/>
  <c r="AB373" i="7"/>
  <c r="AA373" i="7"/>
  <c r="AA361" i="7"/>
  <c r="AA201" i="7"/>
  <c r="AA214" i="7" s="1"/>
  <c r="AA318" i="7"/>
  <c r="AB286" i="7"/>
  <c r="AB299" i="7" s="1"/>
  <c r="AA286" i="7"/>
  <c r="AA299" i="7" s="1"/>
  <c r="AA159" i="7"/>
  <c r="AA172" i="7" s="1"/>
  <c r="AB289" i="7"/>
  <c r="AB302" i="7" s="1"/>
  <c r="AB278" i="7"/>
  <c r="AA274" i="7"/>
  <c r="AA298" i="7"/>
  <c r="AB243" i="7"/>
  <c r="AB256" i="7" s="1"/>
  <c r="AA243" i="7"/>
  <c r="AA256" i="7" s="1"/>
  <c r="AB231" i="7"/>
  <c r="AA102" i="7"/>
  <c r="AA115" i="7" s="1"/>
  <c r="AA128" i="7" s="1"/>
  <c r="AB114" i="7"/>
  <c r="AB127" i="7" s="1"/>
  <c r="AB254" i="7"/>
  <c r="AA231" i="7"/>
  <c r="AB189" i="7"/>
  <c r="AB202" i="7" s="1"/>
  <c r="AB72" i="7"/>
  <c r="AB85" i="7" s="1"/>
  <c r="AA190" i="7"/>
  <c r="AA203" i="7" s="1"/>
  <c r="AA216" i="7" s="1"/>
  <c r="AB147" i="7"/>
  <c r="AB160" i="7" s="1"/>
  <c r="AB173" i="7" s="1"/>
  <c r="AB175" i="7" s="1"/>
  <c r="AB177" i="7" s="1"/>
  <c r="K81" i="7" s="1"/>
  <c r="AA27" i="7" s="1"/>
  <c r="AB60" i="7"/>
  <c r="AB73" i="7" s="1"/>
  <c r="AB86" i="7" s="1"/>
  <c r="AA149" i="7"/>
  <c r="AA171" i="7"/>
  <c r="AB104" i="7"/>
  <c r="AB117" i="7" s="1"/>
  <c r="AB130" i="7" s="1"/>
  <c r="AA127" i="7"/>
  <c r="AA63" i="7"/>
  <c r="AA85" i="7"/>
  <c r="AB405" i="7" l="1"/>
  <c r="AB418" i="7" s="1"/>
  <c r="AB431" i="7" s="1"/>
  <c r="AB433" i="7" s="1"/>
  <c r="AB435" i="7" s="1"/>
  <c r="K87" i="7" s="1"/>
  <c r="AA33" i="7" s="1"/>
  <c r="AB450" i="7"/>
  <c r="AA417" i="7"/>
  <c r="AA430" i="7" s="1"/>
  <c r="AA433" i="7" s="1"/>
  <c r="AA435" i="7" s="1"/>
  <c r="J87" i="7" s="1"/>
  <c r="AB460" i="7"/>
  <c r="AB473" i="7" s="1"/>
  <c r="AA448" i="7"/>
  <c r="AA461" i="7" s="1"/>
  <c r="AA474" i="7" s="1"/>
  <c r="AA374" i="7"/>
  <c r="AA387" i="7" s="1"/>
  <c r="AB374" i="7"/>
  <c r="AB387" i="7" s="1"/>
  <c r="AA202" i="7"/>
  <c r="AA215" i="7" s="1"/>
  <c r="AA218" i="7" s="1"/>
  <c r="AA220" i="7" s="1"/>
  <c r="J82" i="7" s="1"/>
  <c r="Z28" i="7" s="1"/>
  <c r="AB472" i="7"/>
  <c r="AA472" i="7"/>
  <c r="AB330" i="7"/>
  <c r="AB343" i="7" s="1"/>
  <c r="AB318" i="7"/>
  <c r="AB331" i="7" s="1"/>
  <c r="AB344" i="7" s="1"/>
  <c r="AA362" i="7"/>
  <c r="AA375" i="7" s="1"/>
  <c r="AA388" i="7" s="1"/>
  <c r="AA287" i="7"/>
  <c r="AA300" i="7" s="1"/>
  <c r="AB287" i="7"/>
  <c r="AB300" i="7" s="1"/>
  <c r="AB115" i="7"/>
  <c r="AB128" i="7" s="1"/>
  <c r="AA386" i="7"/>
  <c r="AB386" i="7"/>
  <c r="AA162" i="7"/>
  <c r="AA175" i="7"/>
  <c r="AA177" i="7" s="1"/>
  <c r="J81" i="7" s="1"/>
  <c r="AA319" i="7"/>
  <c r="AA332" i="7" s="1"/>
  <c r="AA345" i="7" s="1"/>
  <c r="AA343" i="7"/>
  <c r="AA244" i="7"/>
  <c r="AA257" i="7" s="1"/>
  <c r="AA275" i="7"/>
  <c r="AA103" i="7"/>
  <c r="AA104" i="7" s="1"/>
  <c r="AA117" i="7" s="1"/>
  <c r="AA130" i="7" s="1"/>
  <c r="AB232" i="7"/>
  <c r="AB244" i="7"/>
  <c r="AA232" i="7"/>
  <c r="AB215" i="7"/>
  <c r="AB190" i="7"/>
  <c r="AB203" i="7" s="1"/>
  <c r="AB216" i="7" s="1"/>
  <c r="AA192" i="7"/>
  <c r="AA73" i="7"/>
  <c r="AA86" i="7" s="1"/>
  <c r="AA89" i="7" s="1"/>
  <c r="AA91" i="7" s="1"/>
  <c r="J79" i="7" s="1"/>
  <c r="Z25" i="7" s="1"/>
  <c r="AB162" i="7"/>
  <c r="AB61" i="7"/>
  <c r="AB74" i="7" s="1"/>
  <c r="AB87" i="7" s="1"/>
  <c r="AB89" i="7" s="1"/>
  <c r="AB91" i="7" s="1"/>
  <c r="K79" i="7" s="1"/>
  <c r="AA25" i="7" s="1"/>
  <c r="AB149" i="7"/>
  <c r="AB106" i="7"/>
  <c r="AA420" i="7" l="1"/>
  <c r="AB407" i="7"/>
  <c r="AA205" i="7"/>
  <c r="AB390" i="7"/>
  <c r="AB392" i="7" s="1"/>
  <c r="K86" i="7" s="1"/>
  <c r="AA32" i="7" s="1"/>
  <c r="AB463" i="7"/>
  <c r="AB476" i="7"/>
  <c r="AB478" i="7" s="1"/>
  <c r="K88" i="7" s="1"/>
  <c r="AA34" i="7" s="1"/>
  <c r="AA450" i="7"/>
  <c r="AB420" i="7"/>
  <c r="AA245" i="7"/>
  <c r="AA258" i="7" s="1"/>
  <c r="L81" i="7"/>
  <c r="AB27" i="7" s="1"/>
  <c r="Z27" i="7"/>
  <c r="L87" i="7"/>
  <c r="AB33" i="7" s="1"/>
  <c r="Z33" i="7"/>
  <c r="AA476" i="7"/>
  <c r="AA478" i="7" s="1"/>
  <c r="J88" i="7" s="1"/>
  <c r="Z34" i="7" s="1"/>
  <c r="AA331" i="7"/>
  <c r="AA344" i="7" s="1"/>
  <c r="AA347" i="7" s="1"/>
  <c r="AA349" i="7" s="1"/>
  <c r="AB377" i="7"/>
  <c r="AA463" i="7"/>
  <c r="AB116" i="7"/>
  <c r="AB129" i="7" s="1"/>
  <c r="AB132" i="7" s="1"/>
  <c r="AB134" i="7" s="1"/>
  <c r="K80" i="7" s="1"/>
  <c r="AA26" i="7" s="1"/>
  <c r="L79" i="7"/>
  <c r="AB25" i="7" s="1"/>
  <c r="AA377" i="7"/>
  <c r="AA390" i="7"/>
  <c r="AA392" i="7" s="1"/>
  <c r="J86" i="7" s="1"/>
  <c r="AA364" i="7"/>
  <c r="AB319" i="7"/>
  <c r="AB332" i="7" s="1"/>
  <c r="AB345" i="7" s="1"/>
  <c r="AB347" i="7" s="1"/>
  <c r="AB349" i="7" s="1"/>
  <c r="K85" i="7" s="1"/>
  <c r="AA31" i="7" s="1"/>
  <c r="AA288" i="7"/>
  <c r="AA301" i="7" s="1"/>
  <c r="AB288" i="7"/>
  <c r="AA106" i="7"/>
  <c r="AA116" i="7"/>
  <c r="AA321" i="7"/>
  <c r="AB245" i="7"/>
  <c r="AB258" i="7" s="1"/>
  <c r="AA276" i="7"/>
  <c r="AA289" i="7" s="1"/>
  <c r="AA302" i="7" s="1"/>
  <c r="AB233" i="7"/>
  <c r="AB246" i="7" s="1"/>
  <c r="AB259" i="7" s="1"/>
  <c r="AA233" i="7"/>
  <c r="AB257" i="7"/>
  <c r="AB205" i="7"/>
  <c r="AB63" i="7"/>
  <c r="AB218" i="7"/>
  <c r="AB220" i="7" s="1"/>
  <c r="K82" i="7" s="1"/>
  <c r="AB192" i="7"/>
  <c r="AA76" i="7"/>
  <c r="AB76" i="7"/>
  <c r="L88" i="7" l="1"/>
  <c r="AB34" i="7" s="1"/>
  <c r="L82" i="7"/>
  <c r="AB28" i="7" s="1"/>
  <c r="AA28" i="7"/>
  <c r="L86" i="7"/>
  <c r="AB32" i="7" s="1"/>
  <c r="Z32" i="7"/>
  <c r="AB119" i="7"/>
  <c r="AA334" i="7"/>
  <c r="J85" i="7"/>
  <c r="AB321" i="7"/>
  <c r="AB334" i="7"/>
  <c r="AB301" i="7"/>
  <c r="AB304" i="7" s="1"/>
  <c r="AB306" i="7" s="1"/>
  <c r="K84" i="7" s="1"/>
  <c r="AA30" i="7" s="1"/>
  <c r="AB291" i="7"/>
  <c r="AB248" i="7"/>
  <c r="AA129" i="7"/>
  <c r="AA132" i="7" s="1"/>
  <c r="AA134" i="7" s="1"/>
  <c r="AA119" i="7"/>
  <c r="AA291" i="7"/>
  <c r="AB261" i="7"/>
  <c r="AB263" i="7" s="1"/>
  <c r="K83" i="7" s="1"/>
  <c r="AA29" i="7" s="1"/>
  <c r="AA304" i="7"/>
  <c r="AA306" i="7" s="1"/>
  <c r="J84" i="7" s="1"/>
  <c r="Z30" i="7" s="1"/>
  <c r="AA278" i="7"/>
  <c r="AB235" i="7"/>
  <c r="AA246" i="7"/>
  <c r="AA235" i="7"/>
  <c r="L85" i="7" l="1"/>
  <c r="AB31" i="7" s="1"/>
  <c r="Z31" i="7"/>
  <c r="L84" i="7"/>
  <c r="AB30" i="7" s="1"/>
  <c r="J80" i="7"/>
  <c r="AA259" i="7"/>
  <c r="AA261" i="7" s="1"/>
  <c r="AA263" i="7" s="1"/>
  <c r="J83" i="7" s="1"/>
  <c r="AA248" i="7"/>
  <c r="L83" i="7" l="1"/>
  <c r="AB29" i="7" s="1"/>
  <c r="Z29" i="7"/>
  <c r="L80" i="7"/>
  <c r="AB26" i="7" s="1"/>
  <c r="Z26" i="7"/>
  <c r="AH25" i="7" l="1" a="1"/>
  <c r="AH25" i="7" s="1"/>
  <c r="AD25" i="7" a="1"/>
  <c r="AD25" i="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<sst xmlns="http://schemas.openxmlformats.org/spreadsheetml/2006/main" count="1346" uniqueCount="290">
  <si>
    <t>f(x) = Ax^4 +Bx^3 + C</t>
  </si>
  <si>
    <t>Data</t>
  </si>
  <si>
    <t>x</t>
  </si>
  <si>
    <t>f(x)</t>
  </si>
  <si>
    <t>Constants</t>
  </si>
  <si>
    <t>A</t>
  </si>
  <si>
    <t>B</t>
  </si>
  <si>
    <t>C</t>
  </si>
  <si>
    <t>df/dx</t>
  </si>
  <si>
    <t>df2/dx2</t>
  </si>
  <si>
    <t>Problem:</t>
  </si>
  <si>
    <t>Interval:</t>
  </si>
  <si>
    <t>Ratio big interval:</t>
  </si>
  <si>
    <t>Ratio small interval:</t>
  </si>
  <si>
    <t>Golden Ratio</t>
  </si>
  <si>
    <t>Type</t>
  </si>
  <si>
    <t>f(x+0.001)</t>
  </si>
  <si>
    <t>f(x-0.001)</t>
  </si>
  <si>
    <t>step</t>
  </si>
  <si>
    <t>Action</t>
  </si>
  <si>
    <t>Steps:</t>
  </si>
  <si>
    <t>1. Guess two values of $ x $ and get the $ f(x) $ for these</t>
  </si>
  <si>
    <t>2. If $ f(x_{2}) $ is greater than  $ f(x_{3}) $ , add a new (extended) $ x_{3} $ and delete $ x_{1} $</t>
  </si>
  <si>
    <t>3. If $ f(x_{2}) $ is greater than  $ f(x_{1}) $ , add a new (extended) $ x_{1} $ and delete $ x_{3} $</t>
  </si>
  <si>
    <t>4. A bracket will be found if the conditions above are met</t>
  </si>
  <si>
    <t>x_1</t>
  </si>
  <si>
    <t>x_3</t>
  </si>
  <si>
    <t>f(x_1)</t>
  </si>
  <si>
    <t>f(x_3)</t>
  </si>
  <si>
    <t>x_2</t>
  </si>
  <si>
    <t>f(x_2)</t>
  </si>
  <si>
    <t>New X1</t>
  </si>
  <si>
    <t>New x2</t>
  </si>
  <si>
    <t>New X3</t>
  </si>
  <si>
    <t>f'(x-0.001)</t>
  </si>
  <si>
    <t>f'(x+0.001)</t>
  </si>
  <si>
    <t>Inverse Parabolic Interpolation</t>
  </si>
  <si>
    <t>iter</t>
  </si>
  <si>
    <t>x*</t>
  </si>
  <si>
    <t>f(x*)</t>
  </si>
  <si>
    <t>Inverse Parabolic Interpolation (with golden section)</t>
  </si>
  <si>
    <t>x* = turning point of parabola = minimum point</t>
  </si>
  <si>
    <t>Used to improve results from bracketing</t>
  </si>
  <si>
    <t>NOTE: X* converges to minimum faster if golden sectioning is appplied!</t>
  </si>
  <si>
    <t>Newton's Method (Analytical)</t>
  </si>
  <si>
    <t>f'(x)</t>
  </si>
  <si>
    <t>f''(x)</t>
  </si>
  <si>
    <t>x_i+1</t>
  </si>
  <si>
    <t>x_i</t>
  </si>
  <si>
    <t>Almost never have 2nd differential</t>
  </si>
  <si>
    <t>Numerically unstable</t>
  </si>
  <si>
    <t>Problem: f(x) = A*x1 + B*x2 + C*x1x2 + D*x1^2 +E*x2^2</t>
  </si>
  <si>
    <t>x1</t>
  </si>
  <si>
    <t>x2</t>
  </si>
  <si>
    <t>D</t>
  </si>
  <si>
    <t>E</t>
  </si>
  <si>
    <t>df/dx1</t>
  </si>
  <si>
    <t>df/dx2</t>
  </si>
  <si>
    <t>d2f/dx12</t>
  </si>
  <si>
    <t>d2f/dx22</t>
  </si>
  <si>
    <t>S2_1</t>
  </si>
  <si>
    <t>S2_2</t>
  </si>
  <si>
    <t>d2f/dx1dx</t>
  </si>
  <si>
    <t>determinant</t>
  </si>
  <si>
    <t>|df/dx|^2</t>
  </si>
  <si>
    <t>lambda</t>
  </si>
  <si>
    <t>f(xi-λⱯf(xi))</t>
  </si>
  <si>
    <t>Solver solution</t>
  </si>
  <si>
    <t>Ɐf(xi)</t>
  </si>
  <si>
    <t>A+C*x2+2*D*x1</t>
  </si>
  <si>
    <t>B+C*x1+2*E*x2</t>
  </si>
  <si>
    <r>
      <t>xi2-</t>
    </r>
    <r>
      <rPr>
        <sz val="11"/>
        <color theme="1"/>
        <rFont val="Calibri"/>
        <family val="2"/>
      </rPr>
      <t>λⱯf(xi2)</t>
    </r>
  </si>
  <si>
    <t>Description</t>
  </si>
  <si>
    <t>Iter</t>
  </si>
  <si>
    <t>Here we have optimum lambdas at 0.29412 and 0.38462</t>
  </si>
  <si>
    <t>Conjugate Gradient</t>
  </si>
  <si>
    <r>
      <rPr>
        <b/>
        <u/>
        <sz val="9"/>
        <color theme="1"/>
        <rFont val="Calibri"/>
        <family val="2"/>
        <scheme val="minor"/>
      </rPr>
      <t>Steepest Descent</t>
    </r>
    <r>
      <rPr>
        <b/>
        <sz val="9"/>
        <color theme="1"/>
        <rFont val="Calibri"/>
        <family val="2"/>
        <scheme val="minor"/>
      </rPr>
      <t xml:space="preserve"> 
1) Start from arbitrary starting point x1 and x2.
2) Put in a range of lambda and see roughly if a minima of f(xi-λⱯf(xi)) can be found
3) Use solver to identify the minima of f(xi-λⱯf(xi)), this will be the points when we change direction
4) Obtain optimum lambda 1 and 2, iterate until solution converges</t>
    </r>
  </si>
  <si>
    <t>Conjugate have different lambdas for each iteration!</t>
  </si>
  <si>
    <t>Solver Solution</t>
  </si>
  <si>
    <t>f(x) Minima</t>
  </si>
  <si>
    <t>Hooke &amp; Jeeves</t>
  </si>
  <si>
    <t>change</t>
  </si>
  <si>
    <t>decision</t>
  </si>
  <si>
    <t>Step Length</t>
  </si>
  <si>
    <t>Base Point</t>
  </si>
  <si>
    <t>explore x1</t>
  </si>
  <si>
    <t>explore x2</t>
  </si>
  <si>
    <t>New Base Point</t>
  </si>
  <si>
    <t>Pattern Move</t>
  </si>
  <si>
    <t>Note pattern move is based on vetor from last base point to new base point</t>
  </si>
  <si>
    <t>Design a representation
Decide how to initialise a population
Design a way of mapping a genotype to a phenotype
Design a way of evaluating an individual
Design suitable mutation operators
Design suitable recombination operators
Decide how to manage population
Decide how to select individuals to be parents
Decide how to select individuals to be replaced
Decide when to stop the algorithm
Scale integers to get float
Mutation is important and should be controllable
Ranked based parents selection is used, where the "grades" always have the same proportions
Recombination : Exploitation operator
Mutation : Exploration operator
Stopping criterion
Never draw any conclusion from a single run
Exploration vs Explotation:
1. Too much exploration = sample unknown regions: random search no convergence
2. Too much exploitation = Try to improve the best-so-far individuals:  local search only, convergence to a local optimum</t>
  </si>
  <si>
    <t>lb</t>
  </si>
  <si>
    <t>P1</t>
  </si>
  <si>
    <t>P2</t>
  </si>
  <si>
    <t>UB</t>
  </si>
  <si>
    <t>Random no. 1</t>
  </si>
  <si>
    <t>Random no. 2</t>
  </si>
  <si>
    <t>Random no. 3</t>
  </si>
  <si>
    <t xml:space="preserve">Genetic Algorithm:
6 BIT BINARY, SINGLE VARIABLE, POPULATION OF DESIGNS </t>
  </si>
  <si>
    <t>GA Parameters</t>
  </si>
  <si>
    <t>Bits</t>
  </si>
  <si>
    <t>Min/max ADC</t>
  </si>
  <si>
    <t>Parent Bit String (la DNA)</t>
  </si>
  <si>
    <t>Power</t>
  </si>
  <si>
    <t>Bit Dec Val</t>
  </si>
  <si>
    <t>Converts ADC to proper Bin</t>
  </si>
  <si>
    <t>idk how to describe</t>
  </si>
  <si>
    <t>lol</t>
  </si>
  <si>
    <t>P1 ADC</t>
  </si>
  <si>
    <t>P2 ADC</t>
  </si>
  <si>
    <t>Float to 'Bit'</t>
  </si>
  <si>
    <t>Cross Over Point</t>
  </si>
  <si>
    <t>i.e. Bit to start splicing DNA</t>
  </si>
  <si>
    <t>Children Bit String</t>
  </si>
  <si>
    <t>Total Bit</t>
  </si>
  <si>
    <t>Mutation point</t>
  </si>
  <si>
    <t>Scaled Results</t>
  </si>
  <si>
    <t xml:space="preserve">Genetic Algorithm </t>
  </si>
  <si>
    <t>Genetic Algorithm 
(roulette wheel, minimization)</t>
  </si>
  <si>
    <t>Parent Number</t>
  </si>
  <si>
    <t>Parent Value (given)</t>
  </si>
  <si>
    <t>Rank</t>
  </si>
  <si>
    <t>Roulette Wheel Angle</t>
  </si>
  <si>
    <t>Counts of rank</t>
  </si>
  <si>
    <t>Sum of rank</t>
  </si>
  <si>
    <t>Fitness(=1-parent value) for minimization</t>
  </si>
  <si>
    <t>Rank based ordering</t>
  </si>
  <si>
    <t>Population</t>
  </si>
  <si>
    <t>Cumulative angle fractions</t>
  </si>
  <si>
    <t>member selection</t>
  </si>
  <si>
    <t>Random number</t>
  </si>
  <si>
    <t>Selected Rank</t>
  </si>
  <si>
    <t>Selected Parent</t>
  </si>
  <si>
    <t>P3</t>
  </si>
  <si>
    <t>P4</t>
  </si>
  <si>
    <t>P5</t>
  </si>
  <si>
    <t>P6</t>
  </si>
  <si>
    <t>P7</t>
  </si>
  <si>
    <t>P8</t>
  </si>
  <si>
    <t>P9</t>
  </si>
  <si>
    <t>P10</t>
  </si>
  <si>
    <t>Selected Parent Number</t>
  </si>
  <si>
    <t>Stage</t>
  </si>
  <si>
    <t>10 Population</t>
  </si>
  <si>
    <t>Minimisation</t>
  </si>
  <si>
    <t>Bounds</t>
  </si>
  <si>
    <t>LB</t>
  </si>
  <si>
    <t>Populating</t>
  </si>
  <si>
    <t>Random X1</t>
  </si>
  <si>
    <t>Random X2</t>
  </si>
  <si>
    <t>Parent (Randomised)</t>
  </si>
  <si>
    <t>Children Number</t>
  </si>
  <si>
    <t>Child Value</t>
  </si>
  <si>
    <t>Random Angle</t>
  </si>
  <si>
    <t>Cumulative angle</t>
  </si>
  <si>
    <t>C1</t>
  </si>
  <si>
    <t>C2</t>
  </si>
  <si>
    <t>C3</t>
  </si>
  <si>
    <t>C4</t>
  </si>
  <si>
    <t>C5</t>
  </si>
  <si>
    <t>C6</t>
  </si>
  <si>
    <t>C7</t>
  </si>
  <si>
    <t>C8</t>
  </si>
  <si>
    <t>C9</t>
  </si>
  <si>
    <t>C10</t>
  </si>
  <si>
    <t>Selection criteria</t>
  </si>
  <si>
    <t>Parent Selection</t>
  </si>
  <si>
    <t>X1</t>
  </si>
  <si>
    <t>X2</t>
  </si>
  <si>
    <t>Random Formula</t>
  </si>
  <si>
    <t>GEN 2</t>
  </si>
  <si>
    <t>C1 X1</t>
  </si>
  <si>
    <t xml:space="preserve"> C1 X2</t>
  </si>
  <si>
    <t>Plotter</t>
  </si>
  <si>
    <t>G1</t>
  </si>
  <si>
    <t>Random</t>
  </si>
  <si>
    <t>G2</t>
  </si>
  <si>
    <t>G3</t>
  </si>
  <si>
    <t>Sorted</t>
  </si>
  <si>
    <t>Constrained Functions</t>
  </si>
  <si>
    <t>f(x,y,z) = x^2 + y^2 + z^2</t>
  </si>
  <si>
    <t>Function</t>
  </si>
  <si>
    <t>Constraints</t>
  </si>
  <si>
    <t>x&gt;0</t>
  </si>
  <si>
    <t>y&gt;0</t>
  </si>
  <si>
    <t>z&gt;0</t>
  </si>
  <si>
    <t>xy=a</t>
  </si>
  <si>
    <t>kyz&gt;=b</t>
  </si>
  <si>
    <t>cxy&gt;=d</t>
  </si>
  <si>
    <t>y</t>
  </si>
  <si>
    <t>z</t>
  </si>
  <si>
    <t>f(x,y,z)</t>
  </si>
  <si>
    <t>xy-a</t>
  </si>
  <si>
    <t>a</t>
  </si>
  <si>
    <t>b</t>
  </si>
  <si>
    <t>c</t>
  </si>
  <si>
    <t>d</t>
  </si>
  <si>
    <t>k</t>
  </si>
  <si>
    <t>kyz-b</t>
  </si>
  <si>
    <t>cxy-d</t>
  </si>
  <si>
    <t>XY</t>
  </si>
  <si>
    <t>KYZ</t>
  </si>
  <si>
    <t>CXY</t>
  </si>
  <si>
    <t>Constraint Elimination</t>
  </si>
  <si>
    <t>f(x)=a+bx1^2+cx2^2</t>
  </si>
  <si>
    <t>x1&gt;=0</t>
  </si>
  <si>
    <t>x2&gt;=0</t>
  </si>
  <si>
    <t>x1x2&gt;=d</t>
  </si>
  <si>
    <t>constraint g(x)</t>
  </si>
  <si>
    <t>x1_0</t>
  </si>
  <si>
    <t>x2_0</t>
  </si>
  <si>
    <t>Init</t>
  </si>
  <si>
    <t>x1x2</t>
  </si>
  <si>
    <t>newton with second varible eliminated</t>
  </si>
  <si>
    <t>Eliminate second variable and assume active constraint</t>
  </si>
  <si>
    <t>f(x1,x2)</t>
  </si>
  <si>
    <t>d2f/dx1^2</t>
  </si>
  <si>
    <t>Variable Elimination</t>
  </si>
  <si>
    <t>f(x)=a+bx1^2+c(d/x1)^2</t>
  </si>
  <si>
    <t>f'(x)=2bx1-2cd^2/x1^3</t>
  </si>
  <si>
    <t>f''(x)=2b+6cd^2/x1^4</t>
  </si>
  <si>
    <t>x1_new</t>
  </si>
  <si>
    <t>Lagrange Multiplier</t>
  </si>
  <si>
    <t>Formula</t>
  </si>
  <si>
    <t>f(x) = a + bx1^2 + cx2^2</t>
  </si>
  <si>
    <t>2 Gen</t>
  </si>
  <si>
    <t>x1x2=d</t>
  </si>
  <si>
    <t>Starting x1</t>
  </si>
  <si>
    <t>Starting x2</t>
  </si>
  <si>
    <t>Lambda</t>
  </si>
  <si>
    <t>f</t>
  </si>
  <si>
    <t>L(x,lambda)</t>
  </si>
  <si>
    <t>Constraint func</t>
  </si>
  <si>
    <t>Solver</t>
  </si>
  <si>
    <t>Unstable</t>
  </si>
  <si>
    <t>Augmented Lagrange Multiplier</t>
  </si>
  <si>
    <t>r_k</t>
  </si>
  <si>
    <t>A(x,lambda,r_k)</t>
  </si>
  <si>
    <t>Polynomial Regression</t>
  </si>
  <si>
    <t>linest quadratic estimate (4 pts)</t>
  </si>
  <si>
    <t>linest quadratic estimate (5 pts)</t>
  </si>
  <si>
    <t>Minmum X</t>
  </si>
  <si>
    <t>Y</t>
  </si>
  <si>
    <t>Init X</t>
  </si>
  <si>
    <t>Coeff</t>
  </si>
  <si>
    <t>Standard error</t>
  </si>
  <si>
    <t>Col 1: r^2
Col 2: Standard error for y est.</t>
  </si>
  <si>
    <t>Col1: F-statistic
Col2: Degrees of freedom</t>
  </si>
  <si>
    <t>Col1: Regression sum of squares
Col2: Residual sum of squares</t>
  </si>
  <si>
    <t>Change (x)</t>
  </si>
  <si>
    <t>Change (y)</t>
  </si>
  <si>
    <t>Polynomial Regression with Update</t>
  </si>
  <si>
    <t xml:space="preserve">* Important to understand underlying physics! </t>
  </si>
  <si>
    <t xml:space="preserve">* Do not fit a linear trend to a physics phonemena that is non-linear! </t>
  </si>
  <si>
    <t>True Formula</t>
  </si>
  <si>
    <t>f(x) = 1/x + x^3 + 1</t>
  </si>
  <si>
    <t>Known Data</t>
  </si>
  <si>
    <t>True Minimum</t>
  </si>
  <si>
    <t>linest quadratic estimate 1</t>
  </si>
  <si>
    <t>Data comparison</t>
  </si>
  <si>
    <t>Unsorted</t>
  </si>
  <si>
    <t>Number</t>
  </si>
  <si>
    <t>f1</t>
  </si>
  <si>
    <t>f2</t>
  </si>
  <si>
    <t>Problem: f(x) = x1-x2^2+2x1x2^2+x2^3</t>
  </si>
  <si>
    <t xml:space="preserve">RANK 1 </t>
  </si>
  <si>
    <t>RANK</t>
  </si>
  <si>
    <t>RANK 2</t>
  </si>
  <si>
    <t>RANK 3</t>
  </si>
  <si>
    <t>FILTER</t>
  </si>
  <si>
    <t>Fuzzy Logic</t>
  </si>
  <si>
    <t>Member function 1</t>
  </si>
  <si>
    <t>Member function 2</t>
  </si>
  <si>
    <t>Combined</t>
  </si>
  <si>
    <t>Constant A</t>
  </si>
  <si>
    <t>Constant B</t>
  </si>
  <si>
    <t>Solver best design</t>
  </si>
  <si>
    <t>Solver worst design</t>
  </si>
  <si>
    <t>Design objective 1
f1(x)=A/x</t>
  </si>
  <si>
    <t>Design Objective 2
f2(x)=B*x^2</t>
  </si>
  <si>
    <t>Not OK</t>
  </si>
  <si>
    <t>OK</t>
  </si>
  <si>
    <t>Member func slope</t>
  </si>
  <si>
    <t>Member func const</t>
  </si>
  <si>
    <t>Mmber func Not OK</t>
  </si>
  <si>
    <t>Mmber func OK</t>
  </si>
  <si>
    <t>Member function param</t>
  </si>
  <si>
    <t>Make sure to add constraints to solver!</t>
  </si>
  <si>
    <t>MF1</t>
  </si>
  <si>
    <t>MF2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</si>
</sst>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1"/>
      <color theme="1"/>
      <name val="Calibri"/>
      <family val="2"/>
    </font>
    <font>
      <b/>
      <sz val="9"/>
      <color theme="1"/>
      <name val="Calibri"/>
      <family val="2"/>
      <scheme val="minor"/>
    </font>
    <font>
      <b/>
      <u/>
      <sz val="9"/>
      <color theme="1"/>
      <name val="Calibri"/>
      <family val="2"/>
      <scheme val="minor"/>
    </font>
    <font>
      <sz val="8"/>
      <name val="Calibri"/>
      <family val="2"/>
      <scheme val="minor"/>
    </font>
    <font>
      <sz val="10"/>
      <color rgb="FF000000"/>
      <name val="Arial"/>
      <family val="2"/>
    </font>
    <font>
      <sz val="9.9"/>
      <color rgb="FFF2F2F2"/>
      <name val="Var(--font-mono)"/>
    </font>
    <font>
      <sz val="11"/>
      <name val="Calibri"/>
      <family val="2"/>
      <scheme val="minor"/>
    </font>
  </fonts>
  <fills count="19">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FFC000"/>
        <bgColor indexed="64"/>
      </patternFill>
    </fill>
    <fill>
      <patternFill patternType="solid">
        <fgColor rgb="FFFF0000"/>
        <bgColor indexed="64"/>
      </patternFill>
    </fill>
  </fills>
  <borders count="22">
    <border>
      <left/>
      <right/>
      <top/>
      <bottom/>
      <diagonal/>
    </border>
    <border>
      <left/>
      <right/>
      <top style="thin">
        <color indexed="64"/>
      </top>
      <bottom style="thin">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6">
    <xf numFmtId="0" fontId="0" fillId="0" borderId="0" xfId="0"/>
    <xf numFmtId="0" fontId="1" fillId="0" borderId="0" xfId="0" applyFont="1"/>
    <xf numFmtId="0" fontId="1" fillId="0" borderId="0" xfId="0" applyFont="1" applyAlignment="1">
      <alignment horizontal="center" vertical="center"/>
    </xf>
    <xf numFmtId="0" fontId="0" fillId="2" borderId="0" xfId="0" applyFill="1"/>
    <xf numFmtId="0" fontId="0" fillId="3" borderId="1" xfId="0" applyFill="1" applyBorder="1"/>
    <xf numFmtId="0" fontId="0" fillId="4" borderId="0" xfId="0" applyFill="1"/>
    <xf numFmtId="0" fontId="0" fillId="5" borderId="0" xfId="0" applyFill="1"/>
    <xf numFmtId="0" fontId="0" fillId="6" borderId="0" xfId="0" applyFill="1"/>
    <xf numFmtId="0" fontId="0" fillId="7" borderId="0" xfId="0" applyFill="1"/>
    <xf numFmtId="0" fontId="0" fillId="3" borderId="3" xfId="0" applyFill="1" applyBorder="1"/>
    <xf numFmtId="0" fontId="0" fillId="3" borderId="4" xfId="0" applyFill="1" applyBorder="1"/>
    <xf numFmtId="0" fontId="0" fillId="4" borderId="5" xfId="0" applyFill="1" applyBorder="1"/>
    <xf numFmtId="0" fontId="0" fillId="4" borderId="6" xfId="0" applyFill="1" applyBorder="1"/>
    <xf numFmtId="0" fontId="0" fillId="4" borderId="7" xfId="0" applyFill="1" applyBorder="1"/>
    <xf numFmtId="0" fontId="0" fillId="4" borderId="8" xfId="0" applyFill="1" applyBorder="1"/>
    <xf numFmtId="0" fontId="0" fillId="0" borderId="0" xfId="0"/>
    <xf numFmtId="0" fontId="0" fillId="0" borderId="0" xfId="0" applyAlignment="1"/>
    <xf numFmtId="0" fontId="0" fillId="0" borderId="0" xfId="0" applyFill="1" applyBorder="1"/>
    <xf numFmtId="0" fontId="0" fillId="0" borderId="0" xfId="0"/>
    <xf numFmtId="0" fontId="1" fillId="0" borderId="0" xfId="0" applyFont="1" applyBorder="1" applyAlignment="1">
      <alignment vertical="top" wrapText="1"/>
    </xf>
    <xf numFmtId="0" fontId="0" fillId="8" borderId="0" xfId="0" applyFill="1"/>
    <xf numFmtId="0" fontId="1" fillId="7" borderId="10" xfId="0" applyFont="1" applyFill="1" applyBorder="1"/>
    <xf numFmtId="0" fontId="0" fillId="7" borderId="1" xfId="0" applyFill="1" applyBorder="1"/>
    <xf numFmtId="0" fontId="0" fillId="7" borderId="11" xfId="0" applyFill="1" applyBorder="1"/>
    <xf numFmtId="0" fontId="0" fillId="7" borderId="12" xfId="0" applyFill="1" applyBorder="1" applyAlignment="1">
      <alignment wrapText="1"/>
    </xf>
    <xf numFmtId="0" fontId="1" fillId="7" borderId="13" xfId="0" applyFont="1" applyFill="1" applyBorder="1"/>
    <xf numFmtId="0" fontId="0" fillId="7" borderId="14" xfId="0" applyFill="1" applyBorder="1"/>
    <xf numFmtId="0" fontId="1" fillId="7" borderId="15" xfId="0" applyFont="1" applyFill="1" applyBorder="1"/>
    <xf numFmtId="0" fontId="0" fillId="7" borderId="16" xfId="0" applyFill="1" applyBorder="1"/>
    <xf numFmtId="0" fontId="1" fillId="7" borderId="17" xfId="0" applyFont="1" applyFill="1" applyBorder="1"/>
    <xf numFmtId="0" fontId="0" fillId="7" borderId="18" xfId="0" applyFill="1" applyBorder="1"/>
    <xf numFmtId="0" fontId="1" fillId="8" borderId="0" xfId="0" applyFont="1" applyFill="1"/>
    <xf numFmtId="0" fontId="1" fillId="7" borderId="12" xfId="0" applyFont="1" applyFill="1" applyBorder="1" applyAlignment="1">
      <alignment wrapText="1"/>
    </xf>
    <xf numFmtId="0" fontId="1" fillId="6" borderId="0" xfId="0" applyFont="1" applyFill="1"/>
    <xf numFmtId="0" fontId="0" fillId="0" borderId="0" xfId="0" applyAlignment="1">
      <alignment horizontal="left" vertical="top" wrapText="1"/>
    </xf>
    <xf numFmtId="0" fontId="0" fillId="3" borderId="0" xfId="0" applyFill="1" applyBorder="1"/>
    <xf numFmtId="0" fontId="1" fillId="0" borderId="0" xfId="0" applyFont="1" applyAlignment="1">
      <alignment horizontal="left" vertical="top" wrapText="1"/>
    </xf>
    <xf numFmtId="0" fontId="0" fillId="9" borderId="0" xfId="0" applyFill="1"/>
    <xf numFmtId="0" fontId="0" fillId="10" borderId="0" xfId="0" applyFill="1"/>
    <xf numFmtId="0" fontId="0" fillId="7" borderId="0" xfId="0" applyFill="1" applyAlignment="1">
      <alignment wrapText="1"/>
    </xf>
    <xf numFmtId="0" fontId="0" fillId="9" borderId="0" xfId="0" applyFill="1" applyBorder="1"/>
    <xf numFmtId="0" fontId="0" fillId="8" borderId="0" xfId="0" applyFill="1" applyBorder="1"/>
    <xf numFmtId="0" fontId="0" fillId="11" borderId="0" xfId="0" applyFill="1" applyBorder="1"/>
    <xf numFmtId="0" fontId="0" fillId="11" borderId="0" xfId="0" applyFill="1"/>
    <xf numFmtId="0" fontId="0" fillId="10" borderId="0" xfId="0" applyFill="1" applyBorder="1"/>
    <xf numFmtId="0" fontId="0" fillId="12" borderId="0" xfId="0" applyFill="1"/>
    <xf numFmtId="0" fontId="0" fillId="13" borderId="0" xfId="0" applyFill="1"/>
    <xf numFmtId="0" fontId="0" fillId="0" borderId="0" xfId="0"/>
    <xf numFmtId="0" fontId="0" fillId="0" borderId="0" xfId="0" applyAlignment="1">
      <alignment wrapText="1"/>
    </xf>
    <xf numFmtId="0" fontId="0" fillId="7" borderId="2" xfId="0" applyFill="1" applyBorder="1"/>
    <xf numFmtId="0" fontId="1" fillId="0" borderId="0" xfId="0" applyFont="1" applyFill="1" applyBorder="1"/>
    <xf numFmtId="0" fontId="0" fillId="0" borderId="0" xfId="0" applyFill="1" applyBorder="1" applyAlignment="1">
      <alignment wrapText="1"/>
    </xf>
    <xf numFmtId="0" fontId="0" fillId="0" borderId="0" xfId="0" applyFill="1" applyBorder="1" applyAlignment="1"/>
    <xf numFmtId="0" fontId="0" fillId="7" borderId="0" xfId="0" applyFill="1" applyBorder="1"/>
    <xf numFmtId="0" fontId="0" fillId="0" borderId="0" xfId="0" applyFill="1"/>
    <xf numFmtId="0" fontId="0" fillId="7" borderId="0" xfId="0" applyFill="1" applyAlignment="1">
      <alignment horizontal="left" vertical="top" wrapText="1"/>
    </xf>
    <xf numFmtId="0" fontId="1" fillId="7" borderId="0" xfId="0" applyFont="1" applyFill="1" applyBorder="1"/>
    <xf numFmtId="0" fontId="0" fillId="7" borderId="0" xfId="0" applyFill="1" applyBorder="1" applyAlignment="1">
      <alignment wrapText="1"/>
    </xf>
    <xf numFmtId="0" fontId="0" fillId="7" borderId="0" xfId="0" applyFill="1" applyBorder="1" applyAlignment="1"/>
    <xf numFmtId="0" fontId="1" fillId="0" borderId="15" xfId="0" applyFont="1" applyBorder="1" applyAlignment="1">
      <alignment horizontal="left" vertical="top" wrapText="1"/>
    </xf>
    <xf numFmtId="0" fontId="0" fillId="0" borderId="0" xfId="0" applyBorder="1"/>
    <xf numFmtId="0" fontId="0" fillId="0" borderId="16" xfId="0" applyBorder="1"/>
    <xf numFmtId="0" fontId="0" fillId="3" borderId="10" xfId="0" applyFill="1" applyBorder="1"/>
    <xf numFmtId="0" fontId="0" fillId="3" borderId="16" xfId="0" applyFill="1" applyBorder="1"/>
    <xf numFmtId="0" fontId="0" fillId="7" borderId="15" xfId="0" applyFill="1" applyBorder="1" applyAlignment="1">
      <alignment wrapText="1"/>
    </xf>
    <xf numFmtId="0" fontId="0" fillId="13" borderId="0" xfId="0" applyFill="1" applyBorder="1"/>
    <xf numFmtId="0" fontId="0" fillId="7" borderId="15" xfId="0" applyFill="1" applyBorder="1"/>
    <xf numFmtId="0" fontId="0" fillId="0" borderId="15" xfId="0" applyBorder="1"/>
    <xf numFmtId="0" fontId="0" fillId="6" borderId="15" xfId="0" applyFill="1" applyBorder="1"/>
    <xf numFmtId="0" fontId="0" fillId="6" borderId="0" xfId="0" applyFill="1" applyBorder="1"/>
    <xf numFmtId="0" fontId="0" fillId="12" borderId="0" xfId="0" applyFill="1" applyBorder="1"/>
    <xf numFmtId="0" fontId="0" fillId="12" borderId="16" xfId="0" applyFill="1" applyBorder="1"/>
    <xf numFmtId="0" fontId="0" fillId="5" borderId="17" xfId="0" applyFill="1" applyBorder="1"/>
    <xf numFmtId="0" fontId="0" fillId="5" borderId="9" xfId="0" applyFill="1" applyBorder="1"/>
    <xf numFmtId="0" fontId="0" fillId="13" borderId="9" xfId="0" applyFill="1" applyBorder="1"/>
    <xf numFmtId="0" fontId="0" fillId="0" borderId="9" xfId="0" applyBorder="1"/>
    <xf numFmtId="0" fontId="0" fillId="0" borderId="18" xfId="0" applyBorder="1"/>
    <xf numFmtId="0" fontId="0" fillId="0" borderId="0" xfId="0"/>
    <xf numFmtId="0" fontId="0" fillId="0" borderId="0" xfId="0"/>
    <xf numFmtId="0" fontId="0" fillId="0" borderId="19" xfId="0" applyBorder="1" applyAlignment="1">
      <alignment horizontal="center"/>
    </xf>
    <xf numFmtId="0" fontId="1" fillId="0" borderId="0" xfId="0" applyFont="1" applyAlignment="1">
      <alignment wrapText="1"/>
    </xf>
    <xf numFmtId="0" fontId="0" fillId="14" borderId="0" xfId="0" applyFill="1"/>
    <xf numFmtId="0" fontId="0" fillId="14" borderId="0" xfId="0" applyFill="1" applyAlignment="1">
      <alignment wrapText="1"/>
    </xf>
    <xf numFmtId="0" fontId="0" fillId="15" borderId="0" xfId="0" applyFill="1" applyBorder="1"/>
    <xf numFmtId="0" fontId="0" fillId="15" borderId="0" xfId="0" applyFill="1"/>
    <xf numFmtId="0" fontId="0" fillId="0" borderId="0" xfId="0"/>
    <xf numFmtId="0" fontId="0" fillId="0" borderId="2" xfId="0" applyBorder="1"/>
    <xf numFmtId="0" fontId="0" fillId="0" borderId="14" xfId="0" applyBorder="1"/>
    <xf numFmtId="0" fontId="0" fillId="0" borderId="0" xfId="0" applyBorder="1" applyAlignment="1">
      <alignment wrapText="1"/>
    </xf>
    <xf numFmtId="0" fontId="0" fillId="3" borderId="0" xfId="0" applyFill="1" applyBorder="1" applyAlignment="1">
      <alignment wrapText="1"/>
    </xf>
    <xf numFmtId="0" fontId="0" fillId="0" borderId="16" xfId="0" applyBorder="1" applyAlignment="1">
      <alignment wrapText="1"/>
    </xf>
    <xf numFmtId="0" fontId="0" fillId="2" borderId="16" xfId="0" applyFill="1" applyBorder="1"/>
    <xf numFmtId="0" fontId="1" fillId="7" borderId="13" xfId="0" applyFont="1" applyFill="1" applyBorder="1" applyAlignment="1">
      <alignment wrapText="1"/>
    </xf>
    <xf numFmtId="0" fontId="1" fillId="7" borderId="15" xfId="0" applyFont="1" applyFill="1" applyBorder="1" applyAlignment="1">
      <alignment wrapText="1"/>
    </xf>
    <xf numFmtId="0" fontId="1" fillId="7" borderId="17" xfId="0" applyFont="1" applyFill="1" applyBorder="1" applyAlignment="1">
      <alignment wrapText="1"/>
    </xf>
    <xf numFmtId="0" fontId="0" fillId="3" borderId="16" xfId="0" applyFill="1" applyBorder="1" applyAlignment="1">
      <alignment wrapText="1"/>
    </xf>
    <xf numFmtId="0" fontId="1" fillId="7" borderId="0" xfId="0" applyFont="1" applyFill="1" applyBorder="1" applyAlignment="1">
      <alignment wrapText="1"/>
    </xf>
    <xf numFmtId="0" fontId="1" fillId="7" borderId="0" xfId="0" applyFont="1" applyFill="1"/>
    <xf numFmtId="0" fontId="0" fillId="0" borderId="2" xfId="0" applyBorder="1" applyAlignment="1">
      <alignment horizontal="left" vertical="top" wrapText="1"/>
    </xf>
    <xf numFmtId="0" fontId="0" fillId="8" borderId="2" xfId="0" applyFill="1" applyBorder="1"/>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9" xfId="0" applyFill="1" applyBorder="1"/>
    <xf numFmtId="0" fontId="0" fillId="0" borderId="20" xfId="0" applyBorder="1"/>
    <xf numFmtId="0" fontId="6" fillId="16" borderId="21" xfId="0" applyFont="1" applyFill="1" applyBorder="1" applyAlignment="1">
      <alignment vertical="center" wrapText="1"/>
    </xf>
    <xf numFmtId="0" fontId="0" fillId="0" borderId="10" xfId="0" applyBorder="1" applyAlignment="1">
      <alignment horizontal="center"/>
    </xf>
    <xf numFmtId="0" fontId="0" fillId="0" borderId="11" xfId="0" applyBorder="1" applyAlignment="1">
      <alignment horizontal="center"/>
    </xf>
    <xf numFmtId="0" fontId="0" fillId="0" borderId="20" xfId="0" applyBorder="1" applyAlignment="1">
      <alignment horizontal="center"/>
    </xf>
    <xf numFmtId="0" fontId="0" fillId="0" borderId="0" xfId="0" applyAlignment="1">
      <alignment horizontal="center"/>
    </xf>
    <xf numFmtId="0" fontId="7" fillId="0" borderId="0" xfId="0" applyFont="1" applyAlignment="1">
      <alignment vertical="center"/>
    </xf>
    <xf numFmtId="2" fontId="0" fillId="0" borderId="0" xfId="0" applyNumberFormat="1"/>
    <xf numFmtId="1" fontId="0" fillId="0" borderId="0" xfId="0" applyNumberFormat="1"/>
    <xf numFmtId="0" fontId="8" fillId="0" borderId="0" xfId="0" applyFont="1"/>
    <xf numFmtId="0" fontId="0" fillId="0" borderId="2" xfId="0" applyBorder="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Border="1" applyAlignment="1">
      <alignment horizontal="center" vertical="center" wrapText="1"/>
    </xf>
    <xf numFmtId="0" fontId="0" fillId="0" borderId="0" xfId="0"/>
    <xf numFmtId="0" fontId="0" fillId="8" borderId="9" xfId="0" applyFill="1" applyBorder="1" applyAlignment="1">
      <alignment horizontal="center" wrapText="1"/>
    </xf>
    <xf numFmtId="0" fontId="0" fillId="8" borderId="9" xfId="0" applyFill="1" applyBorder="1" applyAlignment="1">
      <alignment horizontal="center"/>
    </xf>
    <xf numFmtId="0" fontId="3" fillId="0" borderId="2" xfId="0" applyFont="1" applyBorder="1" applyAlignment="1">
      <alignment horizontal="left" vertical="top" wrapText="1"/>
    </xf>
    <xf numFmtId="0" fontId="3" fillId="0" borderId="0" xfId="0" applyFont="1" applyBorder="1" applyAlignment="1">
      <alignment horizontal="left" vertical="top" wrapText="1"/>
    </xf>
    <xf numFmtId="0" fontId="1" fillId="0" borderId="13" xfId="0" applyFont="1" applyBorder="1" applyAlignment="1">
      <alignment horizontal="center" vertical="top" wrapText="1"/>
    </xf>
    <xf numFmtId="0" fontId="1" fillId="0" borderId="2" xfId="0" applyFont="1" applyBorder="1" applyAlignment="1">
      <alignment horizontal="center" vertical="top" wrapText="1"/>
    </xf>
    <xf numFmtId="0" fontId="1" fillId="0" borderId="14" xfId="0" applyFont="1" applyBorder="1" applyAlignment="1">
      <alignment horizontal="center" vertical="top" wrapText="1"/>
    </xf>
    <xf numFmtId="0" fontId="0" fillId="0" borderId="0" xfId="0" applyAlignment="1">
      <alignment horizontal="center" vertical="center"/>
    </xf>
    <xf numFmtId="0" fontId="0" fillId="0" borderId="16" xfId="0" applyBorder="1" applyAlignment="1">
      <alignment horizontal="center"/>
    </xf>
    <xf numFmtId="0" fontId="0" fillId="0" borderId="19" xfId="0" applyBorder="1" applyAlignment="1">
      <alignment horizontal="center"/>
    </xf>
    <xf numFmtId="0" fontId="0" fillId="7" borderId="0" xfId="0" applyFill="1" applyAlignment="1">
      <alignment horizontal="center" vertical="center" wrapText="1"/>
    </xf>
    <xf numFmtId="0" fontId="1" fillId="7" borderId="0" xfId="0" applyFont="1" applyFill="1" applyAlignment="1">
      <alignment horizontal="center"/>
    </xf>
    <xf numFmtId="0" fontId="1" fillId="0" borderId="0" xfId="0" applyFont="1" applyAlignment="1">
      <alignment horizontal="center"/>
    </xf>
    <xf numFmtId="0" fontId="0" fillId="0" borderId="20" xfId="0" applyBorder="1" applyAlignment="1">
      <alignment horizontal="center" vertical="center"/>
    </xf>
    <xf numFmtId="0" fontId="0" fillId="0" borderId="10" xfId="0" applyBorder="1" applyAlignment="1">
      <alignment horizontal="center"/>
    </xf>
    <xf numFmtId="0" fontId="0" fillId="0" borderId="1" xfId="0" applyBorder="1" applyAlignment="1">
      <alignment horizontal="center"/>
    </xf>
    <xf numFmtId="0" fontId="0" fillId="0" borderId="11" xfId="0" applyBorder="1" applyAlignment="1">
      <alignment horizontal="center"/>
    </xf>
    <xf numFmtId="0" fontId="0" fillId="0" borderId="15" xfId="0" applyBorder="1" applyAlignment="1">
      <alignment horizontal="center" vertical="center"/>
    </xf>
    <xf numFmtId="0" fontId="0" fillId="2" borderId="10" xfId="0" applyFill="1" applyBorder="1" applyAlignment="1">
      <alignment horizontal="center"/>
    </xf>
    <xf numFmtId="0" fontId="0" fillId="2" borderId="1" xfId="0" applyFill="1" applyBorder="1" applyAlignment="1">
      <alignment horizontal="center"/>
    </xf>
    <xf numFmtId="0" fontId="0" fillId="2" borderId="11" xfId="0" applyFill="1" applyBorder="1" applyAlignment="1">
      <alignment horizontal="center"/>
    </xf>
    <xf numFmtId="0" fontId="0" fillId="17" borderId="10" xfId="0" applyFill="1" applyBorder="1" applyAlignment="1">
      <alignment horizontal="center"/>
    </xf>
    <xf numFmtId="0" fontId="0" fillId="17" borderId="1" xfId="0" applyFill="1" applyBorder="1" applyAlignment="1">
      <alignment horizontal="center"/>
    </xf>
    <xf numFmtId="0" fontId="0" fillId="17" borderId="11" xfId="0" applyFill="1" applyBorder="1" applyAlignment="1">
      <alignment horizontal="center"/>
    </xf>
    <xf numFmtId="0" fontId="0" fillId="18" borderId="10" xfId="0" applyFill="1" applyBorder="1" applyAlignment="1">
      <alignment horizontal="center"/>
    </xf>
    <xf numFmtId="0" fontId="0" fillId="18" borderId="1" xfId="0" applyFill="1" applyBorder="1" applyAlignment="1">
      <alignment horizontal="center"/>
    </xf>
    <xf numFmtId="0" fontId="0" fillId="18" borderId="11" xfId="0" applyFill="1" applyBorder="1" applyAlignment="1">
      <alignment horizontal="center"/>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Line Search</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2513025424060801E-2"/>
          <c:y val="9.2078415125447843E-2"/>
          <c:w val="0.93950381345844969"/>
          <c:h val="0.86490026424927513"/>
        </c:manualLayout>
      </c:layout>
      <c:scatterChart>
        <c:scatterStyle val="lineMarker"/>
        <c:varyColors val="0"/>
        <c:ser>
          <c:idx val="0"/>
          <c:order val="0"/>
          <c:tx>
            <c:v>Golden Ratio</c:v>
          </c:tx>
          <c:spPr>
            <a:ln w="25400" cap="rnd">
              <a:noFill/>
              <a:round/>
            </a:ln>
            <a:effectLst/>
          </c:spPr>
          <c:marker>
            <c:symbol val="circle"/>
            <c:size val="9"/>
            <c:spPr>
              <a:noFill/>
              <a:ln w="19050">
                <a:solidFill>
                  <a:srgbClr val="FFC000"/>
                </a:solidFill>
              </a:ln>
              <a:effectLst/>
            </c:spPr>
          </c:marker>
          <c:xVal>
            <c:numRef>
              <c:f>LineSearch!$E$19:$E$28</c:f>
              <c:numCache>
                <c:formatCode>General</c:formatCode>
                <c:ptCount val="10"/>
                <c:pt idx="0">
                  <c:v>1.3819699999999999</c:v>
                </c:pt>
                <c:pt idx="1">
                  <c:v>1.6180389191</c:v>
                </c:pt>
                <c:pt idx="2">
                  <c:v>1.4721412450286269</c:v>
                </c:pt>
                <c:pt idx="3">
                  <c:v>1.5278697795936693</c:v>
                </c:pt>
                <c:pt idx="4">
                  <c:v>1.4934278733764361</c:v>
                </c:pt>
                <c:pt idx="5">
                  <c:v>1.5065836482942327</c:v>
                </c:pt>
                <c:pt idx="6">
                  <c:v>1.4984529847217869</c:v>
                </c:pt>
                <c:pt idx="7">
                  <c:v>1.501558654286554</c:v>
                </c:pt>
                <c:pt idx="8">
                  <c:v>1.4996392573254409</c:v>
                </c:pt>
                <c:pt idx="9">
                  <c:v>1.5003724093826774</c:v>
                </c:pt>
              </c:numCache>
            </c:numRef>
          </c:xVal>
          <c:yVal>
            <c:numRef>
              <c:f>LineSearch!$F$19:$F$28</c:f>
              <c:numCache>
                <c:formatCode>General</c:formatCode>
                <c:ptCount val="10"/>
                <c:pt idx="0">
                  <c:v>2.3688067971505347</c:v>
                </c:pt>
                <c:pt idx="1">
                  <c:v>2.3819721056438388</c:v>
                </c:pt>
                <c:pt idx="2">
                  <c:v>2.3159066125168319</c:v>
                </c:pt>
                <c:pt idx="3">
                  <c:v>2.3160824526420809</c:v>
                </c:pt>
                <c:pt idx="4">
                  <c:v>2.3126932342077504</c:v>
                </c:pt>
                <c:pt idx="5">
                  <c:v>2.3126961932484136</c:v>
                </c:pt>
                <c:pt idx="6">
                  <c:v>2.3125107548493311</c:v>
                </c:pt>
                <c:pt idx="7">
                  <c:v>2.3125109474666337</c:v>
                </c:pt>
                <c:pt idx="8">
                  <c:v>2.3125005854209828</c:v>
                </c:pt>
                <c:pt idx="9">
                  <c:v>2.312500624305982</c:v>
                </c:pt>
              </c:numCache>
            </c:numRef>
          </c:yVal>
          <c:smooth val="0"/>
          <c:extLst>
            <c:ext xmlns:c16="http://schemas.microsoft.com/office/drawing/2014/chart" uri="{C3380CC4-5D6E-409C-BE32-E72D297353CC}">
              <c16:uniqueId val="{00000000-C61E-49F4-8490-FBA141B08590}"/>
            </c:ext>
          </c:extLst>
        </c:ser>
        <c:ser>
          <c:idx val="1"/>
          <c:order val="1"/>
          <c:tx>
            <c:v>True Data</c:v>
          </c:tx>
          <c:spPr>
            <a:ln w="6350" cap="rnd">
              <a:solidFill>
                <a:srgbClr val="FF0000"/>
              </a:solidFill>
              <a:round/>
            </a:ln>
            <a:effectLst/>
          </c:spPr>
          <c:marker>
            <c:symbol val="dot"/>
            <c:size val="3"/>
            <c:spPr>
              <a:solidFill>
                <a:schemeClr val="accent2"/>
              </a:solidFill>
              <a:ln w="9525">
                <a:solidFill>
                  <a:schemeClr val="accent2"/>
                </a:solidFill>
              </a:ln>
              <a:effectLst/>
            </c:spPr>
          </c:marker>
          <c:xVal>
            <c:numRef>
              <c:f>LineSearchTrueDataPlot!$C$2:$C$101</c:f>
              <c:numCache>
                <c:formatCode>General</c:formatCode>
                <c:ptCount val="100"/>
                <c:pt idx="0">
                  <c:v>0</c:v>
                </c:pt>
                <c:pt idx="1">
                  <c:v>0.02</c:v>
                </c:pt>
                <c:pt idx="2">
                  <c:v>0.04</c:v>
                </c:pt>
                <c:pt idx="3">
                  <c:v>0.06</c:v>
                </c:pt>
                <c:pt idx="4">
                  <c:v>0.08</c:v>
                </c:pt>
                <c:pt idx="5">
                  <c:v>0.1</c:v>
                </c:pt>
                <c:pt idx="6">
                  <c:v>0.12000000000000001</c:v>
                </c:pt>
                <c:pt idx="7">
                  <c:v>0.14000000000000001</c:v>
                </c:pt>
                <c:pt idx="8">
                  <c:v>0.16</c:v>
                </c:pt>
                <c:pt idx="9">
                  <c:v>0.18</c:v>
                </c:pt>
                <c:pt idx="10">
                  <c:v>0.19999999999999998</c:v>
                </c:pt>
                <c:pt idx="11">
                  <c:v>0.21999999999999997</c:v>
                </c:pt>
                <c:pt idx="12">
                  <c:v>0.23999999999999996</c:v>
                </c:pt>
                <c:pt idx="13">
                  <c:v>0.25999999999999995</c:v>
                </c:pt>
                <c:pt idx="14">
                  <c:v>0.27999999999999997</c:v>
                </c:pt>
                <c:pt idx="15">
                  <c:v>0.3</c:v>
                </c:pt>
                <c:pt idx="16">
                  <c:v>0.32</c:v>
                </c:pt>
                <c:pt idx="17">
                  <c:v>0.34</c:v>
                </c:pt>
                <c:pt idx="18">
                  <c:v>0.36000000000000004</c:v>
                </c:pt>
                <c:pt idx="19">
                  <c:v>0.38000000000000006</c:v>
                </c:pt>
                <c:pt idx="20">
                  <c:v>0.40000000000000008</c:v>
                </c:pt>
                <c:pt idx="21">
                  <c:v>0.4200000000000001</c:v>
                </c:pt>
                <c:pt idx="22">
                  <c:v>0.44000000000000011</c:v>
                </c:pt>
                <c:pt idx="23">
                  <c:v>0.46000000000000013</c:v>
                </c:pt>
                <c:pt idx="24">
                  <c:v>0.48000000000000015</c:v>
                </c:pt>
                <c:pt idx="25">
                  <c:v>0.50000000000000011</c:v>
                </c:pt>
                <c:pt idx="26">
                  <c:v>0.52000000000000013</c:v>
                </c:pt>
                <c:pt idx="27">
                  <c:v>0.54000000000000015</c:v>
                </c:pt>
                <c:pt idx="28">
                  <c:v>0.56000000000000016</c:v>
                </c:pt>
                <c:pt idx="29">
                  <c:v>0.58000000000000018</c:v>
                </c:pt>
                <c:pt idx="30">
                  <c:v>0.6000000000000002</c:v>
                </c:pt>
                <c:pt idx="31">
                  <c:v>0.62000000000000022</c:v>
                </c:pt>
                <c:pt idx="32">
                  <c:v>0.64000000000000024</c:v>
                </c:pt>
                <c:pt idx="33">
                  <c:v>0.66000000000000025</c:v>
                </c:pt>
                <c:pt idx="34">
                  <c:v>0.68000000000000027</c:v>
                </c:pt>
                <c:pt idx="35">
                  <c:v>0.70000000000000029</c:v>
                </c:pt>
                <c:pt idx="36">
                  <c:v>0.72000000000000031</c:v>
                </c:pt>
                <c:pt idx="37">
                  <c:v>0.74000000000000032</c:v>
                </c:pt>
                <c:pt idx="38">
                  <c:v>0.76000000000000034</c:v>
                </c:pt>
                <c:pt idx="39">
                  <c:v>0.78000000000000036</c:v>
                </c:pt>
                <c:pt idx="40">
                  <c:v>0.80000000000000038</c:v>
                </c:pt>
                <c:pt idx="41">
                  <c:v>0.8200000000000004</c:v>
                </c:pt>
                <c:pt idx="42">
                  <c:v>0.84000000000000041</c:v>
                </c:pt>
                <c:pt idx="43">
                  <c:v>0.86000000000000043</c:v>
                </c:pt>
                <c:pt idx="44">
                  <c:v>0.88000000000000045</c:v>
                </c:pt>
                <c:pt idx="45">
                  <c:v>0.90000000000000047</c:v>
                </c:pt>
                <c:pt idx="46">
                  <c:v>0.92000000000000048</c:v>
                </c:pt>
                <c:pt idx="47">
                  <c:v>0.9400000000000005</c:v>
                </c:pt>
                <c:pt idx="48">
                  <c:v>0.96000000000000052</c:v>
                </c:pt>
                <c:pt idx="49">
                  <c:v>0.98000000000000054</c:v>
                </c:pt>
                <c:pt idx="50">
                  <c:v>1.0000000000000004</c:v>
                </c:pt>
                <c:pt idx="51">
                  <c:v>1.0200000000000005</c:v>
                </c:pt>
                <c:pt idx="52">
                  <c:v>1.0400000000000005</c:v>
                </c:pt>
                <c:pt idx="53">
                  <c:v>1.0600000000000005</c:v>
                </c:pt>
                <c:pt idx="54">
                  <c:v>1.0800000000000005</c:v>
                </c:pt>
                <c:pt idx="55">
                  <c:v>1.1000000000000005</c:v>
                </c:pt>
                <c:pt idx="56">
                  <c:v>1.1200000000000006</c:v>
                </c:pt>
                <c:pt idx="57">
                  <c:v>1.1400000000000006</c:v>
                </c:pt>
                <c:pt idx="58">
                  <c:v>1.1600000000000006</c:v>
                </c:pt>
                <c:pt idx="59">
                  <c:v>1.1800000000000006</c:v>
                </c:pt>
                <c:pt idx="60">
                  <c:v>1.2000000000000006</c:v>
                </c:pt>
                <c:pt idx="61">
                  <c:v>1.2200000000000006</c:v>
                </c:pt>
                <c:pt idx="62">
                  <c:v>1.2400000000000007</c:v>
                </c:pt>
                <c:pt idx="63">
                  <c:v>1.2600000000000007</c:v>
                </c:pt>
                <c:pt idx="64">
                  <c:v>1.2800000000000007</c:v>
                </c:pt>
                <c:pt idx="65">
                  <c:v>1.3000000000000007</c:v>
                </c:pt>
                <c:pt idx="66">
                  <c:v>1.3200000000000007</c:v>
                </c:pt>
                <c:pt idx="67">
                  <c:v>1.3400000000000007</c:v>
                </c:pt>
                <c:pt idx="68">
                  <c:v>1.3600000000000008</c:v>
                </c:pt>
                <c:pt idx="69">
                  <c:v>1.3800000000000008</c:v>
                </c:pt>
                <c:pt idx="70">
                  <c:v>1.4000000000000008</c:v>
                </c:pt>
                <c:pt idx="71">
                  <c:v>1.4200000000000008</c:v>
                </c:pt>
                <c:pt idx="72">
                  <c:v>1.4400000000000008</c:v>
                </c:pt>
                <c:pt idx="73">
                  <c:v>1.4600000000000009</c:v>
                </c:pt>
                <c:pt idx="74">
                  <c:v>1.4800000000000009</c:v>
                </c:pt>
                <c:pt idx="75">
                  <c:v>1.5000000000000009</c:v>
                </c:pt>
                <c:pt idx="76">
                  <c:v>1.5200000000000009</c:v>
                </c:pt>
                <c:pt idx="77">
                  <c:v>1.5400000000000009</c:v>
                </c:pt>
                <c:pt idx="78">
                  <c:v>1.5600000000000009</c:v>
                </c:pt>
                <c:pt idx="79">
                  <c:v>1.580000000000001</c:v>
                </c:pt>
                <c:pt idx="80">
                  <c:v>1.600000000000001</c:v>
                </c:pt>
                <c:pt idx="81">
                  <c:v>1.620000000000001</c:v>
                </c:pt>
                <c:pt idx="82">
                  <c:v>1.640000000000001</c:v>
                </c:pt>
                <c:pt idx="83">
                  <c:v>1.660000000000001</c:v>
                </c:pt>
                <c:pt idx="84">
                  <c:v>1.680000000000001</c:v>
                </c:pt>
                <c:pt idx="85">
                  <c:v>1.7000000000000011</c:v>
                </c:pt>
                <c:pt idx="86">
                  <c:v>1.7200000000000011</c:v>
                </c:pt>
                <c:pt idx="87">
                  <c:v>1.7400000000000011</c:v>
                </c:pt>
                <c:pt idx="88">
                  <c:v>1.7600000000000011</c:v>
                </c:pt>
                <c:pt idx="89">
                  <c:v>1.7800000000000011</c:v>
                </c:pt>
                <c:pt idx="90">
                  <c:v>1.8000000000000012</c:v>
                </c:pt>
                <c:pt idx="91">
                  <c:v>1.8200000000000012</c:v>
                </c:pt>
                <c:pt idx="92">
                  <c:v>1.8400000000000012</c:v>
                </c:pt>
                <c:pt idx="93">
                  <c:v>1.8600000000000012</c:v>
                </c:pt>
                <c:pt idx="94">
                  <c:v>1.8800000000000012</c:v>
                </c:pt>
                <c:pt idx="95">
                  <c:v>1.9000000000000012</c:v>
                </c:pt>
                <c:pt idx="96">
                  <c:v>1.9200000000000013</c:v>
                </c:pt>
                <c:pt idx="97">
                  <c:v>1.9400000000000013</c:v>
                </c:pt>
                <c:pt idx="98">
                  <c:v>1.9600000000000013</c:v>
                </c:pt>
                <c:pt idx="99">
                  <c:v>1.9800000000000013</c:v>
                </c:pt>
              </c:numCache>
            </c:numRef>
          </c:xVal>
          <c:yVal>
            <c:numRef>
              <c:f>LineSearchTrueDataPlot!$D$2:$D$101</c:f>
              <c:numCache>
                <c:formatCode>General</c:formatCode>
                <c:ptCount val="100"/>
                <c:pt idx="0">
                  <c:v>4</c:v>
                </c:pt>
                <c:pt idx="1">
                  <c:v>3.9999841599999999</c:v>
                </c:pt>
                <c:pt idx="2">
                  <c:v>3.9998745599999999</c:v>
                </c:pt>
                <c:pt idx="3">
                  <c:v>3.9995809599999999</c:v>
                </c:pt>
                <c:pt idx="4">
                  <c:v>3.9990169600000001</c:v>
                </c:pt>
                <c:pt idx="5">
                  <c:v>3.9981</c:v>
                </c:pt>
                <c:pt idx="6">
                  <c:v>3.9967513600000002</c:v>
                </c:pt>
                <c:pt idx="7">
                  <c:v>3.9948961600000001</c:v>
                </c:pt>
                <c:pt idx="8">
                  <c:v>3.9924633599999999</c:v>
                </c:pt>
                <c:pt idx="9">
                  <c:v>3.9893857599999998</c:v>
                </c:pt>
                <c:pt idx="10">
                  <c:v>3.9855999999999998</c:v>
                </c:pt>
                <c:pt idx="11">
                  <c:v>3.9810465599999998</c:v>
                </c:pt>
                <c:pt idx="12">
                  <c:v>3.9756697600000002</c:v>
                </c:pt>
                <c:pt idx="13">
                  <c:v>3.9694177599999998</c:v>
                </c:pt>
                <c:pt idx="14">
                  <c:v>3.96224256</c:v>
                </c:pt>
                <c:pt idx="15">
                  <c:v>3.9540999999999999</c:v>
                </c:pt>
                <c:pt idx="16">
                  <c:v>3.9449497600000001</c:v>
                </c:pt>
                <c:pt idx="17">
                  <c:v>3.93475536</c:v>
                </c:pt>
                <c:pt idx="18">
                  <c:v>3.9234841600000001</c:v>
                </c:pt>
                <c:pt idx="19">
                  <c:v>3.9111073599999999</c:v>
                </c:pt>
                <c:pt idx="20">
                  <c:v>3.8975999999999997</c:v>
                </c:pt>
                <c:pt idx="21">
                  <c:v>3.88294096</c:v>
                </c:pt>
                <c:pt idx="22">
                  <c:v>3.86711296</c:v>
                </c:pt>
                <c:pt idx="23">
                  <c:v>3.8501025599999998</c:v>
                </c:pt>
                <c:pt idx="24">
                  <c:v>3.83190016</c:v>
                </c:pt>
                <c:pt idx="25">
                  <c:v>3.8125</c:v>
                </c:pt>
                <c:pt idx="26">
                  <c:v>3.79190016</c:v>
                </c:pt>
                <c:pt idx="27">
                  <c:v>3.7701025599999998</c:v>
                </c:pt>
                <c:pt idx="28">
                  <c:v>3.7471129599999999</c:v>
                </c:pt>
                <c:pt idx="29">
                  <c:v>3.7229409599999999</c:v>
                </c:pt>
                <c:pt idx="30">
                  <c:v>3.6975999999999996</c:v>
                </c:pt>
                <c:pt idx="31">
                  <c:v>3.6711073599999997</c:v>
                </c:pt>
                <c:pt idx="32">
                  <c:v>3.6434841599999999</c:v>
                </c:pt>
                <c:pt idx="33">
                  <c:v>3.6147553599999998</c:v>
                </c:pt>
                <c:pt idx="34">
                  <c:v>3.5849497599999998</c:v>
                </c:pt>
                <c:pt idx="35">
                  <c:v>3.5540999999999996</c:v>
                </c:pt>
                <c:pt idx="36">
                  <c:v>3.5222425599999996</c:v>
                </c:pt>
                <c:pt idx="37">
                  <c:v>3.4894177599999994</c:v>
                </c:pt>
                <c:pt idx="38">
                  <c:v>3.4556697599999993</c:v>
                </c:pt>
                <c:pt idx="39">
                  <c:v>3.4210465599999993</c:v>
                </c:pt>
                <c:pt idx="40">
                  <c:v>3.3855999999999993</c:v>
                </c:pt>
                <c:pt idx="41">
                  <c:v>3.3493857599999992</c:v>
                </c:pt>
                <c:pt idx="42">
                  <c:v>3.3124633599999989</c:v>
                </c:pt>
                <c:pt idx="43">
                  <c:v>3.2748961599999991</c:v>
                </c:pt>
                <c:pt idx="44">
                  <c:v>3.2367513599999991</c:v>
                </c:pt>
                <c:pt idx="45">
                  <c:v>3.1980999999999993</c:v>
                </c:pt>
                <c:pt idx="46">
                  <c:v>3.1590169599999989</c:v>
                </c:pt>
                <c:pt idx="47">
                  <c:v>3.1195809599999991</c:v>
                </c:pt>
                <c:pt idx="48">
                  <c:v>3.079874559999999</c:v>
                </c:pt>
                <c:pt idx="49">
                  <c:v>3.039984159999999</c:v>
                </c:pt>
                <c:pt idx="50">
                  <c:v>2.9999999999999991</c:v>
                </c:pt>
                <c:pt idx="51">
                  <c:v>2.9600161599999986</c:v>
                </c:pt>
                <c:pt idx="52">
                  <c:v>2.9201305599999987</c:v>
                </c:pt>
                <c:pt idx="53">
                  <c:v>2.8804449599999993</c:v>
                </c:pt>
                <c:pt idx="54">
                  <c:v>2.8410649599999989</c:v>
                </c:pt>
                <c:pt idx="55">
                  <c:v>2.8020999999999994</c:v>
                </c:pt>
                <c:pt idx="56">
                  <c:v>2.7636633599999989</c:v>
                </c:pt>
                <c:pt idx="57">
                  <c:v>2.7258721599999989</c:v>
                </c:pt>
                <c:pt idx="58">
                  <c:v>2.6888473599999987</c:v>
                </c:pt>
                <c:pt idx="59">
                  <c:v>2.6527137599999993</c:v>
                </c:pt>
                <c:pt idx="60">
                  <c:v>2.617599999999999</c:v>
                </c:pt>
                <c:pt idx="61">
                  <c:v>2.5836385599999989</c:v>
                </c:pt>
                <c:pt idx="62">
                  <c:v>2.5509657599999991</c:v>
                </c:pt>
                <c:pt idx="63">
                  <c:v>2.5197217599999986</c:v>
                </c:pt>
                <c:pt idx="64">
                  <c:v>2.4900505599999994</c:v>
                </c:pt>
                <c:pt idx="65">
                  <c:v>2.4620999999999995</c:v>
                </c:pt>
                <c:pt idx="66">
                  <c:v>2.4360217599999991</c:v>
                </c:pt>
                <c:pt idx="67">
                  <c:v>2.4119713599999995</c:v>
                </c:pt>
                <c:pt idx="68">
                  <c:v>2.3901081599999991</c:v>
                </c:pt>
                <c:pt idx="69">
                  <c:v>2.3705953599999994</c:v>
                </c:pt>
                <c:pt idx="70">
                  <c:v>2.3535999999999992</c:v>
                </c:pt>
                <c:pt idx="71">
                  <c:v>2.339292959999999</c:v>
                </c:pt>
                <c:pt idx="72">
                  <c:v>2.3278489599999999</c:v>
                </c:pt>
                <c:pt idx="73">
                  <c:v>2.3194465599999994</c:v>
                </c:pt>
                <c:pt idx="74">
                  <c:v>2.3142681600000001</c:v>
                </c:pt>
                <c:pt idx="75">
                  <c:v>2.3125</c:v>
                </c:pt>
                <c:pt idx="76">
                  <c:v>2.3143321600000002</c:v>
                </c:pt>
                <c:pt idx="77">
                  <c:v>2.3199585600000008</c:v>
                </c:pt>
                <c:pt idx="78">
                  <c:v>2.3295769599999998</c:v>
                </c:pt>
                <c:pt idx="79">
                  <c:v>2.3433889600000013</c:v>
                </c:pt>
                <c:pt idx="80">
                  <c:v>2.3616000000000019</c:v>
                </c:pt>
                <c:pt idx="81">
                  <c:v>2.3844193600000017</c:v>
                </c:pt>
                <c:pt idx="82">
                  <c:v>2.4120601600000011</c:v>
                </c:pt>
                <c:pt idx="83">
                  <c:v>2.4447393600000016</c:v>
                </c:pt>
                <c:pt idx="84">
                  <c:v>2.4826777600000023</c:v>
                </c:pt>
                <c:pt idx="85">
                  <c:v>2.5261000000000031</c:v>
                </c:pt>
                <c:pt idx="86">
                  <c:v>2.5752345600000037</c:v>
                </c:pt>
                <c:pt idx="87">
                  <c:v>2.6303137600000035</c:v>
                </c:pt>
                <c:pt idx="88">
                  <c:v>2.6915737600000043</c:v>
                </c:pt>
                <c:pt idx="89">
                  <c:v>2.759254560000004</c:v>
                </c:pt>
                <c:pt idx="90">
                  <c:v>2.8336000000000041</c:v>
                </c:pt>
                <c:pt idx="91">
                  <c:v>2.9148577600000056</c:v>
                </c:pt>
                <c:pt idx="92">
                  <c:v>3.0032793600000041</c:v>
                </c:pt>
                <c:pt idx="93">
                  <c:v>3.0991201600000053</c:v>
                </c:pt>
                <c:pt idx="94">
                  <c:v>3.2026393600000063</c:v>
                </c:pt>
                <c:pt idx="95">
                  <c:v>3.3141000000000069</c:v>
                </c:pt>
                <c:pt idx="96">
                  <c:v>3.4337689600000072</c:v>
                </c:pt>
                <c:pt idx="97">
                  <c:v>3.5619169600000102</c:v>
                </c:pt>
                <c:pt idx="98">
                  <c:v>3.6988185600000101</c:v>
                </c:pt>
                <c:pt idx="99">
                  <c:v>3.8447521600000112</c:v>
                </c:pt>
              </c:numCache>
            </c:numRef>
          </c:yVal>
          <c:smooth val="0"/>
          <c:extLst>
            <c:ext xmlns:c16="http://schemas.microsoft.com/office/drawing/2014/chart" uri="{C3380CC4-5D6E-409C-BE32-E72D297353CC}">
              <c16:uniqueId val="{00000001-C61E-49F4-8490-FBA141B08590}"/>
            </c:ext>
          </c:extLst>
        </c:ser>
        <c:ser>
          <c:idx val="2"/>
          <c:order val="2"/>
          <c:tx>
            <c:v>IPI</c:v>
          </c:tx>
          <c:spPr>
            <a:ln w="25400" cap="rnd">
              <a:noFill/>
              <a:round/>
            </a:ln>
            <a:effectLst/>
          </c:spPr>
          <c:marker>
            <c:symbol val="x"/>
            <c:size val="6"/>
            <c:spPr>
              <a:noFill/>
              <a:ln w="9525">
                <a:solidFill>
                  <a:schemeClr val="tx1"/>
                </a:solidFill>
              </a:ln>
              <a:effectLst/>
            </c:spPr>
          </c:marker>
          <c:xVal>
            <c:numRef>
              <c:f>LineSearch!$I$31:$I$40</c:f>
              <c:numCache>
                <c:formatCode>General</c:formatCode>
                <c:ptCount val="10"/>
                <c:pt idx="0">
                  <c:v>1.3947368421052631</c:v>
                </c:pt>
                <c:pt idx="1">
                  <c:v>1.5373371924746755</c:v>
                </c:pt>
                <c:pt idx="2">
                  <c:v>1.520055018399638</c:v>
                </c:pt>
                <c:pt idx="3">
                  <c:v>1.483232115980549</c:v>
                </c:pt>
                <c:pt idx="4">
                  <c:v>1.4987138858388469</c:v>
                </c:pt>
                <c:pt idx="5">
                  <c:v>1.5058645408091489</c:v>
                </c:pt>
                <c:pt idx="6">
                  <c:v>1.4985443279567567</c:v>
                </c:pt>
                <c:pt idx="7">
                  <c:v>1.498597082005461</c:v>
                </c:pt>
                <c:pt idx="8">
                  <c:v>1.5009136145563609</c:v>
                </c:pt>
                <c:pt idx="9">
                  <c:v>1.500154829976468</c:v>
                </c:pt>
              </c:numCache>
            </c:numRef>
          </c:xVal>
          <c:yVal>
            <c:numRef>
              <c:f>LineSearch!$J$31:$J$40</c:f>
              <c:numCache>
                <c:formatCode>General</c:formatCode>
                <c:ptCount val="10"/>
                <c:pt idx="0">
                  <c:v>2.3578188664912032</c:v>
                </c:pt>
                <c:pt idx="1">
                  <c:v>2.3189834421919393</c:v>
                </c:pt>
                <c:pt idx="2">
                  <c:v>2.3143423435168815</c:v>
                </c:pt>
                <c:pt idx="3">
                  <c:v>2.3137464497944045</c:v>
                </c:pt>
                <c:pt idx="4">
                  <c:v>2.3125074348967036</c:v>
                </c:pt>
                <c:pt idx="5">
                  <c:v>2.3126555757507559</c:v>
                </c:pt>
                <c:pt idx="6">
                  <c:v>2.3125095230812631</c:v>
                </c:pt>
                <c:pt idx="7">
                  <c:v>2.3125088457641461</c:v>
                </c:pt>
                <c:pt idx="8">
                  <c:v>2.3125037591630511</c:v>
                </c:pt>
                <c:pt idx="9">
                  <c:v>2.312500107890294</c:v>
                </c:pt>
              </c:numCache>
            </c:numRef>
          </c:yVal>
          <c:smooth val="0"/>
          <c:extLst>
            <c:ext xmlns:c16="http://schemas.microsoft.com/office/drawing/2014/chart" uri="{C3380CC4-5D6E-409C-BE32-E72D297353CC}">
              <c16:uniqueId val="{00000000-B299-4DED-B4AB-2F930FD7408B}"/>
            </c:ext>
          </c:extLst>
        </c:ser>
        <c:ser>
          <c:idx val="3"/>
          <c:order val="3"/>
          <c:tx>
            <c:v>IPI (Golden Section)</c:v>
          </c:tx>
          <c:spPr>
            <a:ln w="25400" cap="rnd">
              <a:noFill/>
              <a:round/>
            </a:ln>
            <a:effectLst/>
          </c:spPr>
          <c:marker>
            <c:symbol val="star"/>
            <c:size val="6"/>
            <c:spPr>
              <a:noFill/>
              <a:ln w="9525">
                <a:solidFill>
                  <a:srgbClr val="FF0000"/>
                </a:solidFill>
              </a:ln>
              <a:effectLst/>
            </c:spPr>
          </c:marker>
          <c:xVal>
            <c:numRef>
              <c:f>LineSearch!$I$43:$I$52</c:f>
              <c:numCache>
                <c:formatCode>General</c:formatCode>
                <c:ptCount val="10"/>
                <c:pt idx="0">
                  <c:v>1.383499065878</c:v>
                </c:pt>
                <c:pt idx="1">
                  <c:v>1.5239238411996161</c:v>
                </c:pt>
                <c:pt idx="2">
                  <c:v>1.4999837323892411</c:v>
                </c:pt>
                <c:pt idx="3">
                  <c:v>1.5001567239799276</c:v>
                </c:pt>
                <c:pt idx="4">
                  <c:v>1.5000208566468687</c:v>
                </c:pt>
                <c:pt idx="5">
                  <c:v>1.5000030345923341</c:v>
                </c:pt>
                <c:pt idx="6">
                  <c:v>1.5000004417819135</c:v>
                </c:pt>
                <c:pt idx="7">
                  <c:v>1.5000000644015112</c:v>
                </c:pt>
                <c:pt idx="8">
                  <c:v>1.500000009391077</c:v>
                </c:pt>
                <c:pt idx="9">
                  <c:v>1.500000001372473</c:v>
                </c:pt>
              </c:numCache>
            </c:numRef>
          </c:xVal>
          <c:yVal>
            <c:numRef>
              <c:f>LineSearch!$J$43:$J$52</c:f>
              <c:numCache>
                <c:formatCode>General</c:formatCode>
                <c:ptCount val="10"/>
                <c:pt idx="0">
                  <c:v>2.3674354956701213</c:v>
                </c:pt>
                <c:pt idx="1">
                  <c:v>2.315130674643628</c:v>
                </c:pt>
                <c:pt idx="2">
                  <c:v>2.3125000011908403</c:v>
                </c:pt>
                <c:pt idx="3">
                  <c:v>2.3125001105462246</c:v>
                </c:pt>
                <c:pt idx="4">
                  <c:v>2.3125000019575346</c:v>
                </c:pt>
                <c:pt idx="5">
                  <c:v>2.3125000000414397</c:v>
                </c:pt>
                <c:pt idx="6">
                  <c:v>2.3125000000008775</c:v>
                </c:pt>
                <c:pt idx="7">
                  <c:v>2.3125000000000187</c:v>
                </c:pt>
                <c:pt idx="8">
                  <c:v>2.3125000000000009</c:v>
                </c:pt>
                <c:pt idx="9">
                  <c:v>2.3125</c:v>
                </c:pt>
              </c:numCache>
            </c:numRef>
          </c:yVal>
          <c:smooth val="0"/>
          <c:extLst>
            <c:ext xmlns:c16="http://schemas.microsoft.com/office/drawing/2014/chart" uri="{C3380CC4-5D6E-409C-BE32-E72D297353CC}">
              <c16:uniqueId val="{00000002-B299-4DED-B4AB-2F930FD7408B}"/>
            </c:ext>
          </c:extLst>
        </c:ser>
        <c:dLbls>
          <c:showLegendKey val="0"/>
          <c:showVal val="0"/>
          <c:showCatName val="0"/>
          <c:showSerName val="0"/>
          <c:showPercent val="0"/>
          <c:showBubbleSize val="0"/>
        </c:dLbls>
        <c:axId val="844666624"/>
        <c:axId val="791300672"/>
      </c:scatterChart>
      <c:valAx>
        <c:axId val="844666624"/>
        <c:scaling>
          <c:orientation val="minMax"/>
          <c:max val="1.7000000000000002"/>
          <c:min val="1.3"/>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300672"/>
        <c:crosses val="autoZero"/>
        <c:crossBetween val="midCat"/>
      </c:valAx>
      <c:valAx>
        <c:axId val="791300672"/>
        <c:scaling>
          <c:orientation val="minMax"/>
          <c:max val="2.5"/>
          <c:min val="2.2999999999999998"/>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66662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Steepest Descent</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'Multivariable Optmiser (i)'!$C$18:$C$37</c:f>
              <c:numCache>
                <c:formatCode>General</c:formatCode>
                <c:ptCount val="20"/>
                <c:pt idx="0">
                  <c:v>0.5</c:v>
                </c:pt>
                <c:pt idx="1">
                  <c:v>-0.38235294117647189</c:v>
                </c:pt>
                <c:pt idx="2">
                  <c:v>-0.63122171945701377</c:v>
                </c:pt>
                <c:pt idx="3">
                  <c:v>-1.1143199361192453</c:v>
                </c:pt>
                <c:pt idx="4">
                  <c:v>-1.2505784074855146</c:v>
                </c:pt>
                <c:pt idx="5">
                  <c:v>-1.5150801460200396</c:v>
                </c:pt>
                <c:pt idx="6">
                  <c:v>-1.5896832004784944</c:v>
                </c:pt>
                <c:pt idx="7">
                  <c:v>-1.7345008944272617</c:v>
                </c:pt>
                <c:pt idx="8">
                  <c:v>-1.7753469106692208</c:v>
                </c:pt>
                <c:pt idx="9">
                  <c:v>-1.8546362363153786</c:v>
                </c:pt>
                <c:pt idx="10">
                  <c:v>-1.8769998922668585</c:v>
                </c:pt>
                <c:pt idx="11">
                  <c:v>-1.9204116949962027</c:v>
                </c:pt>
                <c:pt idx="12">
                  <c:v>-1.9326560496121714</c:v>
                </c:pt>
                <c:pt idx="13">
                  <c:v>-1.9564245026902285</c:v>
                </c:pt>
                <c:pt idx="14">
                  <c:v>-1.9631284253532701</c:v>
                </c:pt>
                <c:pt idx="15">
                  <c:v>-1.9761419222874099</c:v>
                </c:pt>
                <c:pt idx="16">
                  <c:v>-1.9798123957816547</c:v>
                </c:pt>
                <c:pt idx="17">
                  <c:v>-1.9869374325646001</c:v>
                </c:pt>
                <c:pt idx="18">
                  <c:v>-1.9889470583238922</c:v>
                </c:pt>
                <c:pt idx="19">
                  <c:v>-1.9928480965625186</c:v>
                </c:pt>
              </c:numCache>
            </c:numRef>
          </c:xVal>
          <c:yVal>
            <c:numRef>
              <c:f>'Multivariable Optmiser (i)'!$D$18:$D$37</c:f>
              <c:numCache>
                <c:formatCode>General</c:formatCode>
                <c:ptCount val="20"/>
                <c:pt idx="0">
                  <c:v>0.5</c:v>
                </c:pt>
                <c:pt idx="1">
                  <c:v>0.20588235294117602</c:v>
                </c:pt>
                <c:pt idx="2">
                  <c:v>0.95248868778280738</c:v>
                </c:pt>
                <c:pt idx="3">
                  <c:v>0.79145594889539506</c:v>
                </c:pt>
                <c:pt idx="4">
                  <c:v>1.200231362994207</c:v>
                </c:pt>
                <c:pt idx="5">
                  <c:v>1.1120641168160308</c:v>
                </c:pt>
                <c:pt idx="6">
                  <c:v>1.3358732801913988</c:v>
                </c:pt>
                <c:pt idx="7">
                  <c:v>1.2876007155418085</c:v>
                </c:pt>
                <c:pt idx="8">
                  <c:v>1.410138764267689</c:v>
                </c:pt>
                <c:pt idx="9">
                  <c:v>1.3837089890523024</c:v>
                </c:pt>
                <c:pt idx="10">
                  <c:v>1.4507999569067438</c:v>
                </c:pt>
                <c:pt idx="11">
                  <c:v>1.4363293559969619</c:v>
                </c:pt>
                <c:pt idx="12">
                  <c:v>1.4730624198448685</c:v>
                </c:pt>
                <c:pt idx="13">
                  <c:v>1.4651396021521828</c:v>
                </c:pt>
                <c:pt idx="14">
                  <c:v>1.4852513701413079</c:v>
                </c:pt>
                <c:pt idx="15">
                  <c:v>1.4809135378299281</c:v>
                </c:pt>
                <c:pt idx="16">
                  <c:v>1.4919249583126619</c:v>
                </c:pt>
                <c:pt idx="17">
                  <c:v>1.4895499460516799</c:v>
                </c:pt>
                <c:pt idx="18">
                  <c:v>1.4955788233295573</c:v>
                </c:pt>
                <c:pt idx="19">
                  <c:v>1.4942784772500146</c:v>
                </c:pt>
              </c:numCache>
            </c:numRef>
          </c:yVal>
          <c:smooth val="0"/>
          <c:extLst>
            <c:ext xmlns:c16="http://schemas.microsoft.com/office/drawing/2014/chart" uri="{C3380CC4-5D6E-409C-BE32-E72D297353CC}">
              <c16:uniqueId val="{00000000-DC56-4C04-8C38-2585FD754925}"/>
            </c:ext>
          </c:extLst>
        </c:ser>
        <c:ser>
          <c:idx val="1"/>
          <c:order val="1"/>
          <c:tx>
            <c:v>Conjugate Gradient</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'Multivariable Optmiser (i)'!$C$40:$C$59</c:f>
              <c:numCache>
                <c:formatCode>General</c:formatCode>
                <c:ptCount val="20"/>
                <c:pt idx="0">
                  <c:v>0.5</c:v>
                </c:pt>
                <c:pt idx="1">
                  <c:v>-0.38235294117647056</c:v>
                </c:pt>
                <c:pt idx="2">
                  <c:v>-1.0900070209027297</c:v>
                </c:pt>
                <c:pt idx="3">
                  <c:v>-1.6855901549868211</c:v>
                </c:pt>
                <c:pt idx="4">
                  <c:v>-1.7066568530818378</c:v>
                </c:pt>
                <c:pt idx="5">
                  <c:v>-1.87879440447499</c:v>
                </c:pt>
                <c:pt idx="6">
                  <c:v>-1.9188842287668899</c:v>
                </c:pt>
                <c:pt idx="7">
                  <c:v>-1.9515685200326649</c:v>
                </c:pt>
                <c:pt idx="8">
                  <c:v>-1.9656354865706904</c:v>
                </c:pt>
                <c:pt idx="9">
                  <c:v>-1.9900795777157878</c:v>
                </c:pt>
                <c:pt idx="10">
                  <c:v>-1.9903251531303323</c:v>
                </c:pt>
                <c:pt idx="11">
                  <c:v>-1.9958005112367267</c:v>
                </c:pt>
                <c:pt idx="12">
                  <c:v>-1.9990955548518172</c:v>
                </c:pt>
                <c:pt idx="13">
                  <c:v>-1.9994145302656219</c:v>
                </c:pt>
                <c:pt idx="14">
                  <c:v>-1.9997052356014371</c:v>
                </c:pt>
                <c:pt idx="15">
                  <c:v>-2.0000165404776205</c:v>
                </c:pt>
                <c:pt idx="16">
                  <c:v>-2.000019518434601</c:v>
                </c:pt>
                <c:pt idx="17">
                  <c:v>-2.000019518434601</c:v>
                </c:pt>
                <c:pt idx="18">
                  <c:v>-2.000019518434601</c:v>
                </c:pt>
                <c:pt idx="19">
                  <c:v>-2.000019518434601</c:v>
                </c:pt>
              </c:numCache>
            </c:numRef>
          </c:xVal>
          <c:yVal>
            <c:numRef>
              <c:f>'Multivariable Optmiser (i)'!$D$40:$D$59</c:f>
              <c:numCache>
                <c:formatCode>General</c:formatCode>
                <c:ptCount val="20"/>
                <c:pt idx="0">
                  <c:v>0.5</c:v>
                </c:pt>
                <c:pt idx="1">
                  <c:v>0.20588235294117646</c:v>
                </c:pt>
                <c:pt idx="2">
                  <c:v>1.2712569207572202</c:v>
                </c:pt>
                <c:pt idx="3">
                  <c:v>1.2117661992089799</c:v>
                </c:pt>
                <c:pt idx="4">
                  <c:v>1.3642148017049627</c:v>
                </c:pt>
                <c:pt idx="5">
                  <c:v>1.3787943967453233</c:v>
                </c:pt>
                <c:pt idx="6">
                  <c:v>1.4707478536009666</c:v>
                </c:pt>
                <c:pt idx="7">
                  <c:v>1.4607564062590843</c:v>
                </c:pt>
                <c:pt idx="8">
                  <c:v>1.4886195906425497</c:v>
                </c:pt>
                <c:pt idx="9">
                  <c:v>1.4896317276915201</c:v>
                </c:pt>
                <c:pt idx="10">
                  <c:v>1.4952702638781115</c:v>
                </c:pt>
                <c:pt idx="11">
                  <c:v>1.4955559071745927</c:v>
                </c:pt>
                <c:pt idx="12">
                  <c:v>1.4998312862906704</c:v>
                </c:pt>
                <c:pt idx="13">
                  <c:v>1.4995906020484735</c:v>
                </c:pt>
                <c:pt idx="14">
                  <c:v>1.4999518588982432</c:v>
                </c:pt>
                <c:pt idx="15">
                  <c:v>1.5000236054407783</c:v>
                </c:pt>
                <c:pt idx="16">
                  <c:v>1.5000107708159782</c:v>
                </c:pt>
                <c:pt idx="17">
                  <c:v>1.5000107708159782</c:v>
                </c:pt>
                <c:pt idx="18">
                  <c:v>1.5000107708159782</c:v>
                </c:pt>
                <c:pt idx="19">
                  <c:v>1.5000107708159782</c:v>
                </c:pt>
              </c:numCache>
            </c:numRef>
          </c:yVal>
          <c:smooth val="0"/>
          <c:extLst>
            <c:ext xmlns:c16="http://schemas.microsoft.com/office/drawing/2014/chart" uri="{C3380CC4-5D6E-409C-BE32-E72D297353CC}">
              <c16:uniqueId val="{00000001-DC56-4C04-8C38-2585FD754925}"/>
            </c:ext>
          </c:extLst>
        </c:ser>
        <c:ser>
          <c:idx val="2"/>
          <c:order val="2"/>
          <c:tx>
            <c:v>Solver Solution</c:v>
          </c:tx>
          <c:spPr>
            <a:ln w="19050" cap="rnd">
              <a:solidFill>
                <a:schemeClr val="accent3"/>
              </a:solidFill>
              <a:round/>
            </a:ln>
            <a:effectLst/>
          </c:spPr>
          <c:marker>
            <c:symbol val="star"/>
            <c:size val="8"/>
            <c:spPr>
              <a:noFill/>
              <a:ln w="25400">
                <a:solidFill>
                  <a:schemeClr val="tx1"/>
                </a:solidFill>
              </a:ln>
              <a:effectLst/>
            </c:spPr>
          </c:marker>
          <c:xVal>
            <c:numRef>
              <c:f>'Multivariable Optmiser (i)'!$B$7</c:f>
              <c:numCache>
                <c:formatCode>General</c:formatCode>
                <c:ptCount val="1"/>
                <c:pt idx="0">
                  <c:v>-1.9999996374097115</c:v>
                </c:pt>
              </c:numCache>
            </c:numRef>
          </c:xVal>
          <c:yVal>
            <c:numRef>
              <c:f>'Multivariable Optmiser (i)'!$C$7</c:f>
              <c:numCache>
                <c:formatCode>General</c:formatCode>
                <c:ptCount val="1"/>
                <c:pt idx="0">
                  <c:v>1.4999992725118474</c:v>
                </c:pt>
              </c:numCache>
            </c:numRef>
          </c:yVal>
          <c:smooth val="0"/>
          <c:extLst>
            <c:ext xmlns:c16="http://schemas.microsoft.com/office/drawing/2014/chart" uri="{C3380CC4-5D6E-409C-BE32-E72D297353CC}">
              <c16:uniqueId val="{00000002-DC56-4C04-8C38-2585FD754925}"/>
            </c:ext>
          </c:extLst>
        </c:ser>
        <c:dLbls>
          <c:showLegendKey val="0"/>
          <c:showVal val="0"/>
          <c:showCatName val="0"/>
          <c:showSerName val="0"/>
          <c:showPercent val="0"/>
          <c:showBubbleSize val="0"/>
        </c:dLbls>
        <c:axId val="424614623"/>
        <c:axId val="2083046879"/>
      </c:scatterChart>
      <c:valAx>
        <c:axId val="42461462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X1</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046879"/>
        <c:crosses val="autoZero"/>
        <c:crossBetween val="midCat"/>
      </c:valAx>
      <c:valAx>
        <c:axId val="20830468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X2</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61462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Hookes and Jeeves</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('Multivariable Optimizer (ii)'!$C$5,'Multivariable Optimizer (ii)'!$C$10,'Multivariable Optimizer (ii)'!$C$11,'Multivariable Optimizer (ii)'!$C$16,'Multivariable Optimizer (ii)'!$C$17,'Multivariable Optimizer (ii)'!$C$21,'Multivariable Optimizer (ii)'!$C$22)</c:f>
              <c:numCache>
                <c:formatCode>General</c:formatCode>
                <c:ptCount val="7"/>
                <c:pt idx="0">
                  <c:v>0</c:v>
                </c:pt>
                <c:pt idx="1">
                  <c:v>-0.1</c:v>
                </c:pt>
                <c:pt idx="2">
                  <c:v>-0.2</c:v>
                </c:pt>
                <c:pt idx="3">
                  <c:v>-0.30000000000000004</c:v>
                </c:pt>
                <c:pt idx="4">
                  <c:v>-0.50000000000000011</c:v>
                </c:pt>
                <c:pt idx="5">
                  <c:v>-0.70000000000000007</c:v>
                </c:pt>
                <c:pt idx="6">
                  <c:v>-1.1000000000000001</c:v>
                </c:pt>
              </c:numCache>
            </c:numRef>
          </c:xVal>
          <c:yVal>
            <c:numRef>
              <c:f>('Multivariable Optimizer (ii)'!$D$5,'Multivariable Optimizer (ii)'!$D$10,'Multivariable Optimizer (ii)'!$D$11,'Multivariable Optimizer (ii)'!$D$16,'Multivariable Optimizer (ii)'!$D$17,'Multivariable Optimizer (ii)'!$D$21,'Multivariable Optimizer (ii)'!$D$22,'Multivariable Optimizer (ii)'!$D$26,'Multivariable Optimizer (ii)'!$D$27)</c:f>
              <c:numCache>
                <c:formatCode>General</c:formatCode>
                <c:ptCount val="9"/>
                <c:pt idx="0">
                  <c:v>1</c:v>
                </c:pt>
                <c:pt idx="1">
                  <c:v>0.9</c:v>
                </c:pt>
                <c:pt idx="2">
                  <c:v>0.8</c:v>
                </c:pt>
                <c:pt idx="3">
                  <c:v>0.9</c:v>
                </c:pt>
                <c:pt idx="4">
                  <c:v>0.9</c:v>
                </c:pt>
                <c:pt idx="5">
                  <c:v>1</c:v>
                </c:pt>
                <c:pt idx="6">
                  <c:v>1.1000000000000001</c:v>
                </c:pt>
                <c:pt idx="7">
                  <c:v>1.2000000000000002</c:v>
                </c:pt>
                <c:pt idx="8">
                  <c:v>1.4000000000000004</c:v>
                </c:pt>
              </c:numCache>
            </c:numRef>
          </c:yVal>
          <c:smooth val="0"/>
          <c:extLst>
            <c:ext xmlns:c16="http://schemas.microsoft.com/office/drawing/2014/chart" uri="{C3380CC4-5D6E-409C-BE32-E72D297353CC}">
              <c16:uniqueId val="{00000000-F01F-4DC9-A666-01B15182A95F}"/>
            </c:ext>
          </c:extLst>
        </c:ser>
        <c:dLbls>
          <c:showLegendKey val="0"/>
          <c:showVal val="0"/>
          <c:showCatName val="0"/>
          <c:showSerName val="0"/>
          <c:showPercent val="0"/>
          <c:showBubbleSize val="0"/>
        </c:dLbls>
        <c:axId val="934317168"/>
        <c:axId val="838394880"/>
      </c:scatterChart>
      <c:valAx>
        <c:axId val="934317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394880"/>
        <c:crosses val="autoZero"/>
        <c:crossBetween val="midCat"/>
      </c:valAx>
      <c:valAx>
        <c:axId val="838394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3171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G0</c:v>
          </c:tx>
          <c:spPr>
            <a:ln w="25400" cap="rnd">
              <a:noFill/>
              <a:round/>
            </a:ln>
            <a:effectLst/>
          </c:spPr>
          <c:marker>
            <c:symbol val="circle"/>
            <c:size val="5"/>
            <c:spPr>
              <a:solidFill>
                <a:schemeClr val="accent1"/>
              </a:solidFill>
              <a:ln w="9525">
                <a:solidFill>
                  <a:schemeClr val="accent1"/>
                </a:solidFill>
              </a:ln>
              <a:effectLst/>
            </c:spPr>
          </c:marker>
          <c:xVal>
            <c:numRef>
              <c:f>'Complete GA (BONUS)'!$C$13:$C$22</c:f>
              <c:numCache>
                <c:formatCode>General</c:formatCode>
                <c:ptCount val="10"/>
                <c:pt idx="0">
                  <c:v>-4.1611499945339343</c:v>
                </c:pt>
                <c:pt idx="1">
                  <c:v>2.6080208665971156</c:v>
                </c:pt>
                <c:pt idx="2">
                  <c:v>3.1943832302450197</c:v>
                </c:pt>
                <c:pt idx="3">
                  <c:v>-3.7573898508751693</c:v>
                </c:pt>
                <c:pt idx="4">
                  <c:v>1.7263305804259721</c:v>
                </c:pt>
                <c:pt idx="5">
                  <c:v>-1.0682171985366651</c:v>
                </c:pt>
                <c:pt idx="6">
                  <c:v>3.523107707953816</c:v>
                </c:pt>
                <c:pt idx="7">
                  <c:v>3.730948912628806</c:v>
                </c:pt>
                <c:pt idx="8">
                  <c:v>-4.6614653271641</c:v>
                </c:pt>
                <c:pt idx="9">
                  <c:v>2.6363244729691377</c:v>
                </c:pt>
              </c:numCache>
            </c:numRef>
          </c:xVal>
          <c:yVal>
            <c:numRef>
              <c:f>'Complete GA (BONUS)'!$D$13:$D$22</c:f>
              <c:numCache>
                <c:formatCode>General</c:formatCode>
                <c:ptCount val="10"/>
                <c:pt idx="0">
                  <c:v>1.0526047671247181</c:v>
                </c:pt>
                <c:pt idx="1">
                  <c:v>1.6297054718026818</c:v>
                </c:pt>
                <c:pt idx="2">
                  <c:v>0.43886824295215376</c:v>
                </c:pt>
                <c:pt idx="3">
                  <c:v>0.38224804589572425</c:v>
                </c:pt>
                <c:pt idx="4">
                  <c:v>2.3180925386828619</c:v>
                </c:pt>
                <c:pt idx="5">
                  <c:v>-3.9023212612378719</c:v>
                </c:pt>
                <c:pt idx="6">
                  <c:v>-4.6082108342766146</c:v>
                </c:pt>
                <c:pt idx="7">
                  <c:v>-3.9085661237454206</c:v>
                </c:pt>
                <c:pt idx="8">
                  <c:v>1.3761931018881288</c:v>
                </c:pt>
                <c:pt idx="9">
                  <c:v>-2.1544804909209958E-2</c:v>
                </c:pt>
              </c:numCache>
            </c:numRef>
          </c:yVal>
          <c:smooth val="0"/>
          <c:extLst>
            <c:ext xmlns:c16="http://schemas.microsoft.com/office/drawing/2014/chart" uri="{C3380CC4-5D6E-409C-BE32-E72D297353CC}">
              <c16:uniqueId val="{00000000-6B13-40AF-9692-476460EB6D02}"/>
            </c:ext>
          </c:extLst>
        </c:ser>
        <c:ser>
          <c:idx val="1"/>
          <c:order val="1"/>
          <c:tx>
            <c:v>G1</c:v>
          </c:tx>
          <c:spPr>
            <a:ln w="25400" cap="rnd">
              <a:noFill/>
              <a:round/>
            </a:ln>
            <a:effectLst/>
          </c:spPr>
          <c:marker>
            <c:symbol val="circle"/>
            <c:size val="5"/>
            <c:spPr>
              <a:solidFill>
                <a:schemeClr val="accent2"/>
              </a:solidFill>
              <a:ln w="9525">
                <a:solidFill>
                  <a:schemeClr val="accent2"/>
                </a:solidFill>
              </a:ln>
              <a:effectLst/>
            </c:spPr>
          </c:marker>
          <c:xVal>
            <c:numRef>
              <c:f>'Complete GA (BONUS)'!$C$53:$C$62</c:f>
              <c:numCache>
                <c:formatCode>General</c:formatCode>
                <c:ptCount val="10"/>
                <c:pt idx="0">
                  <c:v>-3.8888888888888888</c:v>
                </c:pt>
                <c:pt idx="1">
                  <c:v>-0.87301587301587347</c:v>
                </c:pt>
                <c:pt idx="2">
                  <c:v>7.9365079365079083E-2</c:v>
                </c:pt>
                <c:pt idx="3">
                  <c:v>1.3492063492063489</c:v>
                </c:pt>
                <c:pt idx="4">
                  <c:v>0.87301587301587347</c:v>
                </c:pt>
                <c:pt idx="5">
                  <c:v>0.23809523809523814</c:v>
                </c:pt>
                <c:pt idx="6">
                  <c:v>4.2063492063492056</c:v>
                </c:pt>
                <c:pt idx="7">
                  <c:v>1.825396825396826</c:v>
                </c:pt>
                <c:pt idx="8">
                  <c:v>0.55555555555555536</c:v>
                </c:pt>
                <c:pt idx="9">
                  <c:v>0.55555555555555536</c:v>
                </c:pt>
              </c:numCache>
            </c:numRef>
          </c:xVal>
          <c:yVal>
            <c:numRef>
              <c:f>'Complete GA (BONUS)'!$D$53:$D$62</c:f>
              <c:numCache>
                <c:formatCode>General</c:formatCode>
                <c:ptCount val="10"/>
                <c:pt idx="0">
                  <c:v>1.5079365079365079</c:v>
                </c:pt>
                <c:pt idx="1">
                  <c:v>0.23809523809523814</c:v>
                </c:pt>
                <c:pt idx="2">
                  <c:v>1.3492063492063489</c:v>
                </c:pt>
                <c:pt idx="3">
                  <c:v>-2.7777777777777777</c:v>
                </c:pt>
                <c:pt idx="4">
                  <c:v>-4.8412698412698409</c:v>
                </c:pt>
                <c:pt idx="5">
                  <c:v>-2.9365079365079367</c:v>
                </c:pt>
                <c:pt idx="6">
                  <c:v>-5</c:v>
                </c:pt>
                <c:pt idx="7">
                  <c:v>0.87301587301587347</c:v>
                </c:pt>
                <c:pt idx="8">
                  <c:v>0.3968253968253963</c:v>
                </c:pt>
                <c:pt idx="9">
                  <c:v>-4.2063492063492065</c:v>
                </c:pt>
              </c:numCache>
            </c:numRef>
          </c:yVal>
          <c:smooth val="0"/>
          <c:extLst>
            <c:ext xmlns:c16="http://schemas.microsoft.com/office/drawing/2014/chart" uri="{C3380CC4-5D6E-409C-BE32-E72D297353CC}">
              <c16:uniqueId val="{00000001-6B13-40AF-9692-476460EB6D02}"/>
            </c:ext>
          </c:extLst>
        </c:ser>
        <c:ser>
          <c:idx val="2"/>
          <c:order val="2"/>
          <c:tx>
            <c:v>G2</c:v>
          </c:tx>
          <c:spPr>
            <a:ln w="25400" cap="rnd">
              <a:noFill/>
              <a:round/>
            </a:ln>
            <a:effectLst/>
          </c:spPr>
          <c:marker>
            <c:symbol val="circle"/>
            <c:size val="5"/>
            <c:spPr>
              <a:solidFill>
                <a:schemeClr val="accent3"/>
              </a:solidFill>
              <a:ln w="9525">
                <a:solidFill>
                  <a:schemeClr val="accent3"/>
                </a:solidFill>
              </a:ln>
              <a:effectLst/>
            </c:spPr>
          </c:marker>
          <c:xVal>
            <c:numRef>
              <c:f>'Complete GA (BONUS)'!$J$79:$J$88</c:f>
              <c:numCache>
                <c:formatCode>General</c:formatCode>
                <c:ptCount val="10"/>
                <c:pt idx="0">
                  <c:v>-3.8888888888888888</c:v>
                </c:pt>
                <c:pt idx="1">
                  <c:v>-5</c:v>
                </c:pt>
                <c:pt idx="2">
                  <c:v>-3.412698412698413</c:v>
                </c:pt>
                <c:pt idx="3">
                  <c:v>1.6666666666666661</c:v>
                </c:pt>
                <c:pt idx="4">
                  <c:v>0.71428571428571352</c:v>
                </c:pt>
                <c:pt idx="5">
                  <c:v>1.6666666666666661</c:v>
                </c:pt>
                <c:pt idx="6">
                  <c:v>-5</c:v>
                </c:pt>
                <c:pt idx="7">
                  <c:v>0.71428571428571352</c:v>
                </c:pt>
                <c:pt idx="8">
                  <c:v>4.2063492063492056</c:v>
                </c:pt>
                <c:pt idx="9">
                  <c:v>-5</c:v>
                </c:pt>
              </c:numCache>
            </c:numRef>
          </c:xVal>
          <c:yVal>
            <c:numRef>
              <c:f>'Complete GA (BONUS)'!$K$79:$K$88</c:f>
              <c:numCache>
                <c:formatCode>General</c:formatCode>
                <c:ptCount val="10"/>
                <c:pt idx="0">
                  <c:v>1.825396825396826</c:v>
                </c:pt>
                <c:pt idx="1">
                  <c:v>-0.71428571428571441</c:v>
                </c:pt>
                <c:pt idx="2">
                  <c:v>1.0317460317460316</c:v>
                </c:pt>
                <c:pt idx="3">
                  <c:v>1.3492063492063489</c:v>
                </c:pt>
                <c:pt idx="4">
                  <c:v>7.9365079365079083E-2</c:v>
                </c:pt>
                <c:pt idx="5">
                  <c:v>-4.5238095238095237</c:v>
                </c:pt>
                <c:pt idx="6">
                  <c:v>1.3492063492063489</c:v>
                </c:pt>
                <c:pt idx="7">
                  <c:v>-7.9365079365079971E-2</c:v>
                </c:pt>
                <c:pt idx="8">
                  <c:v>0.71428571428571352</c:v>
                </c:pt>
                <c:pt idx="9">
                  <c:v>1.3492063492063489</c:v>
                </c:pt>
              </c:numCache>
            </c:numRef>
          </c:yVal>
          <c:smooth val="0"/>
          <c:extLst>
            <c:ext xmlns:c16="http://schemas.microsoft.com/office/drawing/2014/chart" uri="{C3380CC4-5D6E-409C-BE32-E72D297353CC}">
              <c16:uniqueId val="{00000002-6B13-40AF-9692-476460EB6D02}"/>
            </c:ext>
          </c:extLst>
        </c:ser>
        <c:ser>
          <c:idx val="3"/>
          <c:order val="3"/>
          <c:tx>
            <c:v>True Solution</c:v>
          </c:tx>
          <c:spPr>
            <a:ln w="25400" cap="rnd">
              <a:noFill/>
              <a:round/>
            </a:ln>
            <a:effectLst/>
          </c:spPr>
          <c:marker>
            <c:symbol val="square"/>
            <c:size val="10"/>
            <c:spPr>
              <a:solidFill>
                <a:srgbClr val="FFFF00"/>
              </a:solidFill>
              <a:ln w="9525">
                <a:solidFill>
                  <a:srgbClr val="FFFF00"/>
                </a:solidFill>
              </a:ln>
              <a:effectLst/>
            </c:spPr>
          </c:marker>
          <c:xVal>
            <c:numRef>
              <c:f>'Complete GA (BONUS)'!$B$9</c:f>
              <c:numCache>
                <c:formatCode>General</c:formatCode>
                <c:ptCount val="1"/>
                <c:pt idx="0">
                  <c:v>-1.9999996374097115</c:v>
                </c:pt>
              </c:numCache>
            </c:numRef>
          </c:xVal>
          <c:yVal>
            <c:numRef>
              <c:f>'Complete GA (BONUS)'!$C$9</c:f>
              <c:numCache>
                <c:formatCode>General</c:formatCode>
                <c:ptCount val="1"/>
                <c:pt idx="0">
                  <c:v>1.4999992725118474</c:v>
                </c:pt>
              </c:numCache>
            </c:numRef>
          </c:yVal>
          <c:smooth val="0"/>
          <c:extLst>
            <c:ext xmlns:c16="http://schemas.microsoft.com/office/drawing/2014/chart" uri="{C3380CC4-5D6E-409C-BE32-E72D297353CC}">
              <c16:uniqueId val="{00000003-6B13-40AF-9692-476460EB6D02}"/>
            </c:ext>
          </c:extLst>
        </c:ser>
        <c:dLbls>
          <c:showLegendKey val="0"/>
          <c:showVal val="0"/>
          <c:showCatName val="0"/>
          <c:showSerName val="0"/>
          <c:showPercent val="0"/>
          <c:showBubbleSize val="0"/>
        </c:dLbls>
        <c:axId val="520240512"/>
        <c:axId val="383856736"/>
      </c:scatterChart>
      <c:valAx>
        <c:axId val="520240512"/>
        <c:scaling>
          <c:orientation val="minMax"/>
          <c:max val="5"/>
          <c:min val="-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x1</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856736"/>
        <c:crosses val="autoZero"/>
        <c:crossBetween val="midCat"/>
      </c:valAx>
      <c:valAx>
        <c:axId val="383856736"/>
        <c:scaling>
          <c:orientation val="minMax"/>
          <c:max val="5"/>
          <c:min val="-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x2</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4051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G0</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'Complete GA (BONUS)'!$AD$3:$AD$12</c:f>
              <c:numCache>
                <c:formatCode>General</c:formatCode>
                <c:ptCount val="10"/>
                <c:pt idx="0">
                  <c:v>-4.6614653271641</c:v>
                </c:pt>
                <c:pt idx="1">
                  <c:v>-4.1611499945339343</c:v>
                </c:pt>
                <c:pt idx="2">
                  <c:v>-3.7573898508751693</c:v>
                </c:pt>
                <c:pt idx="3">
                  <c:v>-1.0682171985366651</c:v>
                </c:pt>
                <c:pt idx="4">
                  <c:v>1.7263305804259721</c:v>
                </c:pt>
                <c:pt idx="5">
                  <c:v>2.6080208665971156</c:v>
                </c:pt>
                <c:pt idx="6">
                  <c:v>2.6363244729691377</c:v>
                </c:pt>
                <c:pt idx="7">
                  <c:v>3.1943832302450197</c:v>
                </c:pt>
                <c:pt idx="8">
                  <c:v>3.523107707953816</c:v>
                </c:pt>
                <c:pt idx="9">
                  <c:v>3.730948912628806</c:v>
                </c:pt>
              </c:numCache>
            </c:numRef>
          </c:xVal>
          <c:yVal>
            <c:numRef>
              <c:f>'Complete GA (BONUS)'!$AF$3:$AF$12</c:f>
              <c:numCache>
                <c:formatCode>General</c:formatCode>
                <c:ptCount val="10"/>
                <c:pt idx="0">
                  <c:v>5.2730695169138428</c:v>
                </c:pt>
                <c:pt idx="1">
                  <c:v>4.5046706978389279</c:v>
                </c:pt>
                <c:pt idx="2">
                  <c:v>7.0158098296443887</c:v>
                </c:pt>
                <c:pt idx="3">
                  <c:v>46.670789129946044</c:v>
                </c:pt>
                <c:pt idx="4">
                  <c:v>18.821056887339434</c:v>
                </c:pt>
                <c:pt idx="5">
                  <c:v>19.96287436698271</c:v>
                </c:pt>
                <c:pt idx="6">
                  <c:v>9.5169509739057201</c:v>
                </c:pt>
                <c:pt idx="7">
                  <c:v>15.709768346502056</c:v>
                </c:pt>
                <c:pt idx="8">
                  <c:v>35.15258526440693</c:v>
                </c:pt>
                <c:pt idx="9">
                  <c:v>26.856518177494795</c:v>
                </c:pt>
              </c:numCache>
            </c:numRef>
          </c:yVal>
          <c:smooth val="0"/>
          <c:extLst>
            <c:ext xmlns:c16="http://schemas.microsoft.com/office/drawing/2014/chart" uri="{C3380CC4-5D6E-409C-BE32-E72D297353CC}">
              <c16:uniqueId val="{00000001-2C67-4C29-B097-5614E18116DA}"/>
            </c:ext>
          </c:extLst>
        </c:ser>
        <c:ser>
          <c:idx val="1"/>
          <c:order val="1"/>
          <c:tx>
            <c:v>G1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'Complete GA (BONUS)'!$AD$14:$AD$23</c:f>
              <c:numCache>
                <c:formatCode>General</c:formatCode>
                <c:ptCount val="10"/>
                <c:pt idx="0">
                  <c:v>-3.8888888888888888</c:v>
                </c:pt>
                <c:pt idx="1">
                  <c:v>-0.87301587301587347</c:v>
                </c:pt>
                <c:pt idx="2">
                  <c:v>7.9365079365079083E-2</c:v>
                </c:pt>
                <c:pt idx="3">
                  <c:v>0.23809523809523814</c:v>
                </c:pt>
                <c:pt idx="4">
                  <c:v>0.55555555555555536</c:v>
                </c:pt>
                <c:pt idx="5">
                  <c:v>0.55555555555555536</c:v>
                </c:pt>
                <c:pt idx="6">
                  <c:v>0.87301587301587347</c:v>
                </c:pt>
                <c:pt idx="7">
                  <c:v>1.3492063492063489</c:v>
                </c:pt>
                <c:pt idx="8">
                  <c:v>1.825396825396826</c:v>
                </c:pt>
                <c:pt idx="9">
                  <c:v>4.2063492063492056</c:v>
                </c:pt>
              </c:numCache>
            </c:numRef>
          </c:xVal>
          <c:yVal>
            <c:numRef>
              <c:f>'Complete GA (BONUS)'!$AF$14:$AF$23</c:f>
              <c:numCache>
                <c:formatCode>General</c:formatCode>
                <c:ptCount val="10"/>
                <c:pt idx="0">
                  <c:v>1.0380448475686581</c:v>
                </c:pt>
                <c:pt idx="1">
                  <c:v>-0.88939279415469885</c:v>
                </c:pt>
                <c:pt idx="2">
                  <c:v>1.2421264802217156</c:v>
                </c:pt>
                <c:pt idx="3">
                  <c:v>22.015621063240115</c:v>
                </c:pt>
                <c:pt idx="4">
                  <c:v>0.82640463592844449</c:v>
                </c:pt>
                <c:pt idx="5">
                  <c:v>39.989921894683803</c:v>
                </c:pt>
                <c:pt idx="6">
                  <c:v>49.740488788107825</c:v>
                </c:pt>
                <c:pt idx="7">
                  <c:v>16.661627614008566</c:v>
                </c:pt>
                <c:pt idx="8">
                  <c:v>8.1229528848576535</c:v>
                </c:pt>
                <c:pt idx="9">
                  <c:v>39.836230788611743</c:v>
                </c:pt>
              </c:numCache>
            </c:numRef>
          </c:yVal>
          <c:smooth val="0"/>
          <c:extLst>
            <c:ext xmlns:c16="http://schemas.microsoft.com/office/drawing/2014/chart" uri="{C3380CC4-5D6E-409C-BE32-E72D297353CC}">
              <c16:uniqueId val="{00000002-2C67-4C29-B097-5614E18116DA}"/>
            </c:ext>
          </c:extLst>
        </c:ser>
        <c:ser>
          <c:idx val="2"/>
          <c:order val="2"/>
          <c:tx>
            <c:v>G2</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'Complete GA (BONUS)'!$AD$25:$AD$34</c:f>
              <c:numCache>
                <c:formatCode>General</c:formatCode>
                <c:ptCount val="10"/>
                <c:pt idx="0">
                  <c:v>-5</c:v>
                </c:pt>
                <c:pt idx="1">
                  <c:v>-5</c:v>
                </c:pt>
                <c:pt idx="2">
                  <c:v>-5</c:v>
                </c:pt>
                <c:pt idx="3">
                  <c:v>-3.8888888888888888</c:v>
                </c:pt>
                <c:pt idx="4">
                  <c:v>-3.412698412698413</c:v>
                </c:pt>
                <c:pt idx="5">
                  <c:v>0.71428571428571352</c:v>
                </c:pt>
                <c:pt idx="6">
                  <c:v>0.71428571428571352</c:v>
                </c:pt>
                <c:pt idx="7">
                  <c:v>1.6666666666666661</c:v>
                </c:pt>
                <c:pt idx="8">
                  <c:v>1.6666666666666661</c:v>
                </c:pt>
                <c:pt idx="9">
                  <c:v>4.2063492063492056</c:v>
                </c:pt>
              </c:numCache>
            </c:numRef>
          </c:xVal>
          <c:yVal>
            <c:numRef>
              <c:f>'Complete GA (BONUS)'!$AF$25:$AF$34</c:f>
              <c:numCache>
                <c:formatCode>General</c:formatCode>
                <c:ptCount val="10"/>
                <c:pt idx="0">
                  <c:v>29.591836734693878</c:v>
                </c:pt>
                <c:pt idx="1">
                  <c:v>7.450239355001262</c:v>
                </c:pt>
                <c:pt idx="2">
                  <c:v>7.450239355001262</c:v>
                </c:pt>
                <c:pt idx="3">
                  <c:v>5.0390526581000294E-2</c:v>
                </c:pt>
                <c:pt idx="4">
                  <c:v>1.2572436381960195</c:v>
                </c:pt>
                <c:pt idx="5">
                  <c:v>1.1917359536407137</c:v>
                </c:pt>
                <c:pt idx="6">
                  <c:v>1.2824389014865194</c:v>
                </c:pt>
                <c:pt idx="7">
                  <c:v>9.8841017888636884</c:v>
                </c:pt>
                <c:pt idx="8">
                  <c:v>39.342403628117921</c:v>
                </c:pt>
                <c:pt idx="9">
                  <c:v>27.500629881582245</c:v>
                </c:pt>
              </c:numCache>
            </c:numRef>
          </c:yVal>
          <c:smooth val="0"/>
          <c:extLst>
            <c:ext xmlns:c16="http://schemas.microsoft.com/office/drawing/2014/chart" uri="{C3380CC4-5D6E-409C-BE32-E72D297353CC}">
              <c16:uniqueId val="{00000003-2C67-4C29-B097-5614E18116DA}"/>
            </c:ext>
          </c:extLst>
        </c:ser>
        <c:ser>
          <c:idx val="3"/>
          <c:order val="3"/>
          <c:tx>
            <c:v>True Data</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'Complete GA (BONUS)'!$B$9</c:f>
              <c:numCache>
                <c:formatCode>General</c:formatCode>
                <c:ptCount val="1"/>
                <c:pt idx="0">
                  <c:v>-1.9999996374097115</c:v>
                </c:pt>
              </c:numCache>
            </c:numRef>
          </c:xVal>
          <c:yVal>
            <c:numRef>
              <c:f>'Complete GA (BONUS)'!$D$9</c:f>
              <c:numCache>
                <c:formatCode>General</c:formatCode>
                <c:ptCount val="1"/>
                <c:pt idx="0">
                  <c:v>-2.4999999999993392</c:v>
                </c:pt>
              </c:numCache>
            </c:numRef>
          </c:yVal>
          <c:smooth val="0"/>
          <c:extLst>
            <c:ext xmlns:c16="http://schemas.microsoft.com/office/drawing/2014/chart" uri="{C3380CC4-5D6E-409C-BE32-E72D297353CC}">
              <c16:uniqueId val="{00000004-2C67-4C29-B097-5614E18116DA}"/>
            </c:ext>
          </c:extLst>
        </c:ser>
        <c:dLbls>
          <c:showLegendKey val="0"/>
          <c:showVal val="0"/>
          <c:showCatName val="0"/>
          <c:showSerName val="0"/>
          <c:showPercent val="0"/>
          <c:showBubbleSize val="0"/>
        </c:dLbls>
        <c:axId val="688367696"/>
        <c:axId val="1992076752"/>
      </c:scatterChart>
      <c:valAx>
        <c:axId val="6883676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X1</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2076752"/>
        <c:crosses val="autoZero"/>
        <c:crossBetween val="midCat"/>
      </c:valAx>
      <c:valAx>
        <c:axId val="19920767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f</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36769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G0</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'Complete GA (BONUS)'!$AH$3:$AH$12</c:f>
              <c:numCache>
                <c:formatCode>General</c:formatCode>
                <c:ptCount val="10"/>
                <c:pt idx="0">
                  <c:v>-4.6082108342766146</c:v>
                </c:pt>
                <c:pt idx="1">
                  <c:v>-3.9085661237454206</c:v>
                </c:pt>
                <c:pt idx="2">
                  <c:v>-3.9023212612378719</c:v>
                </c:pt>
                <c:pt idx="3">
                  <c:v>-2.1544804909209958E-2</c:v>
                </c:pt>
                <c:pt idx="4">
                  <c:v>0.38224804589572425</c:v>
                </c:pt>
                <c:pt idx="5">
                  <c:v>0.43886824295215376</c:v>
                </c:pt>
                <c:pt idx="6">
                  <c:v>1.0526047671247181</c:v>
                </c:pt>
                <c:pt idx="7">
                  <c:v>1.3761931018881288</c:v>
                </c:pt>
                <c:pt idx="8">
                  <c:v>1.6297054718026818</c:v>
                </c:pt>
                <c:pt idx="9">
                  <c:v>2.3180925386828619</c:v>
                </c:pt>
              </c:numCache>
            </c:numRef>
          </c:xVal>
          <c:yVal>
            <c:numRef>
              <c:f>'Complete GA (BONUS)'!$AI$3:$AI$12</c:f>
              <c:numCache>
                <c:formatCode>General</c:formatCode>
                <c:ptCount val="10"/>
                <c:pt idx="0">
                  <c:v>35.15258526440693</c:v>
                </c:pt>
                <c:pt idx="1">
                  <c:v>26.856518177494795</c:v>
                </c:pt>
                <c:pt idx="2">
                  <c:v>46.670789129946044</c:v>
                </c:pt>
                <c:pt idx="3">
                  <c:v>9.5169509739057201</c:v>
                </c:pt>
                <c:pt idx="4">
                  <c:v>7.0158098296443887</c:v>
                </c:pt>
                <c:pt idx="5">
                  <c:v>15.709768346502056</c:v>
                </c:pt>
                <c:pt idx="6">
                  <c:v>4.5046706978389279</c:v>
                </c:pt>
                <c:pt idx="7">
                  <c:v>5.2730695169138428</c:v>
                </c:pt>
                <c:pt idx="8">
                  <c:v>19.96287436698271</c:v>
                </c:pt>
                <c:pt idx="9">
                  <c:v>18.821056887339434</c:v>
                </c:pt>
              </c:numCache>
            </c:numRef>
          </c:yVal>
          <c:smooth val="0"/>
          <c:extLst>
            <c:ext xmlns:c16="http://schemas.microsoft.com/office/drawing/2014/chart" uri="{C3380CC4-5D6E-409C-BE32-E72D297353CC}">
              <c16:uniqueId val="{00000000-6375-4B98-AF4E-2433AA4C75A9}"/>
            </c:ext>
          </c:extLst>
        </c:ser>
        <c:ser>
          <c:idx val="1"/>
          <c:order val="1"/>
          <c:tx>
            <c:v>G1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'Complete GA (BONUS)'!$AH$14:$AH$23</c:f>
              <c:numCache>
                <c:formatCode>General</c:formatCode>
                <c:ptCount val="10"/>
                <c:pt idx="0">
                  <c:v>-5</c:v>
                </c:pt>
                <c:pt idx="1">
                  <c:v>-4.8412698412698409</c:v>
                </c:pt>
                <c:pt idx="2">
                  <c:v>-4.2063492063492065</c:v>
                </c:pt>
                <c:pt idx="3">
                  <c:v>-2.9365079365079367</c:v>
                </c:pt>
                <c:pt idx="4">
                  <c:v>-2.7777777777777777</c:v>
                </c:pt>
                <c:pt idx="5">
                  <c:v>0.23809523809523814</c:v>
                </c:pt>
                <c:pt idx="6">
                  <c:v>0.3968253968253963</c:v>
                </c:pt>
                <c:pt idx="7">
                  <c:v>0.87301587301587347</c:v>
                </c:pt>
                <c:pt idx="8">
                  <c:v>1.3492063492063489</c:v>
                </c:pt>
                <c:pt idx="9">
                  <c:v>1.5079365079365079</c:v>
                </c:pt>
              </c:numCache>
            </c:numRef>
          </c:xVal>
          <c:yVal>
            <c:numRef>
              <c:f>'Complete GA (BONUS)'!$AI$14:$AI$23</c:f>
              <c:numCache>
                <c:formatCode>General</c:formatCode>
                <c:ptCount val="10"/>
                <c:pt idx="0">
                  <c:v>39.836230788611743</c:v>
                </c:pt>
                <c:pt idx="1">
                  <c:v>49.740488788107825</c:v>
                </c:pt>
                <c:pt idx="2">
                  <c:v>39.989921894683803</c:v>
                </c:pt>
                <c:pt idx="3">
                  <c:v>22.015621063240115</c:v>
                </c:pt>
                <c:pt idx="4">
                  <c:v>16.661627614008566</c:v>
                </c:pt>
                <c:pt idx="5">
                  <c:v>-0.88939279415469885</c:v>
                </c:pt>
                <c:pt idx="6">
                  <c:v>0.82640463592844449</c:v>
                </c:pt>
                <c:pt idx="7">
                  <c:v>8.1229528848576535</c:v>
                </c:pt>
                <c:pt idx="8">
                  <c:v>1.2421264802217156</c:v>
                </c:pt>
                <c:pt idx="9">
                  <c:v>1.0380448475686581</c:v>
                </c:pt>
              </c:numCache>
            </c:numRef>
          </c:yVal>
          <c:smooth val="0"/>
          <c:extLst>
            <c:ext xmlns:c16="http://schemas.microsoft.com/office/drawing/2014/chart" uri="{C3380CC4-5D6E-409C-BE32-E72D297353CC}">
              <c16:uniqueId val="{00000001-6375-4B98-AF4E-2433AA4C75A9}"/>
            </c:ext>
          </c:extLst>
        </c:ser>
        <c:ser>
          <c:idx val="2"/>
          <c:order val="2"/>
          <c:tx>
            <c:v>G2</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'Complete GA (BONUS)'!$AH$25:$AH$34</c:f>
              <c:numCache>
                <c:formatCode>General</c:formatCode>
                <c:ptCount val="10"/>
                <c:pt idx="0">
                  <c:v>-4.5238095238095237</c:v>
                </c:pt>
                <c:pt idx="1">
                  <c:v>-0.71428571428571441</c:v>
                </c:pt>
                <c:pt idx="2">
                  <c:v>-7.9365079365079971E-2</c:v>
                </c:pt>
                <c:pt idx="3">
                  <c:v>7.9365079365079083E-2</c:v>
                </c:pt>
                <c:pt idx="4">
                  <c:v>0.71428571428571352</c:v>
                </c:pt>
                <c:pt idx="5">
                  <c:v>1.0317460317460316</c:v>
                </c:pt>
                <c:pt idx="6">
                  <c:v>1.3492063492063489</c:v>
                </c:pt>
                <c:pt idx="7">
                  <c:v>1.3492063492063489</c:v>
                </c:pt>
                <c:pt idx="8">
                  <c:v>1.3492063492063489</c:v>
                </c:pt>
                <c:pt idx="9">
                  <c:v>1.825396825396826</c:v>
                </c:pt>
              </c:numCache>
            </c:numRef>
          </c:xVal>
          <c:yVal>
            <c:numRef>
              <c:f>'Complete GA (BONUS)'!$AI$25:$AI$34</c:f>
              <c:numCache>
                <c:formatCode>General</c:formatCode>
                <c:ptCount val="10"/>
                <c:pt idx="0">
                  <c:v>39.342403628117921</c:v>
                </c:pt>
                <c:pt idx="1">
                  <c:v>29.591836734693878</c:v>
                </c:pt>
                <c:pt idx="2">
                  <c:v>1.2824389014865194</c:v>
                </c:pt>
                <c:pt idx="3">
                  <c:v>1.1917359536407137</c:v>
                </c:pt>
                <c:pt idx="4">
                  <c:v>27.500629881582245</c:v>
                </c:pt>
                <c:pt idx="5">
                  <c:v>1.2572436381960195</c:v>
                </c:pt>
                <c:pt idx="6">
                  <c:v>9.8841017888636884</c:v>
                </c:pt>
                <c:pt idx="7">
                  <c:v>7.450239355001262</c:v>
                </c:pt>
                <c:pt idx="8">
                  <c:v>7.450239355001262</c:v>
                </c:pt>
                <c:pt idx="9">
                  <c:v>5.0390526581000294E-2</c:v>
                </c:pt>
              </c:numCache>
            </c:numRef>
          </c:yVal>
          <c:smooth val="0"/>
          <c:extLst>
            <c:ext xmlns:c16="http://schemas.microsoft.com/office/drawing/2014/chart" uri="{C3380CC4-5D6E-409C-BE32-E72D297353CC}">
              <c16:uniqueId val="{00000002-6375-4B98-AF4E-2433AA4C75A9}"/>
            </c:ext>
          </c:extLst>
        </c:ser>
        <c:ser>
          <c:idx val="3"/>
          <c:order val="3"/>
          <c:tx>
            <c:v>True Data</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'Complete GA (BONUS)'!$C$9</c:f>
              <c:numCache>
                <c:formatCode>General</c:formatCode>
                <c:ptCount val="1"/>
                <c:pt idx="0">
                  <c:v>1.4999992725118474</c:v>
                </c:pt>
              </c:numCache>
            </c:numRef>
          </c:xVal>
          <c:yVal>
            <c:numRef>
              <c:f>'Complete GA (BONUS)'!$D$9</c:f>
              <c:numCache>
                <c:formatCode>General</c:formatCode>
                <c:ptCount val="1"/>
                <c:pt idx="0">
                  <c:v>-2.4999999999993392</c:v>
                </c:pt>
              </c:numCache>
            </c:numRef>
          </c:yVal>
          <c:smooth val="0"/>
          <c:extLst>
            <c:ext xmlns:c16="http://schemas.microsoft.com/office/drawing/2014/chart" uri="{C3380CC4-5D6E-409C-BE32-E72D297353CC}">
              <c16:uniqueId val="{00000003-6375-4B98-AF4E-2433AA4C75A9}"/>
            </c:ext>
          </c:extLst>
        </c:ser>
        <c:dLbls>
          <c:showLegendKey val="0"/>
          <c:showVal val="0"/>
          <c:showCatName val="0"/>
          <c:showSerName val="0"/>
          <c:showPercent val="0"/>
          <c:showBubbleSize val="0"/>
        </c:dLbls>
        <c:axId val="688367696"/>
        <c:axId val="1992076752"/>
      </c:scatterChart>
      <c:valAx>
        <c:axId val="6883676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X2</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2076752"/>
        <c:crosses val="autoZero"/>
        <c:crossBetween val="midCat"/>
      </c:valAx>
      <c:valAx>
        <c:axId val="19920767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f</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36769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Data</c:v>
          </c:tx>
          <c:spPr>
            <a:ln w="25400" cap="rnd">
              <a:noFill/>
              <a:round/>
            </a:ln>
            <a:effectLst/>
          </c:spPr>
          <c:marker>
            <c:symbol val="circle"/>
            <c:size val="5"/>
            <c:spPr>
              <a:solidFill>
                <a:schemeClr val="accent1"/>
              </a:solidFill>
              <a:ln w="9525">
                <a:solidFill>
                  <a:schemeClr val="accent1"/>
                </a:solidFill>
              </a:ln>
              <a:effectLst/>
            </c:spPr>
          </c:marker>
          <c:xVal>
            <c:numRef>
              <c:f>'Meta-Models RSM'!$C$3:$C$7</c:f>
              <c:numCache>
                <c:formatCode>General</c:formatCode>
                <c:ptCount val="5"/>
                <c:pt idx="0">
                  <c:v>-1</c:v>
                </c:pt>
                <c:pt idx="1">
                  <c:v>0</c:v>
                </c:pt>
                <c:pt idx="2">
                  <c:v>1</c:v>
                </c:pt>
                <c:pt idx="3">
                  <c:v>2</c:v>
                </c:pt>
                <c:pt idx="4">
                  <c:v>0.5</c:v>
                </c:pt>
              </c:numCache>
            </c:numRef>
          </c:xVal>
          <c:yVal>
            <c:numRef>
              <c:f>'Meta-Models RSM'!$D$3:$D$7</c:f>
              <c:numCache>
                <c:formatCode>General</c:formatCode>
                <c:ptCount val="5"/>
                <c:pt idx="0">
                  <c:v>3.5</c:v>
                </c:pt>
                <c:pt idx="1">
                  <c:v>0.8</c:v>
                </c:pt>
                <c:pt idx="2">
                  <c:v>2.2000000000000002</c:v>
                </c:pt>
                <c:pt idx="3">
                  <c:v>4.0999999999999996</c:v>
                </c:pt>
                <c:pt idx="4">
                  <c:v>0.7</c:v>
                </c:pt>
              </c:numCache>
            </c:numRef>
          </c:yVal>
          <c:smooth val="0"/>
          <c:extLst>
            <c:ext xmlns:c16="http://schemas.microsoft.com/office/drawing/2014/chart" uri="{C3380CC4-5D6E-409C-BE32-E72D297353CC}">
              <c16:uniqueId val="{00000000-C54A-4239-A0B8-1C17F57ABECC}"/>
            </c:ext>
          </c:extLst>
        </c:ser>
        <c:ser>
          <c:idx val="1"/>
          <c:order val="1"/>
          <c:tx>
            <c:v>Poly Fitting Min (4 data)</c:v>
          </c:tx>
          <c:spPr>
            <a:ln w="25400" cap="rnd">
              <a:noFill/>
              <a:round/>
            </a:ln>
            <a:effectLst/>
          </c:spPr>
          <c:marker>
            <c:symbol val="circle"/>
            <c:size val="5"/>
            <c:spPr>
              <a:solidFill>
                <a:schemeClr val="accent2"/>
              </a:solidFill>
              <a:ln w="9525">
                <a:solidFill>
                  <a:schemeClr val="accent2"/>
                </a:solidFill>
              </a:ln>
              <a:effectLst/>
            </c:spPr>
          </c:marker>
          <c:xVal>
            <c:numRef>
              <c:f>'Meta-Models RSM'!$G$10</c:f>
              <c:numCache>
                <c:formatCode>General</c:formatCode>
                <c:ptCount val="1"/>
                <c:pt idx="0">
                  <c:v>0.36086956521739122</c:v>
                </c:pt>
              </c:numCache>
            </c:numRef>
          </c:xVal>
          <c:yVal>
            <c:numRef>
              <c:f>'Meta-Models RSM'!$H$10</c:f>
              <c:numCache>
                <c:formatCode>General</c:formatCode>
                <c:ptCount val="1"/>
                <c:pt idx="0">
                  <c:v>1.1902391304347828</c:v>
                </c:pt>
              </c:numCache>
            </c:numRef>
          </c:yVal>
          <c:smooth val="0"/>
          <c:extLst>
            <c:ext xmlns:c16="http://schemas.microsoft.com/office/drawing/2014/chart" uri="{C3380CC4-5D6E-409C-BE32-E72D297353CC}">
              <c16:uniqueId val="{00000001-C54A-4239-A0B8-1C17F57ABECC}"/>
            </c:ext>
          </c:extLst>
        </c:ser>
        <c:ser>
          <c:idx val="2"/>
          <c:order val="2"/>
          <c:tx>
            <c:v>Poly. Fitting Min. (5 data)</c:v>
          </c:tx>
          <c:spPr>
            <a:ln w="25400" cap="rnd">
              <a:noFill/>
              <a:round/>
            </a:ln>
            <a:effectLst/>
          </c:spPr>
          <c:marker>
            <c:symbol val="circle"/>
            <c:size val="5"/>
            <c:spPr>
              <a:solidFill>
                <a:schemeClr val="accent3"/>
              </a:solidFill>
              <a:ln w="9525">
                <a:solidFill>
                  <a:schemeClr val="accent3"/>
                </a:solidFill>
              </a:ln>
              <a:effectLst/>
            </c:spPr>
          </c:marker>
          <c:xVal>
            <c:numRef>
              <c:f>'Meta-Models RSM'!$G$15</c:f>
              <c:numCache>
                <c:formatCode>General</c:formatCode>
                <c:ptCount val="1"/>
                <c:pt idx="0">
                  <c:v>0.37175572519083966</c:v>
                </c:pt>
              </c:numCache>
            </c:numRef>
          </c:xVal>
          <c:yVal>
            <c:numRef>
              <c:f>'Meta-Models RSM'!$H$15</c:f>
              <c:numCache>
                <c:formatCode>General</c:formatCode>
                <c:ptCount val="1"/>
                <c:pt idx="0">
                  <c:v>0.99186186841148627</c:v>
                </c:pt>
              </c:numCache>
            </c:numRef>
          </c:yVal>
          <c:smooth val="0"/>
          <c:extLst>
            <c:ext xmlns:c16="http://schemas.microsoft.com/office/drawing/2014/chart" uri="{C3380CC4-5D6E-409C-BE32-E72D297353CC}">
              <c16:uniqueId val="{00000002-C54A-4239-A0B8-1C17F57ABECC}"/>
            </c:ext>
          </c:extLst>
        </c:ser>
        <c:dLbls>
          <c:showLegendKey val="0"/>
          <c:showVal val="0"/>
          <c:showCatName val="0"/>
          <c:showSerName val="0"/>
          <c:showPercent val="0"/>
          <c:showBubbleSize val="0"/>
        </c:dLbls>
        <c:axId val="1282874239"/>
        <c:axId val="610515583"/>
      </c:scatterChart>
      <c:valAx>
        <c:axId val="12828742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515583"/>
        <c:crosses val="autoZero"/>
        <c:crossBetween val="midCat"/>
      </c:valAx>
      <c:valAx>
        <c:axId val="610515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287423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v>F1</c:v>
          </c:tx>
          <c:spPr>
            <a:ln w="19050" cap="rnd">
              <a:solidFill>
                <a:schemeClr val="accent1"/>
              </a:solidFill>
              <a:round/>
            </a:ln>
            <a:effectLst/>
          </c:spPr>
          <c:marker>
            <c:symbol val="none"/>
          </c:marker>
          <c:dPt>
            <c:idx val="0"/>
            <c:marker>
              <c:symbol val="none"/>
            </c:marker>
            <c:bubble3D val="0"/>
          </c:dPt>
          <c:xVal>
            <c:numRef>
              <c:f>'MDO Fuzzy Logic'!$B$16:$B$65</c:f>
              <c:numCache>
                <c:formatCode>General</c:formatCode>
                <c:ptCount val="50"/>
                <c:pt idx="0">
                  <c:v>0.5</c:v>
                </c:pt>
                <c:pt idx="1">
                  <c:v>0.55000000000000004</c:v>
                </c:pt>
                <c:pt idx="2">
                  <c:v>0.6</c:v>
                </c:pt>
                <c:pt idx="3">
                  <c:v>0.65</c:v>
                </c:pt>
                <c:pt idx="4">
                  <c:v>0.7</c:v>
                </c:pt>
                <c:pt idx="5">
                  <c:v>0.75</c:v>
                </c:pt>
                <c:pt idx="6">
                  <c:v>0.8</c:v>
                </c:pt>
                <c:pt idx="7">
                  <c:v>0.85</c:v>
                </c:pt>
                <c:pt idx="8">
                  <c:v>0.9</c:v>
                </c:pt>
                <c:pt idx="9">
                  <c:v>0.95</c:v>
                </c:pt>
                <c:pt idx="10">
                  <c:v>1</c:v>
                </c:pt>
                <c:pt idx="11">
                  <c:v>1.05</c:v>
                </c:pt>
                <c:pt idx="12">
                  <c:v>1.1000000000000001</c:v>
                </c:pt>
                <c:pt idx="13">
                  <c:v>1.1499999999999999</c:v>
                </c:pt>
                <c:pt idx="14">
                  <c:v>1.2</c:v>
                </c:pt>
                <c:pt idx="15">
                  <c:v>1.25</c:v>
                </c:pt>
                <c:pt idx="16">
                  <c:v>1.3</c:v>
                </c:pt>
                <c:pt idx="17">
                  <c:v>1.35</c:v>
                </c:pt>
                <c:pt idx="18">
                  <c:v>1.4</c:v>
                </c:pt>
                <c:pt idx="19">
                  <c:v>1.45</c:v>
                </c:pt>
                <c:pt idx="20">
                  <c:v>1.5</c:v>
                </c:pt>
                <c:pt idx="21">
                  <c:v>1.55</c:v>
                </c:pt>
                <c:pt idx="22">
                  <c:v>1.6</c:v>
                </c:pt>
                <c:pt idx="23">
                  <c:v>1.65</c:v>
                </c:pt>
                <c:pt idx="24">
                  <c:v>1.7</c:v>
                </c:pt>
                <c:pt idx="25">
                  <c:v>1.75</c:v>
                </c:pt>
                <c:pt idx="26">
                  <c:v>1.8</c:v>
                </c:pt>
                <c:pt idx="27">
                  <c:v>1.85</c:v>
                </c:pt>
                <c:pt idx="28">
                  <c:v>1.9</c:v>
                </c:pt>
                <c:pt idx="29">
                  <c:v>1.95</c:v>
                </c:pt>
                <c:pt idx="30">
                  <c:v>2</c:v>
                </c:pt>
                <c:pt idx="31">
                  <c:v>2.0499999999999998</c:v>
                </c:pt>
                <c:pt idx="32">
                  <c:v>2.1</c:v>
                </c:pt>
                <c:pt idx="33">
                  <c:v>2.15</c:v>
                </c:pt>
                <c:pt idx="34">
                  <c:v>2.2000000000000002</c:v>
                </c:pt>
              </c:numCache>
            </c:numRef>
          </c:xVal>
          <c:yVal>
            <c:numRef>
              <c:f>'MDO Fuzzy Logic'!$C$16:$C$65</c:f>
              <c:numCache>
                <c:formatCode>General</c:formatCode>
                <c:ptCount val="50"/>
                <c:pt idx="0">
                  <c:v>1.8260000000000001</c:v>
                </c:pt>
                <c:pt idx="1">
                  <c:v>1.66</c:v>
                </c:pt>
                <c:pt idx="2">
                  <c:v>1.5216666666666667</c:v>
                </c:pt>
                <c:pt idx="3">
                  <c:v>1.4046153846153846</c:v>
                </c:pt>
                <c:pt idx="4">
                  <c:v>1.3042857142857145</c:v>
                </c:pt>
                <c:pt idx="5">
                  <c:v>1.2173333333333334</c:v>
                </c:pt>
                <c:pt idx="6">
                  <c:v>1.1412499999999999</c:v>
                </c:pt>
                <c:pt idx="7">
                  <c:v>1.0741176470588236</c:v>
                </c:pt>
                <c:pt idx="8">
                  <c:v>1.0144444444444445</c:v>
                </c:pt>
                <c:pt idx="9">
                  <c:v>0.96105263157894749</c:v>
                </c:pt>
                <c:pt idx="10">
                  <c:v>0.91300000000000003</c:v>
                </c:pt>
                <c:pt idx="11">
                  <c:v>0.86952380952380948</c:v>
                </c:pt>
                <c:pt idx="12">
                  <c:v>0.83</c:v>
                </c:pt>
                <c:pt idx="13">
                  <c:v>0.79391304347826097</c:v>
                </c:pt>
                <c:pt idx="14">
                  <c:v>0.76083333333333336</c:v>
                </c:pt>
                <c:pt idx="15">
                  <c:v>0.73040000000000005</c:v>
                </c:pt>
                <c:pt idx="16">
                  <c:v>0.7023076923076923</c:v>
                </c:pt>
                <c:pt idx="17">
                  <c:v>0.67629629629629628</c:v>
                </c:pt>
                <c:pt idx="18">
                  <c:v>0.65214285714285725</c:v>
                </c:pt>
                <c:pt idx="19">
                  <c:v>0.6296551724137931</c:v>
                </c:pt>
                <c:pt idx="20">
                  <c:v>0.60866666666666669</c:v>
                </c:pt>
                <c:pt idx="21">
                  <c:v>0.58903225806451609</c:v>
                </c:pt>
                <c:pt idx="22">
                  <c:v>0.57062499999999994</c:v>
                </c:pt>
                <c:pt idx="23">
                  <c:v>0.55333333333333334</c:v>
                </c:pt>
                <c:pt idx="24">
                  <c:v>0.53705882352941181</c:v>
                </c:pt>
                <c:pt idx="25">
                  <c:v>0.52171428571428569</c:v>
                </c:pt>
                <c:pt idx="26">
                  <c:v>0.50722222222222224</c:v>
                </c:pt>
                <c:pt idx="27">
                  <c:v>0.49351351351351352</c:v>
                </c:pt>
                <c:pt idx="28">
                  <c:v>0.48052631578947375</c:v>
                </c:pt>
                <c:pt idx="29">
                  <c:v>0.46820512820512822</c:v>
                </c:pt>
                <c:pt idx="30">
                  <c:v>0.45650000000000002</c:v>
                </c:pt>
                <c:pt idx="31">
                  <c:v>0.44536585365853665</c:v>
                </c:pt>
                <c:pt idx="32">
                  <c:v>0.43476190476190474</c:v>
                </c:pt>
                <c:pt idx="33">
                  <c:v>0.4246511627906977</c:v>
                </c:pt>
                <c:pt idx="34">
                  <c:v>0.41499999999999998</c:v>
                </c:pt>
              </c:numCache>
            </c:numRef>
          </c:yVal>
          <c:smooth val="1"/>
          <c:extLst>
            <c:ext xmlns:c16="http://schemas.microsoft.com/office/drawing/2014/chart" uri="{C3380CC4-5D6E-409C-BE32-E72D297353CC}">
              <c16:uniqueId val="{00000000-0367-4F6C-8432-9D626919247A}"/>
            </c:ext>
          </c:extLst>
        </c:ser>
        <c:ser>
          <c:idx val="1"/>
          <c:order val="1"/>
          <c:tx>
            <c:v>F2</c:v>
          </c:tx>
          <c:spPr>
            <a:ln w="19050" cap="rnd">
              <a:solidFill>
                <a:schemeClr val="accent2"/>
              </a:solidFill>
              <a:round/>
            </a:ln>
            <a:effectLst/>
          </c:spPr>
          <c:marker>
            <c:symbol val="none"/>
          </c:marker>
          <c:xVal>
            <c:numRef>
              <c:f>'MDO Fuzzy Logic'!$B$16:$B$65</c:f>
              <c:numCache>
                <c:formatCode>General</c:formatCode>
                <c:ptCount val="50"/>
                <c:pt idx="0">
                  <c:v>0.5</c:v>
                </c:pt>
                <c:pt idx="1">
                  <c:v>0.55000000000000004</c:v>
                </c:pt>
                <c:pt idx="2">
                  <c:v>0.6</c:v>
                </c:pt>
                <c:pt idx="3">
                  <c:v>0.65</c:v>
                </c:pt>
                <c:pt idx="4">
                  <c:v>0.7</c:v>
                </c:pt>
                <c:pt idx="5">
                  <c:v>0.75</c:v>
                </c:pt>
                <c:pt idx="6">
                  <c:v>0.8</c:v>
                </c:pt>
                <c:pt idx="7">
                  <c:v>0.85</c:v>
                </c:pt>
                <c:pt idx="8">
                  <c:v>0.9</c:v>
                </c:pt>
                <c:pt idx="9">
                  <c:v>0.95</c:v>
                </c:pt>
                <c:pt idx="10">
                  <c:v>1</c:v>
                </c:pt>
                <c:pt idx="11">
                  <c:v>1.05</c:v>
                </c:pt>
                <c:pt idx="12">
                  <c:v>1.1000000000000001</c:v>
                </c:pt>
                <c:pt idx="13">
                  <c:v>1.1499999999999999</c:v>
                </c:pt>
                <c:pt idx="14">
                  <c:v>1.2</c:v>
                </c:pt>
                <c:pt idx="15">
                  <c:v>1.25</c:v>
                </c:pt>
                <c:pt idx="16">
                  <c:v>1.3</c:v>
                </c:pt>
                <c:pt idx="17">
                  <c:v>1.35</c:v>
                </c:pt>
                <c:pt idx="18">
                  <c:v>1.4</c:v>
                </c:pt>
                <c:pt idx="19">
                  <c:v>1.45</c:v>
                </c:pt>
                <c:pt idx="20">
                  <c:v>1.5</c:v>
                </c:pt>
                <c:pt idx="21">
                  <c:v>1.55</c:v>
                </c:pt>
                <c:pt idx="22">
                  <c:v>1.6</c:v>
                </c:pt>
                <c:pt idx="23">
                  <c:v>1.65</c:v>
                </c:pt>
                <c:pt idx="24">
                  <c:v>1.7</c:v>
                </c:pt>
                <c:pt idx="25">
                  <c:v>1.75</c:v>
                </c:pt>
                <c:pt idx="26">
                  <c:v>1.8</c:v>
                </c:pt>
                <c:pt idx="27">
                  <c:v>1.85</c:v>
                </c:pt>
                <c:pt idx="28">
                  <c:v>1.9</c:v>
                </c:pt>
                <c:pt idx="29">
                  <c:v>1.95</c:v>
                </c:pt>
                <c:pt idx="30">
                  <c:v>2</c:v>
                </c:pt>
                <c:pt idx="31">
                  <c:v>2.0499999999999998</c:v>
                </c:pt>
                <c:pt idx="32">
                  <c:v>2.1</c:v>
                </c:pt>
                <c:pt idx="33">
                  <c:v>2.15</c:v>
                </c:pt>
                <c:pt idx="34">
                  <c:v>2.2000000000000002</c:v>
                </c:pt>
              </c:numCache>
            </c:numRef>
          </c:xVal>
          <c:yVal>
            <c:numRef>
              <c:f>'MDO Fuzzy Logic'!$D$16:$D$65</c:f>
              <c:numCache>
                <c:formatCode>General</c:formatCode>
                <c:ptCount val="50"/>
                <c:pt idx="0">
                  <c:v>0.42375000000000002</c:v>
                </c:pt>
                <c:pt idx="1">
                  <c:v>0.51273750000000007</c:v>
                </c:pt>
                <c:pt idx="2">
                  <c:v>0.61019999999999996</c:v>
                </c:pt>
                <c:pt idx="3">
                  <c:v>0.71613750000000009</c:v>
                </c:pt>
                <c:pt idx="4">
                  <c:v>0.8305499999999999</c:v>
                </c:pt>
                <c:pt idx="5">
                  <c:v>0.95343750000000005</c:v>
                </c:pt>
                <c:pt idx="6">
                  <c:v>1.0848000000000002</c:v>
                </c:pt>
                <c:pt idx="7">
                  <c:v>1.2246374999999998</c:v>
                </c:pt>
                <c:pt idx="8">
                  <c:v>1.3729500000000001</c:v>
                </c:pt>
                <c:pt idx="9">
                  <c:v>1.5297375</c:v>
                </c:pt>
                <c:pt idx="10">
                  <c:v>1.6950000000000001</c:v>
                </c:pt>
                <c:pt idx="11">
                  <c:v>1.8687375000000002</c:v>
                </c:pt>
                <c:pt idx="12">
                  <c:v>2.0509500000000003</c:v>
                </c:pt>
                <c:pt idx="13">
                  <c:v>2.2416374999999995</c:v>
                </c:pt>
                <c:pt idx="14">
                  <c:v>2.4407999999999999</c:v>
                </c:pt>
                <c:pt idx="15">
                  <c:v>2.6484375</c:v>
                </c:pt>
                <c:pt idx="16">
                  <c:v>2.8645500000000004</c:v>
                </c:pt>
                <c:pt idx="17">
                  <c:v>3.0891375000000005</c:v>
                </c:pt>
                <c:pt idx="18">
                  <c:v>3.3221999999999996</c:v>
                </c:pt>
                <c:pt idx="19">
                  <c:v>3.5637375000000002</c:v>
                </c:pt>
                <c:pt idx="20">
                  <c:v>3.8137500000000002</c:v>
                </c:pt>
                <c:pt idx="21">
                  <c:v>4.0722375000000008</c:v>
                </c:pt>
                <c:pt idx="22">
                  <c:v>4.3392000000000008</c:v>
                </c:pt>
                <c:pt idx="23">
                  <c:v>4.6146374999999997</c:v>
                </c:pt>
                <c:pt idx="24">
                  <c:v>4.8985499999999993</c:v>
                </c:pt>
                <c:pt idx="25">
                  <c:v>5.1909375000000004</c:v>
                </c:pt>
                <c:pt idx="26">
                  <c:v>5.4918000000000005</c:v>
                </c:pt>
                <c:pt idx="27">
                  <c:v>5.8011375000000012</c:v>
                </c:pt>
                <c:pt idx="28">
                  <c:v>6.1189499999999999</c:v>
                </c:pt>
                <c:pt idx="29">
                  <c:v>6.4452375000000002</c:v>
                </c:pt>
                <c:pt idx="30">
                  <c:v>6.78</c:v>
                </c:pt>
                <c:pt idx="31">
                  <c:v>7.1232375000000001</c:v>
                </c:pt>
                <c:pt idx="32">
                  <c:v>7.4749500000000006</c:v>
                </c:pt>
                <c:pt idx="33">
                  <c:v>7.8351374999999992</c:v>
                </c:pt>
                <c:pt idx="34">
                  <c:v>8.2038000000000011</c:v>
                </c:pt>
              </c:numCache>
            </c:numRef>
          </c:yVal>
          <c:smooth val="1"/>
          <c:extLst>
            <c:ext xmlns:c16="http://schemas.microsoft.com/office/drawing/2014/chart" uri="{C3380CC4-5D6E-409C-BE32-E72D297353CC}">
              <c16:uniqueId val="{00000001-0367-4F6C-8432-9D626919247A}"/>
            </c:ext>
          </c:extLst>
        </c:ser>
        <c:dLbls>
          <c:showLegendKey val="0"/>
          <c:showVal val="0"/>
          <c:showCatName val="0"/>
          <c:showSerName val="0"/>
          <c:showPercent val="0"/>
          <c:showBubbleSize val="0"/>
        </c:dLbls>
        <c:axId val="612283487"/>
        <c:axId val="796639519"/>
      </c:scatterChart>
      <c:scatterChart>
        <c:scatterStyle val="smoothMarker"/>
        <c:varyColors val="0"/>
        <c:ser>
          <c:idx val="2"/>
          <c:order val="2"/>
          <c:tx>
            <c:v>MF1</c:v>
          </c:tx>
          <c:spPr>
            <a:ln w="19050" cap="rnd">
              <a:solidFill>
                <a:schemeClr val="accent3"/>
              </a:solidFill>
              <a:round/>
            </a:ln>
            <a:effectLst/>
          </c:spPr>
          <c:marker>
            <c:symbol val="none"/>
          </c:marker>
          <c:xVal>
            <c:numRef>
              <c:f>'MDO Fuzzy Logic'!$B$16:$B$65</c:f>
              <c:numCache>
                <c:formatCode>General</c:formatCode>
                <c:ptCount val="50"/>
                <c:pt idx="0">
                  <c:v>0.5</c:v>
                </c:pt>
                <c:pt idx="1">
                  <c:v>0.55000000000000004</c:v>
                </c:pt>
                <c:pt idx="2">
                  <c:v>0.6</c:v>
                </c:pt>
                <c:pt idx="3">
                  <c:v>0.65</c:v>
                </c:pt>
                <c:pt idx="4">
                  <c:v>0.7</c:v>
                </c:pt>
                <c:pt idx="5">
                  <c:v>0.75</c:v>
                </c:pt>
                <c:pt idx="6">
                  <c:v>0.8</c:v>
                </c:pt>
                <c:pt idx="7">
                  <c:v>0.85</c:v>
                </c:pt>
                <c:pt idx="8">
                  <c:v>0.9</c:v>
                </c:pt>
                <c:pt idx="9">
                  <c:v>0.95</c:v>
                </c:pt>
                <c:pt idx="10">
                  <c:v>1</c:v>
                </c:pt>
                <c:pt idx="11">
                  <c:v>1.05</c:v>
                </c:pt>
                <c:pt idx="12">
                  <c:v>1.1000000000000001</c:v>
                </c:pt>
                <c:pt idx="13">
                  <c:v>1.1499999999999999</c:v>
                </c:pt>
                <c:pt idx="14">
                  <c:v>1.2</c:v>
                </c:pt>
                <c:pt idx="15">
                  <c:v>1.25</c:v>
                </c:pt>
                <c:pt idx="16">
                  <c:v>1.3</c:v>
                </c:pt>
                <c:pt idx="17">
                  <c:v>1.35</c:v>
                </c:pt>
                <c:pt idx="18">
                  <c:v>1.4</c:v>
                </c:pt>
                <c:pt idx="19">
                  <c:v>1.45</c:v>
                </c:pt>
                <c:pt idx="20">
                  <c:v>1.5</c:v>
                </c:pt>
                <c:pt idx="21">
                  <c:v>1.55</c:v>
                </c:pt>
                <c:pt idx="22">
                  <c:v>1.6</c:v>
                </c:pt>
                <c:pt idx="23">
                  <c:v>1.65</c:v>
                </c:pt>
                <c:pt idx="24">
                  <c:v>1.7</c:v>
                </c:pt>
                <c:pt idx="25">
                  <c:v>1.75</c:v>
                </c:pt>
                <c:pt idx="26">
                  <c:v>1.8</c:v>
                </c:pt>
                <c:pt idx="27">
                  <c:v>1.85</c:v>
                </c:pt>
                <c:pt idx="28">
                  <c:v>1.9</c:v>
                </c:pt>
                <c:pt idx="29">
                  <c:v>1.95</c:v>
                </c:pt>
                <c:pt idx="30">
                  <c:v>2</c:v>
                </c:pt>
                <c:pt idx="31">
                  <c:v>2.0499999999999998</c:v>
                </c:pt>
                <c:pt idx="32">
                  <c:v>2.1</c:v>
                </c:pt>
                <c:pt idx="33">
                  <c:v>2.15</c:v>
                </c:pt>
                <c:pt idx="34">
                  <c:v>2.2000000000000002</c:v>
                </c:pt>
              </c:numCache>
            </c:numRef>
          </c:xVal>
          <c:yVal>
            <c:numRef>
              <c:f>'MDO Fuzzy Logic'!$E$16:$E$65</c:f>
              <c:numCache>
                <c:formatCode>General</c:formatCode>
                <c:ptCount val="50"/>
                <c:pt idx="0">
                  <c:v>0.11599999999999966</c:v>
                </c:pt>
                <c:pt idx="1">
                  <c:v>0.22666666666666657</c:v>
                </c:pt>
                <c:pt idx="2">
                  <c:v>0.31888888888888878</c:v>
                </c:pt>
                <c:pt idx="3">
                  <c:v>0.39692307692307682</c:v>
                </c:pt>
                <c:pt idx="4">
                  <c:v>0.46380952380952356</c:v>
                </c:pt>
                <c:pt idx="5">
                  <c:v>0.52177777777777767</c:v>
                </c:pt>
                <c:pt idx="6">
                  <c:v>0.57250000000000001</c:v>
                </c:pt>
                <c:pt idx="7">
                  <c:v>0.61725490196078425</c:v>
                </c:pt>
                <c:pt idx="8">
                  <c:v>0.65703703703703698</c:v>
                </c:pt>
                <c:pt idx="9">
                  <c:v>0.69263157894736826</c:v>
                </c:pt>
                <c:pt idx="10">
                  <c:v>0.72466666666666657</c:v>
                </c:pt>
                <c:pt idx="11">
                  <c:v>0.75365079365079368</c:v>
                </c:pt>
                <c:pt idx="12">
                  <c:v>0.78</c:v>
                </c:pt>
                <c:pt idx="13">
                  <c:v>0.80405797101449272</c:v>
                </c:pt>
                <c:pt idx="14">
                  <c:v>0.82611111111111113</c:v>
                </c:pt>
                <c:pt idx="15">
                  <c:v>0.84640000000000004</c:v>
                </c:pt>
                <c:pt idx="16">
                  <c:v>0.86512820512820521</c:v>
                </c:pt>
                <c:pt idx="17">
                  <c:v>0.88246913580246922</c:v>
                </c:pt>
                <c:pt idx="18">
                  <c:v>0.89857142857142858</c:v>
                </c:pt>
                <c:pt idx="19">
                  <c:v>0.91356321839080468</c:v>
                </c:pt>
                <c:pt idx="20">
                  <c:v>0.92755555555555558</c:v>
                </c:pt>
                <c:pt idx="21">
                  <c:v>0.94064516129032261</c:v>
                </c:pt>
                <c:pt idx="22">
                  <c:v>0.95291666666666675</c:v>
                </c:pt>
                <c:pt idx="23">
                  <c:v>0.96444444444444444</c:v>
                </c:pt>
                <c:pt idx="24">
                  <c:v>0.97529411764705887</c:v>
                </c:pt>
                <c:pt idx="25">
                  <c:v>0.98552380952380958</c:v>
                </c:pt>
                <c:pt idx="26">
                  <c:v>0.99518518518518517</c:v>
                </c:pt>
                <c:pt idx="27">
                  <c:v>1</c:v>
                </c:pt>
                <c:pt idx="28">
                  <c:v>1</c:v>
                </c:pt>
                <c:pt idx="29">
                  <c:v>1</c:v>
                </c:pt>
                <c:pt idx="30">
                  <c:v>1</c:v>
                </c:pt>
                <c:pt idx="31">
                  <c:v>1</c:v>
                </c:pt>
                <c:pt idx="32">
                  <c:v>1</c:v>
                </c:pt>
                <c:pt idx="33">
                  <c:v>1</c:v>
                </c:pt>
                <c:pt idx="34">
                  <c:v>1</c:v>
                </c:pt>
              </c:numCache>
            </c:numRef>
          </c:yVal>
          <c:smooth val="1"/>
          <c:extLst>
            <c:ext xmlns:c16="http://schemas.microsoft.com/office/drawing/2014/chart" uri="{C3380CC4-5D6E-409C-BE32-E72D297353CC}">
              <c16:uniqueId val="{00000002-0367-4F6C-8432-9D626919247A}"/>
            </c:ext>
          </c:extLst>
        </c:ser>
        <c:ser>
          <c:idx val="3"/>
          <c:order val="3"/>
          <c:tx>
            <c:v>MF2</c:v>
          </c:tx>
          <c:spPr>
            <a:ln w="19050" cap="rnd">
              <a:solidFill>
                <a:schemeClr val="accent4"/>
              </a:solidFill>
              <a:round/>
            </a:ln>
            <a:effectLst/>
          </c:spPr>
          <c:marker>
            <c:symbol val="none"/>
          </c:marker>
          <c:xVal>
            <c:numRef>
              <c:f>'MDO Fuzzy Logic'!$B$16:$B$65</c:f>
              <c:numCache>
                <c:formatCode>General</c:formatCode>
                <c:ptCount val="50"/>
                <c:pt idx="0">
                  <c:v>0.5</c:v>
                </c:pt>
                <c:pt idx="1">
                  <c:v>0.55000000000000004</c:v>
                </c:pt>
                <c:pt idx="2">
                  <c:v>0.6</c:v>
                </c:pt>
                <c:pt idx="3">
                  <c:v>0.65</c:v>
                </c:pt>
                <c:pt idx="4">
                  <c:v>0.7</c:v>
                </c:pt>
                <c:pt idx="5">
                  <c:v>0.75</c:v>
                </c:pt>
                <c:pt idx="6">
                  <c:v>0.8</c:v>
                </c:pt>
                <c:pt idx="7">
                  <c:v>0.85</c:v>
                </c:pt>
                <c:pt idx="8">
                  <c:v>0.9</c:v>
                </c:pt>
                <c:pt idx="9">
                  <c:v>0.95</c:v>
                </c:pt>
                <c:pt idx="10">
                  <c:v>1</c:v>
                </c:pt>
                <c:pt idx="11">
                  <c:v>1.05</c:v>
                </c:pt>
                <c:pt idx="12">
                  <c:v>1.1000000000000001</c:v>
                </c:pt>
                <c:pt idx="13">
                  <c:v>1.1499999999999999</c:v>
                </c:pt>
                <c:pt idx="14">
                  <c:v>1.2</c:v>
                </c:pt>
                <c:pt idx="15">
                  <c:v>1.25</c:v>
                </c:pt>
                <c:pt idx="16">
                  <c:v>1.3</c:v>
                </c:pt>
                <c:pt idx="17">
                  <c:v>1.35</c:v>
                </c:pt>
                <c:pt idx="18">
                  <c:v>1.4</c:v>
                </c:pt>
                <c:pt idx="19">
                  <c:v>1.45</c:v>
                </c:pt>
                <c:pt idx="20">
                  <c:v>1.5</c:v>
                </c:pt>
                <c:pt idx="21">
                  <c:v>1.55</c:v>
                </c:pt>
                <c:pt idx="22">
                  <c:v>1.6</c:v>
                </c:pt>
                <c:pt idx="23">
                  <c:v>1.65</c:v>
                </c:pt>
                <c:pt idx="24">
                  <c:v>1.7</c:v>
                </c:pt>
                <c:pt idx="25">
                  <c:v>1.75</c:v>
                </c:pt>
                <c:pt idx="26">
                  <c:v>1.8</c:v>
                </c:pt>
                <c:pt idx="27">
                  <c:v>1.85</c:v>
                </c:pt>
                <c:pt idx="28">
                  <c:v>1.9</c:v>
                </c:pt>
                <c:pt idx="29">
                  <c:v>1.95</c:v>
                </c:pt>
                <c:pt idx="30">
                  <c:v>2</c:v>
                </c:pt>
                <c:pt idx="31">
                  <c:v>2.0499999999999998</c:v>
                </c:pt>
                <c:pt idx="32">
                  <c:v>2.1</c:v>
                </c:pt>
                <c:pt idx="33">
                  <c:v>2.15</c:v>
                </c:pt>
                <c:pt idx="34">
                  <c:v>2.2000000000000002</c:v>
                </c:pt>
              </c:numCache>
            </c:numRef>
          </c:xVal>
          <c:yVal>
            <c:numRef>
              <c:f>'MDO Fuzzy Logic'!$F$16:$F$65</c:f>
              <c:numCache>
                <c:formatCode>General</c:formatCode>
                <c:ptCount val="50"/>
                <c:pt idx="0">
                  <c:v>1</c:v>
                </c:pt>
                <c:pt idx="1">
                  <c:v>0.99490499999999993</c:v>
                </c:pt>
                <c:pt idx="2">
                  <c:v>0.95591999999999999</c:v>
                </c:pt>
                <c:pt idx="3">
                  <c:v>0.91354499999999994</c:v>
                </c:pt>
                <c:pt idx="4">
                  <c:v>0.86778</c:v>
                </c:pt>
                <c:pt idx="5">
                  <c:v>0.81862499999999994</c:v>
                </c:pt>
                <c:pt idx="6">
                  <c:v>0.76607999999999987</c:v>
                </c:pt>
                <c:pt idx="7">
                  <c:v>0.71014500000000003</c:v>
                </c:pt>
                <c:pt idx="8">
                  <c:v>0.65081999999999995</c:v>
                </c:pt>
                <c:pt idx="9">
                  <c:v>0.58810499999999999</c:v>
                </c:pt>
                <c:pt idx="10">
                  <c:v>0.52200000000000002</c:v>
                </c:pt>
                <c:pt idx="11">
                  <c:v>0.45250499999999994</c:v>
                </c:pt>
                <c:pt idx="12">
                  <c:v>0.37961999999999996</c:v>
                </c:pt>
                <c:pt idx="13">
                  <c:v>0.3033450000000002</c:v>
                </c:pt>
                <c:pt idx="14">
                  <c:v>0.2236800000000001</c:v>
                </c:pt>
                <c:pt idx="15">
                  <c:v>0.140625</c:v>
                </c:pt>
                <c:pt idx="16">
                  <c:v>5.4179999999999895E-2</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numCache>
            </c:numRef>
          </c:yVal>
          <c:smooth val="1"/>
          <c:extLst>
            <c:ext xmlns:c16="http://schemas.microsoft.com/office/drawing/2014/chart" uri="{C3380CC4-5D6E-409C-BE32-E72D297353CC}">
              <c16:uniqueId val="{00000003-0367-4F6C-8432-9D626919247A}"/>
            </c:ext>
          </c:extLst>
        </c:ser>
        <c:ser>
          <c:idx val="4"/>
          <c:order val="4"/>
          <c:tx>
            <c:v>Combined</c:v>
          </c:tx>
          <c:spPr>
            <a:ln w="19050" cap="rnd">
              <a:solidFill>
                <a:schemeClr val="accent5"/>
              </a:solidFill>
              <a:round/>
            </a:ln>
            <a:effectLst/>
          </c:spPr>
          <c:marker>
            <c:symbol val="none"/>
          </c:marker>
          <c:xVal>
            <c:numRef>
              <c:f>'MDO Fuzzy Logic'!$B$16:$B$65</c:f>
              <c:numCache>
                <c:formatCode>General</c:formatCode>
                <c:ptCount val="50"/>
                <c:pt idx="0">
                  <c:v>0.5</c:v>
                </c:pt>
                <c:pt idx="1">
                  <c:v>0.55000000000000004</c:v>
                </c:pt>
                <c:pt idx="2">
                  <c:v>0.6</c:v>
                </c:pt>
                <c:pt idx="3">
                  <c:v>0.65</c:v>
                </c:pt>
                <c:pt idx="4">
                  <c:v>0.7</c:v>
                </c:pt>
                <c:pt idx="5">
                  <c:v>0.75</c:v>
                </c:pt>
                <c:pt idx="6">
                  <c:v>0.8</c:v>
                </c:pt>
                <c:pt idx="7">
                  <c:v>0.85</c:v>
                </c:pt>
                <c:pt idx="8">
                  <c:v>0.9</c:v>
                </c:pt>
                <c:pt idx="9">
                  <c:v>0.95</c:v>
                </c:pt>
                <c:pt idx="10">
                  <c:v>1</c:v>
                </c:pt>
                <c:pt idx="11">
                  <c:v>1.05</c:v>
                </c:pt>
                <c:pt idx="12">
                  <c:v>1.1000000000000001</c:v>
                </c:pt>
                <c:pt idx="13">
                  <c:v>1.1499999999999999</c:v>
                </c:pt>
                <c:pt idx="14">
                  <c:v>1.2</c:v>
                </c:pt>
                <c:pt idx="15">
                  <c:v>1.25</c:v>
                </c:pt>
                <c:pt idx="16">
                  <c:v>1.3</c:v>
                </c:pt>
                <c:pt idx="17">
                  <c:v>1.35</c:v>
                </c:pt>
                <c:pt idx="18">
                  <c:v>1.4</c:v>
                </c:pt>
                <c:pt idx="19">
                  <c:v>1.45</c:v>
                </c:pt>
                <c:pt idx="20">
                  <c:v>1.5</c:v>
                </c:pt>
                <c:pt idx="21">
                  <c:v>1.55</c:v>
                </c:pt>
                <c:pt idx="22">
                  <c:v>1.6</c:v>
                </c:pt>
                <c:pt idx="23">
                  <c:v>1.65</c:v>
                </c:pt>
                <c:pt idx="24">
                  <c:v>1.7</c:v>
                </c:pt>
                <c:pt idx="25">
                  <c:v>1.75</c:v>
                </c:pt>
                <c:pt idx="26">
                  <c:v>1.8</c:v>
                </c:pt>
                <c:pt idx="27">
                  <c:v>1.85</c:v>
                </c:pt>
                <c:pt idx="28">
                  <c:v>1.9</c:v>
                </c:pt>
                <c:pt idx="29">
                  <c:v>1.95</c:v>
                </c:pt>
                <c:pt idx="30">
                  <c:v>2</c:v>
                </c:pt>
                <c:pt idx="31">
                  <c:v>2.0499999999999998</c:v>
                </c:pt>
                <c:pt idx="32">
                  <c:v>2.1</c:v>
                </c:pt>
                <c:pt idx="33">
                  <c:v>2.15</c:v>
                </c:pt>
                <c:pt idx="34">
                  <c:v>2.2000000000000002</c:v>
                </c:pt>
              </c:numCache>
            </c:numRef>
          </c:xVal>
          <c:yVal>
            <c:numRef>
              <c:f>'MDO Fuzzy Logic'!$G$16:$G$65</c:f>
              <c:numCache>
                <c:formatCode>General</c:formatCode>
                <c:ptCount val="50"/>
                <c:pt idx="0">
                  <c:v>1.1159999999999997</c:v>
                </c:pt>
                <c:pt idx="1">
                  <c:v>1.2215716666666665</c:v>
                </c:pt>
                <c:pt idx="2">
                  <c:v>1.2748088888888889</c:v>
                </c:pt>
                <c:pt idx="3">
                  <c:v>1.3104680769230768</c:v>
                </c:pt>
                <c:pt idx="4">
                  <c:v>1.3315895238095234</c:v>
                </c:pt>
                <c:pt idx="5">
                  <c:v>1.3404027777777776</c:v>
                </c:pt>
                <c:pt idx="6">
                  <c:v>1.3385799999999999</c:v>
                </c:pt>
                <c:pt idx="7">
                  <c:v>1.3273999019607843</c:v>
                </c:pt>
                <c:pt idx="8">
                  <c:v>1.3078570370370368</c:v>
                </c:pt>
                <c:pt idx="9">
                  <c:v>1.2807365789473684</c:v>
                </c:pt>
                <c:pt idx="10">
                  <c:v>1.2466666666666666</c:v>
                </c:pt>
                <c:pt idx="11">
                  <c:v>1.2061557936507936</c:v>
                </c:pt>
                <c:pt idx="12">
                  <c:v>1.1596199999999999</c:v>
                </c:pt>
                <c:pt idx="13">
                  <c:v>1.1074029710144928</c:v>
                </c:pt>
                <c:pt idx="14">
                  <c:v>1.0497911111111113</c:v>
                </c:pt>
                <c:pt idx="15">
                  <c:v>0.98702500000000004</c:v>
                </c:pt>
                <c:pt idx="16">
                  <c:v>0.9193082051282051</c:v>
                </c:pt>
                <c:pt idx="17">
                  <c:v>0.88246913580246922</c:v>
                </c:pt>
                <c:pt idx="18">
                  <c:v>0.89857142857142858</c:v>
                </c:pt>
                <c:pt idx="19">
                  <c:v>0.91356321839080468</c:v>
                </c:pt>
                <c:pt idx="20">
                  <c:v>0.92755555555555558</c:v>
                </c:pt>
                <c:pt idx="21">
                  <c:v>0.94064516129032261</c:v>
                </c:pt>
                <c:pt idx="22">
                  <c:v>0.95291666666666675</c:v>
                </c:pt>
                <c:pt idx="23">
                  <c:v>0.96444444444444444</c:v>
                </c:pt>
                <c:pt idx="24">
                  <c:v>0.97529411764705887</c:v>
                </c:pt>
                <c:pt idx="25">
                  <c:v>0.98552380952380958</c:v>
                </c:pt>
                <c:pt idx="26">
                  <c:v>0.99518518518518517</c:v>
                </c:pt>
                <c:pt idx="27">
                  <c:v>1</c:v>
                </c:pt>
                <c:pt idx="28">
                  <c:v>1</c:v>
                </c:pt>
                <c:pt idx="29">
                  <c:v>1</c:v>
                </c:pt>
                <c:pt idx="30">
                  <c:v>1</c:v>
                </c:pt>
                <c:pt idx="31">
                  <c:v>1</c:v>
                </c:pt>
                <c:pt idx="32">
                  <c:v>1</c:v>
                </c:pt>
                <c:pt idx="33">
                  <c:v>1</c:v>
                </c:pt>
                <c:pt idx="34">
                  <c:v>1</c:v>
                </c:pt>
              </c:numCache>
            </c:numRef>
          </c:yVal>
          <c:smooth val="1"/>
          <c:extLst>
            <c:ext xmlns:c16="http://schemas.microsoft.com/office/drawing/2014/chart" uri="{C3380CC4-5D6E-409C-BE32-E72D297353CC}">
              <c16:uniqueId val="{00000004-0367-4F6C-8432-9D626919247A}"/>
            </c:ext>
          </c:extLst>
        </c:ser>
        <c:dLbls>
          <c:showLegendKey val="0"/>
          <c:showVal val="0"/>
          <c:showCatName val="0"/>
          <c:showSerName val="0"/>
          <c:showPercent val="0"/>
          <c:showBubbleSize val="0"/>
        </c:dLbls>
        <c:axId val="1598239375"/>
        <c:axId val="1489852527"/>
      </c:scatterChart>
      <c:scatterChart>
        <c:scatterStyle val="lineMarker"/>
        <c:varyColors val="0"/>
        <c:ser>
          <c:idx val="5"/>
          <c:order val="5"/>
          <c:tx>
            <c:v>Best Design</c:v>
          </c:tx>
          <c:spPr>
            <a:ln w="25400" cap="rnd">
              <a:noFill/>
              <a:round/>
            </a:ln>
            <a:effectLst/>
          </c:spPr>
          <c:marker>
            <c:symbol val="circle"/>
            <c:size val="5"/>
            <c:spPr>
              <a:solidFill>
                <a:schemeClr val="accent6"/>
              </a:solidFill>
              <a:ln w="9525">
                <a:solidFill>
                  <a:schemeClr val="accent6"/>
                </a:solidFill>
              </a:ln>
              <a:effectLst/>
            </c:spPr>
          </c:marker>
          <c:xVal>
            <c:numRef>
              <c:f>'MDO Fuzzy Logic'!$B$4</c:f>
              <c:numCache>
                <c:formatCode>General</c:formatCode>
                <c:ptCount val="1"/>
                <c:pt idx="0">
                  <c:v>0.76566702384402241</c:v>
                </c:pt>
              </c:numCache>
            </c:numRef>
          </c:xVal>
          <c:yVal>
            <c:numRef>
              <c:f>'MDO Fuzzy Logic'!$B$9</c:f>
              <c:numCache>
                <c:formatCode>General</c:formatCode>
                <c:ptCount val="1"/>
                <c:pt idx="0">
                  <c:v>1.3409089873028277</c:v>
                </c:pt>
              </c:numCache>
            </c:numRef>
          </c:yVal>
          <c:smooth val="0"/>
          <c:extLst>
            <c:ext xmlns:c16="http://schemas.microsoft.com/office/drawing/2014/chart" uri="{C3380CC4-5D6E-409C-BE32-E72D297353CC}">
              <c16:uniqueId val="{00000005-0367-4F6C-8432-9D626919247A}"/>
            </c:ext>
          </c:extLst>
        </c:ser>
        <c:ser>
          <c:idx val="6"/>
          <c:order val="6"/>
          <c:tx>
            <c:v>Worst Design</c:v>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'MDO Fuzzy Logic'!$C$4</c:f>
              <c:numCache>
                <c:formatCode>General</c:formatCode>
                <c:ptCount val="1"/>
                <c:pt idx="0">
                  <c:v>1.3303802548195824</c:v>
                </c:pt>
              </c:numCache>
            </c:numRef>
          </c:xVal>
          <c:yVal>
            <c:numRef>
              <c:f>'MDO Fuzzy Logic'!$C$9</c:f>
              <c:numCache>
                <c:formatCode>General</c:formatCode>
                <c:ptCount val="1"/>
                <c:pt idx="0">
                  <c:v>0.87582002880130683</c:v>
                </c:pt>
              </c:numCache>
            </c:numRef>
          </c:yVal>
          <c:smooth val="0"/>
          <c:extLst>
            <c:ext xmlns:c16="http://schemas.microsoft.com/office/drawing/2014/chart" uri="{C3380CC4-5D6E-409C-BE32-E72D297353CC}">
              <c16:uniqueId val="{00000006-0367-4F6C-8432-9D626919247A}"/>
            </c:ext>
          </c:extLst>
        </c:ser>
        <c:dLbls>
          <c:showLegendKey val="0"/>
          <c:showVal val="0"/>
          <c:showCatName val="0"/>
          <c:showSerName val="0"/>
          <c:showPercent val="0"/>
          <c:showBubbleSize val="0"/>
        </c:dLbls>
        <c:axId val="1598239375"/>
        <c:axId val="1489852527"/>
      </c:scatterChart>
      <c:valAx>
        <c:axId val="6122834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639519"/>
        <c:crosses val="autoZero"/>
        <c:crossBetween val="midCat"/>
      </c:valAx>
      <c:valAx>
        <c:axId val="7966395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f1(x), f2(x)</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283487"/>
        <c:crosses val="autoZero"/>
        <c:crossBetween val="midCat"/>
      </c:valAx>
      <c:valAx>
        <c:axId val="1489852527"/>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Mmeber</a:t>
                </a:r>
                <a:r>
                  <a:rPr lang="en-MY" baseline="0"/>
                  <a:t> functions 1,2</a:t>
                </a:r>
                <a:endParaRPr lang="en-MY"/>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8239375"/>
        <c:crosses val="max"/>
        <c:crossBetween val="midCat"/>
      </c:valAx>
      <c:valAx>
        <c:axId val="1598239375"/>
        <c:scaling>
          <c:orientation val="minMax"/>
        </c:scaling>
        <c:delete val="1"/>
        <c:axPos val="b"/>
        <c:numFmt formatCode="General" sourceLinked="1"/>
        <c:majorTickMark val="out"/>
        <c:minorTickMark val="none"/>
        <c:tickLblPos val="nextTo"/>
        <c:crossAx val="1489852527"/>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9</xdr:col>
      <xdr:colOff>119743</xdr:colOff>
      <xdr:row>0</xdr:row>
      <xdr:rowOff>0</xdr:rowOff>
    </xdr:from>
    <xdr:to>
      <xdr:col>13</xdr:col>
      <xdr:colOff>418863</xdr:colOff>
      <xdr:row>16</xdr:row>
      <xdr:rowOff>68036</xdr:rowOff>
    </xdr:to>
    <xdr:graphicFrame macro="">
      <xdr:nvGraphicFramePr>
        <xdr:cNvPr id="2" name="Chart 1">
          <a:extLst>
            <a:ext uri="{FF2B5EF4-FFF2-40B4-BE49-F238E27FC236}">
              <a16:creationId xmlns:a16="http://schemas.microsoft.com/office/drawing/2014/main" id="{61F64198-236D-D4F3-C35C-75F7DE4303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485775</xdr:colOff>
      <xdr:row>60</xdr:row>
      <xdr:rowOff>66674</xdr:rowOff>
    </xdr:from>
    <xdr:to>
      <xdr:col>17</xdr:col>
      <xdr:colOff>723900</xdr:colOff>
      <xdr:row>85</xdr:row>
      <xdr:rowOff>0</xdr:rowOff>
    </xdr:to>
    <xdr:graphicFrame macro="">
      <xdr:nvGraphicFramePr>
        <xdr:cNvPr id="3" name="Chart 2">
          <a:extLst>
            <a:ext uri="{FF2B5EF4-FFF2-40B4-BE49-F238E27FC236}">
              <a16:creationId xmlns:a16="http://schemas.microsoft.com/office/drawing/2014/main" id="{B74F7C88-DE81-2DA7-F30F-5E5B76D611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1009650</xdr:colOff>
      <xdr:row>5</xdr:row>
      <xdr:rowOff>19050</xdr:rowOff>
    </xdr:from>
    <xdr:to>
      <xdr:col>11</xdr:col>
      <xdr:colOff>266700</xdr:colOff>
      <xdr:row>29</xdr:row>
      <xdr:rowOff>0</xdr:rowOff>
    </xdr:to>
    <xdr:graphicFrame macro="">
      <xdr:nvGraphicFramePr>
        <xdr:cNvPr id="2" name="Chart 1">
          <a:extLst>
            <a:ext uri="{FF2B5EF4-FFF2-40B4-BE49-F238E27FC236}">
              <a16:creationId xmlns:a16="http://schemas.microsoft.com/office/drawing/2014/main" id="{293376E3-6462-52F7-4975-80A7689EB2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247649</xdr:colOff>
      <xdr:row>46</xdr:row>
      <xdr:rowOff>171450</xdr:rowOff>
    </xdr:from>
    <xdr:to>
      <xdr:col>8</xdr:col>
      <xdr:colOff>971549</xdr:colOff>
      <xdr:row>58</xdr:row>
      <xdr:rowOff>38100</xdr:rowOff>
    </xdr:to>
    <xdr:pic>
      <xdr:nvPicPr>
        <xdr:cNvPr id="3" name="Picture 2">
          <a:extLst>
            <a:ext uri="{FF2B5EF4-FFF2-40B4-BE49-F238E27FC236}">
              <a16:creationId xmlns:a16="http://schemas.microsoft.com/office/drawing/2014/main" id="{EBA5E0FC-C2E7-D5D9-A697-6DA401886973}"/>
            </a:ext>
          </a:extLst>
        </xdr:cNvPr>
        <xdr:cNvPicPr>
          <a:picLocks noChangeAspect="1"/>
        </xdr:cNvPicPr>
      </xdr:nvPicPr>
      <xdr:blipFill rotWithShape="1">
        <a:blip xmlns:r="http://schemas.openxmlformats.org/officeDocument/2006/relationships" r:embed="rId2"/>
        <a:srcRect l="39580" t="48845" r="36485" b="10431"/>
        <a:stretch/>
      </xdr:blipFill>
      <xdr:spPr>
        <a:xfrm>
          <a:off x="6534149" y="13182600"/>
          <a:ext cx="1704975" cy="2152650"/>
        </a:xfrm>
        <a:prstGeom prst="rect">
          <a:avLst/>
        </a:prstGeom>
      </xdr:spPr>
    </xdr:pic>
    <xdr:clientData/>
  </xdr:twoCellAnchor>
  <xdr:twoCellAnchor editAs="oneCell">
    <xdr:from>
      <xdr:col>7</xdr:col>
      <xdr:colOff>333375</xdr:colOff>
      <xdr:row>61</xdr:row>
      <xdr:rowOff>0</xdr:rowOff>
    </xdr:from>
    <xdr:to>
      <xdr:col>8</xdr:col>
      <xdr:colOff>1057275</xdr:colOff>
      <xdr:row>72</xdr:row>
      <xdr:rowOff>57150</xdr:rowOff>
    </xdr:to>
    <xdr:pic>
      <xdr:nvPicPr>
        <xdr:cNvPr id="4" name="Picture 3">
          <a:extLst>
            <a:ext uri="{FF2B5EF4-FFF2-40B4-BE49-F238E27FC236}">
              <a16:creationId xmlns:a16="http://schemas.microsoft.com/office/drawing/2014/main" id="{4926EE2E-C9DD-48D9-9685-5E2C399DE559}"/>
            </a:ext>
          </a:extLst>
        </xdr:cNvPr>
        <xdr:cNvPicPr>
          <a:picLocks noChangeAspect="1"/>
        </xdr:cNvPicPr>
      </xdr:nvPicPr>
      <xdr:blipFill rotWithShape="1">
        <a:blip xmlns:r="http://schemas.openxmlformats.org/officeDocument/2006/relationships" r:embed="rId2"/>
        <a:srcRect l="71805" t="14788" r="4260" b="44488"/>
        <a:stretch/>
      </xdr:blipFill>
      <xdr:spPr>
        <a:xfrm>
          <a:off x="6619875" y="15868650"/>
          <a:ext cx="1704975" cy="2152650"/>
        </a:xfrm>
        <a:prstGeom prst="rect">
          <a:avLst/>
        </a:prstGeom>
      </xdr:spPr>
    </xdr:pic>
    <xdr:clientData/>
  </xdr:twoCellAnchor>
  <xdr:twoCellAnchor editAs="oneCell">
    <xdr:from>
      <xdr:col>9</xdr:col>
      <xdr:colOff>466725</xdr:colOff>
      <xdr:row>35</xdr:row>
      <xdr:rowOff>7159</xdr:rowOff>
    </xdr:from>
    <xdr:to>
      <xdr:col>15</xdr:col>
      <xdr:colOff>285750</xdr:colOff>
      <xdr:row>67</xdr:row>
      <xdr:rowOff>134372</xdr:rowOff>
    </xdr:to>
    <xdr:pic>
      <xdr:nvPicPr>
        <xdr:cNvPr id="5" name="Picture 4">
          <a:extLst>
            <a:ext uri="{FF2B5EF4-FFF2-40B4-BE49-F238E27FC236}">
              <a16:creationId xmlns:a16="http://schemas.microsoft.com/office/drawing/2014/main" id="{AB3AD432-8062-48DD-B84B-745589437B56}"/>
            </a:ext>
          </a:extLst>
        </xdr:cNvPr>
        <xdr:cNvPicPr>
          <a:picLocks noChangeAspect="1"/>
        </xdr:cNvPicPr>
      </xdr:nvPicPr>
      <xdr:blipFill rotWithShape="1">
        <a:blip xmlns:r="http://schemas.openxmlformats.org/officeDocument/2006/relationships" r:embed="rId2"/>
        <a:srcRect t="913" r="381" b="-20"/>
        <a:stretch/>
      </xdr:blipFill>
      <xdr:spPr>
        <a:xfrm>
          <a:off x="8820150" y="10922809"/>
          <a:ext cx="8429625" cy="622321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123264</xdr:colOff>
      <xdr:row>89</xdr:row>
      <xdr:rowOff>24491</xdr:rowOff>
    </xdr:from>
    <xdr:to>
      <xdr:col>9</xdr:col>
      <xdr:colOff>933450</xdr:colOff>
      <xdr:row>115</xdr:row>
      <xdr:rowOff>123265</xdr:rowOff>
    </xdr:to>
    <xdr:graphicFrame macro="">
      <xdr:nvGraphicFramePr>
        <xdr:cNvPr id="4" name="Chart 3">
          <a:extLst>
            <a:ext uri="{FF2B5EF4-FFF2-40B4-BE49-F238E27FC236}">
              <a16:creationId xmlns:a16="http://schemas.microsoft.com/office/drawing/2014/main" id="{DD6DE620-2017-543D-5072-A601E43A10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1666</xdr:colOff>
      <xdr:row>0</xdr:row>
      <xdr:rowOff>53450</xdr:rowOff>
    </xdr:from>
    <xdr:to>
      <xdr:col>24</xdr:col>
      <xdr:colOff>24848</xdr:colOff>
      <xdr:row>12</xdr:row>
      <xdr:rowOff>157370</xdr:rowOff>
    </xdr:to>
    <xdr:graphicFrame macro="">
      <xdr:nvGraphicFramePr>
        <xdr:cNvPr id="8" name="Chart 7">
          <a:extLst>
            <a:ext uri="{FF2B5EF4-FFF2-40B4-BE49-F238E27FC236}">
              <a16:creationId xmlns:a16="http://schemas.microsoft.com/office/drawing/2014/main" id="{84897F39-3B7A-71C0-4656-31BBC84652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199414</xdr:colOff>
      <xdr:row>12</xdr:row>
      <xdr:rowOff>140763</xdr:rowOff>
    </xdr:from>
    <xdr:to>
      <xdr:col>26</xdr:col>
      <xdr:colOff>154091</xdr:colOff>
      <xdr:row>28</xdr:row>
      <xdr:rowOff>54183</xdr:rowOff>
    </xdr:to>
    <xdr:graphicFrame macro="">
      <xdr:nvGraphicFramePr>
        <xdr:cNvPr id="9" name="Chart 8">
          <a:extLst>
            <a:ext uri="{FF2B5EF4-FFF2-40B4-BE49-F238E27FC236}">
              <a16:creationId xmlns:a16="http://schemas.microsoft.com/office/drawing/2014/main" id="{DE937E58-3AA8-4A61-AC80-A606012909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10</xdr:col>
      <xdr:colOff>247649</xdr:colOff>
      <xdr:row>2</xdr:row>
      <xdr:rowOff>133350</xdr:rowOff>
    </xdr:from>
    <xdr:to>
      <xdr:col>21</xdr:col>
      <xdr:colOff>57150</xdr:colOff>
      <xdr:row>16</xdr:row>
      <xdr:rowOff>371475</xdr:rowOff>
    </xdr:to>
    <xdr:graphicFrame macro="">
      <xdr:nvGraphicFramePr>
        <xdr:cNvPr id="2" name="Chart 1">
          <a:extLst>
            <a:ext uri="{FF2B5EF4-FFF2-40B4-BE49-F238E27FC236}">
              <a16:creationId xmlns:a16="http://schemas.microsoft.com/office/drawing/2014/main" id="{81E5C5B4-295C-5C27-5B9C-619CCD3F00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180974</xdr:colOff>
      <xdr:row>15</xdr:row>
      <xdr:rowOff>152399</xdr:rowOff>
    </xdr:from>
    <xdr:to>
      <xdr:col>14</xdr:col>
      <xdr:colOff>266699</xdr:colOff>
      <xdr:row>37</xdr:row>
      <xdr:rowOff>9524</xdr:rowOff>
    </xdr:to>
    <xdr:graphicFrame macro="">
      <xdr:nvGraphicFramePr>
        <xdr:cNvPr id="2" name="Chart 1">
          <a:extLst>
            <a:ext uri="{FF2B5EF4-FFF2-40B4-BE49-F238E27FC236}">
              <a16:creationId xmlns:a16="http://schemas.microsoft.com/office/drawing/2014/main" id="{C8B25EF6-C713-361B-C450-929F71032B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551467</xdr:colOff>
      <xdr:row>29</xdr:row>
      <xdr:rowOff>161214</xdr:rowOff>
    </xdr:to>
    <xdr:pic>
      <xdr:nvPicPr>
        <xdr:cNvPr id="2" name="Picture 1">
          <a:extLst>
            <a:ext uri="{FF2B5EF4-FFF2-40B4-BE49-F238E27FC236}">
              <a16:creationId xmlns:a16="http://schemas.microsoft.com/office/drawing/2014/main" id="{58B26258-620C-EAD2-360A-275ED1EBDF25}"/>
            </a:ext>
          </a:extLst>
        </xdr:cNvPr>
        <xdr:cNvPicPr>
          <a:picLocks noChangeAspect="1"/>
        </xdr:cNvPicPr>
      </xdr:nvPicPr>
      <xdr:blipFill>
        <a:blip xmlns:r="http://schemas.openxmlformats.org/officeDocument/2006/relationships" r:embed="rId1"/>
        <a:stretch>
          <a:fillRect/>
        </a:stretch>
      </xdr:blipFill>
      <xdr:spPr>
        <a:xfrm>
          <a:off x="0" y="0"/>
          <a:ext cx="7866667" cy="56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E0DF3-00B3-4C35-A4A8-17676B5F0C47}">
  <dimension ref="A1:T65"/>
  <sheetViews>
    <sheetView zoomScale="115" zoomScaleNormal="115" workbookViewId="0">
      <selection activeCell="E20" sqref="E20"/>
    </sheetView>
  </sheetViews>
  <sheetFormatPr defaultRowHeight="15"/>
  <cols>
    <col min="1" max="1" width="15.42578125" customWidth="1"/>
    <col min="11" max="11" width="10.140625" customWidth="1"/>
    <col min="12" max="12" width="38.140625" customWidth="1"/>
    <col min="13" max="18" width="9.42578125" customWidth="1"/>
    <col min="19" max="19" width="20.5703125" customWidth="1"/>
    <col min="20" max="20" width="6.85546875" customWidth="1"/>
  </cols>
  <sheetData>
    <row r="1" spans="1:8">
      <c r="A1" t="s">
        <v>10</v>
      </c>
      <c r="B1" s="1" t="s">
        <v>0</v>
      </c>
    </row>
    <row r="2" spans="1:8">
      <c r="A2" t="s">
        <v>11</v>
      </c>
      <c r="B2">
        <v>1</v>
      </c>
      <c r="C2">
        <v>10</v>
      </c>
    </row>
    <row r="4" spans="1:8">
      <c r="A4" s="115" t="s">
        <v>1</v>
      </c>
      <c r="B4" s="115"/>
      <c r="C4" t="s">
        <v>2</v>
      </c>
      <c r="D4" t="s">
        <v>3</v>
      </c>
      <c r="E4" t="s">
        <v>8</v>
      </c>
      <c r="F4" t="s">
        <v>9</v>
      </c>
      <c r="G4" t="s">
        <v>4</v>
      </c>
    </row>
    <row r="5" spans="1:8">
      <c r="A5" s="115"/>
      <c r="B5" s="115"/>
      <c r="C5">
        <v>0</v>
      </c>
      <c r="D5">
        <f t="shared" ref="D5:D15" si="0">$H$5*C5^4+$H$6*C5^3+$H$7</f>
        <v>4</v>
      </c>
      <c r="G5" t="s">
        <v>5</v>
      </c>
      <c r="H5">
        <v>1</v>
      </c>
    </row>
    <row r="6" spans="1:8">
      <c r="A6" s="115"/>
      <c r="B6" s="115"/>
      <c r="C6">
        <v>0.2</v>
      </c>
      <c r="D6">
        <f t="shared" si="0"/>
        <v>3.9855999999999998</v>
      </c>
      <c r="G6" t="s">
        <v>6</v>
      </c>
      <c r="H6">
        <v>-2</v>
      </c>
    </row>
    <row r="7" spans="1:8">
      <c r="A7" s="115"/>
      <c r="B7" s="115"/>
      <c r="C7">
        <v>0.4</v>
      </c>
      <c r="D7">
        <f t="shared" si="0"/>
        <v>3.8976000000000002</v>
      </c>
      <c r="G7" t="s">
        <v>7</v>
      </c>
      <c r="H7">
        <v>4</v>
      </c>
    </row>
    <row r="8" spans="1:8">
      <c r="A8" s="115"/>
      <c r="B8" s="115"/>
      <c r="C8">
        <v>0.6</v>
      </c>
      <c r="D8">
        <f t="shared" si="0"/>
        <v>3.6976</v>
      </c>
    </row>
    <row r="9" spans="1:8">
      <c r="A9" s="115"/>
      <c r="B9" s="115"/>
      <c r="C9">
        <v>0.8</v>
      </c>
      <c r="D9">
        <f t="shared" si="0"/>
        <v>3.3856000000000002</v>
      </c>
      <c r="G9" t="s">
        <v>18</v>
      </c>
      <c r="H9">
        <v>9.9999999999999995E-7</v>
      </c>
    </row>
    <row r="10" spans="1:8">
      <c r="A10" s="115"/>
      <c r="B10" s="115"/>
      <c r="C10">
        <v>1</v>
      </c>
      <c r="D10">
        <f t="shared" si="0"/>
        <v>3</v>
      </c>
    </row>
    <row r="11" spans="1:8">
      <c r="A11" s="115"/>
      <c r="B11" s="115"/>
      <c r="C11">
        <v>1.2</v>
      </c>
      <c r="D11">
        <f t="shared" si="0"/>
        <v>2.6175999999999999</v>
      </c>
    </row>
    <row r="12" spans="1:8">
      <c r="A12" s="115"/>
      <c r="B12" s="115"/>
      <c r="C12">
        <v>1.4</v>
      </c>
      <c r="D12">
        <f t="shared" si="0"/>
        <v>2.3536000000000001</v>
      </c>
    </row>
    <row r="13" spans="1:8">
      <c r="A13" s="115"/>
      <c r="B13" s="115"/>
      <c r="C13">
        <v>1.6</v>
      </c>
      <c r="D13">
        <f t="shared" si="0"/>
        <v>2.361600000000001</v>
      </c>
    </row>
    <row r="14" spans="1:8">
      <c r="A14" s="115"/>
      <c r="B14" s="115"/>
      <c r="C14">
        <v>1.8</v>
      </c>
      <c r="D14">
        <f t="shared" si="0"/>
        <v>2.8336000000000006</v>
      </c>
    </row>
    <row r="15" spans="1:8">
      <c r="A15" s="115"/>
      <c r="B15" s="115"/>
      <c r="C15">
        <v>2</v>
      </c>
      <c r="D15">
        <f t="shared" si="0"/>
        <v>4</v>
      </c>
    </row>
    <row r="16" spans="1:8">
      <c r="A16" s="2"/>
      <c r="B16" s="2"/>
    </row>
    <row r="17" spans="1:20" ht="15.75" thickBot="1">
      <c r="A17" s="2"/>
      <c r="B17" s="2"/>
    </row>
    <row r="18" spans="1:20">
      <c r="A18" s="4" t="s">
        <v>15</v>
      </c>
      <c r="B18" s="4" t="s">
        <v>37</v>
      </c>
      <c r="C18" s="4" t="s">
        <v>25</v>
      </c>
      <c r="D18" s="4" t="s">
        <v>27</v>
      </c>
      <c r="E18" s="9" t="s">
        <v>29</v>
      </c>
      <c r="F18" s="10" t="s">
        <v>30</v>
      </c>
      <c r="G18" s="4" t="s">
        <v>26</v>
      </c>
      <c r="H18" s="4" t="s">
        <v>28</v>
      </c>
      <c r="I18" s="4" t="s">
        <v>31</v>
      </c>
      <c r="J18" s="4" t="s">
        <v>32</v>
      </c>
      <c r="K18" s="4" t="s">
        <v>33</v>
      </c>
      <c r="L18" s="4" t="s">
        <v>19</v>
      </c>
      <c r="M18" s="4" t="s">
        <v>17</v>
      </c>
      <c r="N18" s="4" t="s">
        <v>16</v>
      </c>
      <c r="O18" s="4" t="s">
        <v>8</v>
      </c>
      <c r="P18" s="4" t="s">
        <v>34</v>
      </c>
      <c r="Q18" s="4" t="s">
        <v>35</v>
      </c>
      <c r="R18" s="4" t="s">
        <v>9</v>
      </c>
    </row>
    <row r="19" spans="1:20">
      <c r="A19" t="s">
        <v>14</v>
      </c>
      <c r="B19">
        <v>0</v>
      </c>
      <c r="C19" s="7">
        <f>B2</f>
        <v>1</v>
      </c>
      <c r="D19" s="7">
        <f>$H$5*C19^4+$H$6*C19^3+$H$7</f>
        <v>3</v>
      </c>
      <c r="E19" s="11">
        <f>C19+($T$20)*(G19-C19)</f>
        <v>1.3819699999999999</v>
      </c>
      <c r="F19" s="12">
        <f>$H$5*E19^4+$H$6*E19^3+$H$7</f>
        <v>2.3688067971505347</v>
      </c>
      <c r="G19" s="7">
        <f>2</f>
        <v>2</v>
      </c>
      <c r="H19" s="7">
        <f>$H$5*G19^4+$H$6*G19^3+$H$7</f>
        <v>4</v>
      </c>
      <c r="I19" s="6">
        <f>IF(F19&gt;D19,E19-(G19-E19)*(1+$T$21),IF(F19&gt;H19,E19,C19))</f>
        <v>1</v>
      </c>
      <c r="J19" s="6">
        <f>IF(F19 &gt; D19, C19, IF(F19 &gt; H19, G19, E19))</f>
        <v>1.3819699999999999</v>
      </c>
      <c r="K19" s="6">
        <f>IF(F19 &gt; D19, E19, IF(F19 &gt; H19, E19 + (E19 - C19) * (1+$T$21), G19))</f>
        <v>2</v>
      </c>
      <c r="L19" t="str">
        <f>IF(F19&gt;H19,"X3=New X3,X1=X2,X2=Golden Ratio","X3=New X3, X1=New X2, X2=Golden Ratio")</f>
        <v>X3=New X3, X1=New X2, X2=Golden Ratio</v>
      </c>
      <c r="M19" s="8">
        <f t="shared" ref="M19:M28" si="1">$H$5*(E19-$H$9)^4+$H$6*(E19-$H$9)^3+$H$7</f>
        <v>2.3688076988278728</v>
      </c>
      <c r="N19" s="8">
        <f t="shared" ref="N19:N28" si="2">$H$5*(E19+$H$9)^4+$H$6*(E19+$H$9)^3+$H$7</f>
        <v>2.3688058954795306</v>
      </c>
      <c r="O19" s="8">
        <f>(N19-M19)/((E19+$H$9)-(E19-$H$9))</f>
        <v>-0.90167417117960424</v>
      </c>
      <c r="P19" s="3">
        <f t="shared" ref="P19:P28" si="3">(N19-M19)/((E20-$H$9+$H$9)-(E20-$H$9-$H$9))</f>
        <v>-0.90167417117960424</v>
      </c>
      <c r="Q19" s="3">
        <f t="shared" ref="Q19:Q28" si="4">(N19-M19)/((E20+$H$9+$H$9)-(E20+$H$9-$H$9))</f>
        <v>-0.90167417117960424</v>
      </c>
      <c r="R19" s="3">
        <f t="shared" ref="R19:R28" si="5">(Q19-P19)/((E20+$H$9)-(E20-$H$9))</f>
        <v>0</v>
      </c>
      <c r="S19" t="s">
        <v>14</v>
      </c>
    </row>
    <row r="20" spans="1:20">
      <c r="B20">
        <v>2</v>
      </c>
      <c r="C20" s="7">
        <f>J19</f>
        <v>1.3819699999999999</v>
      </c>
      <c r="D20" s="7">
        <f>$H$5*C20^4+$H$6*C20^3+$H$7</f>
        <v>2.3688067971505347</v>
      </c>
      <c r="E20" s="11">
        <f>C20+($T$20)*(G20-C20)</f>
        <v>1.6180389191</v>
      </c>
      <c r="F20" s="12">
        <f t="shared" ref="F20:F28" si="6">$H$5*E20^4+$H$6*E20^3+$H$7</f>
        <v>2.3819721056438388</v>
      </c>
      <c r="G20" s="7">
        <f>K19</f>
        <v>2</v>
      </c>
      <c r="H20" s="7">
        <f t="shared" ref="H20:H28" si="7">$H$5*G20^4+$H$6*G20^3+$H$7</f>
        <v>4</v>
      </c>
      <c r="I20" s="6">
        <f>IF(F20&gt;D20,E20-(G20-E20)*(1+$T$21),IF(F20&gt;H20,E20,C20))</f>
        <v>1.000014431371373</v>
      </c>
      <c r="J20" s="6">
        <f>IF(F20 &gt; D20, C20, IF(F20 &gt; H20, G20, E20))</f>
        <v>1.3819699999999999</v>
      </c>
      <c r="K20" s="6">
        <f>IF(F20 &gt; D20, E20, IF(F20 &gt; H20, E20 + (E20 - C20) * (1+$T$21), G20))</f>
        <v>1.6180389191</v>
      </c>
      <c r="L20" t="str">
        <f>IF(F20&gt;H20,"X3=New X3,X1=X2,X2=Golden Ratio","X3=New X3, X1=New X2, X2=Golden Ratio")</f>
        <v>X3=New X3, X1=New X2, X2=Golden Ratio</v>
      </c>
      <c r="M20" s="8">
        <f t="shared" si="1"/>
        <v>2.3819708695226973</v>
      </c>
      <c r="N20" s="8">
        <f t="shared" si="2"/>
        <v>2.3819733417769813</v>
      </c>
      <c r="O20" s="8">
        <f t="shared" ref="O20:O28" si="8">(N20-M20)/((E20+$H$9)-(E20-$H$9))</f>
        <v>1.2361271420808739</v>
      </c>
      <c r="P20" s="3">
        <f t="shared" si="3"/>
        <v>1.2361271420808739</v>
      </c>
      <c r="Q20" s="3">
        <f t="shared" si="4"/>
        <v>1.2361271420808739</v>
      </c>
      <c r="R20" s="3">
        <f t="shared" si="5"/>
        <v>0</v>
      </c>
      <c r="S20" t="s">
        <v>13</v>
      </c>
      <c r="T20">
        <f>1-$T$21</f>
        <v>0.38197000000000003</v>
      </c>
    </row>
    <row r="21" spans="1:20">
      <c r="B21">
        <v>3</v>
      </c>
      <c r="C21" s="7">
        <f>J20</f>
        <v>1.3819699999999999</v>
      </c>
      <c r="D21" s="7">
        <f t="shared" ref="D21:D28" si="9">$H$5*C21^4+$H$6*C21^3+$H$7</f>
        <v>2.3688067971505347</v>
      </c>
      <c r="E21" s="11">
        <f t="shared" ref="E21:E28" si="10">C21+($T$20)*(G21-C21)</f>
        <v>1.4721412450286269</v>
      </c>
      <c r="F21" s="12">
        <f t="shared" si="6"/>
        <v>2.3159066125168319</v>
      </c>
      <c r="G21" s="7">
        <f>K20</f>
        <v>1.6180389191</v>
      </c>
      <c r="H21" s="7">
        <f t="shared" si="7"/>
        <v>2.3819721056438388</v>
      </c>
      <c r="I21" s="6">
        <f t="shared" ref="I21:I28" si="11">IF(F21&gt;D21,E21-(G21-E21)*(1+$T$21),IF(F21&gt;H21,E21,C21))</f>
        <v>1.3819699999999999</v>
      </c>
      <c r="J21" s="6">
        <f t="shared" ref="J21:J28" si="12">IF(F21 &gt; D21, C21, IF(F21 &gt; H21, G21, E21))</f>
        <v>1.4721412450286269</v>
      </c>
      <c r="K21" s="6">
        <f t="shared" ref="K21:K28" si="13">IF(F21 &gt; D21, E21, IF(F21 &gt; H21, E21 + (E21 - C21) * (1+$T$21), G21))</f>
        <v>1.6180389191</v>
      </c>
      <c r="L21" t="str">
        <f t="shared" ref="L21:L28" si="14">IF(F21&gt;H21,"X3=New X3,X1=X2,X2=Golden Ratio","X3=New X3, X1=New X2, X2=Golden Ratio")</f>
        <v>X3=New X3, X1=New X2, X2=Golden Ratio</v>
      </c>
      <c r="M21" s="8">
        <f t="shared" si="1"/>
        <v>2.3159068540229608</v>
      </c>
      <c r="N21" s="8">
        <f t="shared" si="2"/>
        <v>2.3159063710190448</v>
      </c>
      <c r="O21" s="8">
        <f t="shared" si="8"/>
        <v>-0.24150195800697893</v>
      </c>
      <c r="P21" s="3">
        <f t="shared" si="3"/>
        <v>-0.24150195800697893</v>
      </c>
      <c r="Q21" s="3">
        <f t="shared" si="4"/>
        <v>-0.24150195800697893</v>
      </c>
      <c r="R21" s="3">
        <f t="shared" si="5"/>
        <v>0</v>
      </c>
      <c r="S21" t="s">
        <v>12</v>
      </c>
      <c r="T21">
        <v>0.61802999999999997</v>
      </c>
    </row>
    <row r="22" spans="1:20">
      <c r="B22">
        <v>4</v>
      </c>
      <c r="C22" s="7">
        <f t="shared" ref="C22:C28" si="15">J21</f>
        <v>1.4721412450286269</v>
      </c>
      <c r="D22" s="7">
        <f t="shared" si="9"/>
        <v>2.3159066125168319</v>
      </c>
      <c r="E22" s="11">
        <f t="shared" si="10"/>
        <v>1.5278697795936693</v>
      </c>
      <c r="F22" s="12">
        <f>$H$5*E22^4+$H$6*E22^3+$H$7</f>
        <v>2.3160824526420809</v>
      </c>
      <c r="G22" s="7">
        <f t="shared" ref="G22:G28" si="16">K21</f>
        <v>1.6180389191</v>
      </c>
      <c r="H22" s="7">
        <f t="shared" si="7"/>
        <v>2.3819721056438388</v>
      </c>
      <c r="I22" s="6">
        <f t="shared" si="11"/>
        <v>1.3819734067982412</v>
      </c>
      <c r="J22" s="6">
        <f t="shared" si="12"/>
        <v>1.4721412450286269</v>
      </c>
      <c r="K22" s="6">
        <f t="shared" si="13"/>
        <v>1.5278697795936693</v>
      </c>
      <c r="L22" t="str">
        <f t="shared" si="14"/>
        <v>X3=New X3, X1=New X2, X2=Golden Ratio</v>
      </c>
      <c r="M22" s="8">
        <f t="shared" si="1"/>
        <v>2.3160821924116197</v>
      </c>
      <c r="N22" s="8">
        <f t="shared" si="2"/>
        <v>2.3160827128822206</v>
      </c>
      <c r="O22" s="8">
        <f t="shared" si="8"/>
        <v>0.26023530044137294</v>
      </c>
      <c r="P22" s="3">
        <f t="shared" si="3"/>
        <v>0.26023530044137294</v>
      </c>
      <c r="Q22" s="3">
        <f t="shared" si="4"/>
        <v>0.26023530044137294</v>
      </c>
      <c r="R22" s="3">
        <f t="shared" si="5"/>
        <v>0</v>
      </c>
    </row>
    <row r="23" spans="1:20">
      <c r="B23">
        <v>5</v>
      </c>
      <c r="C23" s="7">
        <f t="shared" si="15"/>
        <v>1.4721412450286269</v>
      </c>
      <c r="D23" s="7">
        <f t="shared" si="9"/>
        <v>2.3159066125168319</v>
      </c>
      <c r="E23" s="11">
        <f t="shared" si="10"/>
        <v>1.4934278733764361</v>
      </c>
      <c r="F23" s="12">
        <f t="shared" si="6"/>
        <v>2.3126932342077504</v>
      </c>
      <c r="G23" s="7">
        <f t="shared" si="16"/>
        <v>1.5278697795936693</v>
      </c>
      <c r="H23" s="7">
        <f t="shared" si="7"/>
        <v>2.3160824526420809</v>
      </c>
      <c r="I23" s="6">
        <f t="shared" si="11"/>
        <v>1.4721412450286269</v>
      </c>
      <c r="J23" s="6">
        <f t="shared" si="12"/>
        <v>1.4934278733764361</v>
      </c>
      <c r="K23" s="6">
        <f t="shared" si="13"/>
        <v>1.5278697795936693</v>
      </c>
      <c r="L23" t="str">
        <f t="shared" si="14"/>
        <v>X3=New X3, X1=New X2, X2=Golden Ratio</v>
      </c>
      <c r="M23" s="8">
        <f t="shared" si="1"/>
        <v>2.3126932928441324</v>
      </c>
      <c r="N23" s="8">
        <f t="shared" si="2"/>
        <v>2.3126931755802103</v>
      </c>
      <c r="O23" s="8">
        <f t="shared" si="8"/>
        <v>-5.8631961068860795E-2</v>
      </c>
      <c r="P23" s="3">
        <f t="shared" si="3"/>
        <v>-5.8631961068860795E-2</v>
      </c>
      <c r="Q23" s="3">
        <f t="shared" si="4"/>
        <v>-5.8631961068860795E-2</v>
      </c>
      <c r="R23" s="3">
        <f t="shared" si="5"/>
        <v>0</v>
      </c>
      <c r="S23" s="117" t="s">
        <v>20</v>
      </c>
      <c r="T23" s="117"/>
    </row>
    <row r="24" spans="1:20">
      <c r="B24">
        <v>6</v>
      </c>
      <c r="C24" s="7">
        <f t="shared" si="15"/>
        <v>1.4934278733764361</v>
      </c>
      <c r="D24" s="7">
        <f t="shared" si="9"/>
        <v>2.3126932342077504</v>
      </c>
      <c r="E24" s="11">
        <f t="shared" si="10"/>
        <v>1.5065836482942327</v>
      </c>
      <c r="F24" s="12">
        <f t="shared" si="6"/>
        <v>2.3126961932484136</v>
      </c>
      <c r="G24" s="7">
        <f t="shared" si="16"/>
        <v>1.5278697795936693</v>
      </c>
      <c r="H24" s="7">
        <f t="shared" si="7"/>
        <v>2.3160824526420809</v>
      </c>
      <c r="I24" s="6">
        <f t="shared" si="11"/>
        <v>1.4721420492678055</v>
      </c>
      <c r="J24" s="6">
        <f t="shared" si="12"/>
        <v>1.4934278733764361</v>
      </c>
      <c r="K24" s="6">
        <f t="shared" si="13"/>
        <v>1.5065836482942327</v>
      </c>
      <c r="L24" t="str">
        <f>IF(F24&gt;H24,"X3=New X3,X1=X2,X2=Golden Ratio","X3=New X3, X1=New X2, X2=Golden Ratio")</f>
        <v>X3=New X3, X1=New X2, X2=Golden Ratio</v>
      </c>
      <c r="M24" s="8">
        <f t="shared" si="1"/>
        <v>2.3126961334788838</v>
      </c>
      <c r="N24" s="8">
        <f t="shared" si="2"/>
        <v>2.3126962530271022</v>
      </c>
      <c r="O24" s="8">
        <f t="shared" si="8"/>
        <v>5.9774109222786823E-2</v>
      </c>
      <c r="P24" s="3">
        <f t="shared" si="3"/>
        <v>5.9774109222786823E-2</v>
      </c>
      <c r="Q24" s="3">
        <f t="shared" si="4"/>
        <v>5.9774109222786823E-2</v>
      </c>
      <c r="R24" s="3">
        <f t="shared" si="5"/>
        <v>0</v>
      </c>
      <c r="S24" s="16" t="s">
        <v>21</v>
      </c>
      <c r="T24" s="16"/>
    </row>
    <row r="25" spans="1:20">
      <c r="B25">
        <v>7</v>
      </c>
      <c r="C25" s="7">
        <f t="shared" si="15"/>
        <v>1.4934278733764361</v>
      </c>
      <c r="D25" s="7">
        <f t="shared" si="9"/>
        <v>2.3126932342077504</v>
      </c>
      <c r="E25" s="11">
        <f t="shared" si="10"/>
        <v>1.4984529847217869</v>
      </c>
      <c r="F25" s="12">
        <f t="shared" si="6"/>
        <v>2.3125107548493311</v>
      </c>
      <c r="G25" s="7">
        <f t="shared" si="16"/>
        <v>1.5065836482942327</v>
      </c>
      <c r="H25" s="7">
        <f t="shared" si="7"/>
        <v>2.3126961932484136</v>
      </c>
      <c r="I25" s="6">
        <f t="shared" si="11"/>
        <v>1.4934278733764361</v>
      </c>
      <c r="J25" s="6">
        <f t="shared" si="12"/>
        <v>1.4984529847217869</v>
      </c>
      <c r="K25" s="6">
        <f t="shared" si="13"/>
        <v>1.5065836482942327</v>
      </c>
      <c r="L25" t="str">
        <f t="shared" si="14"/>
        <v>X3=New X3, X1=New X2, X2=Golden Ratio</v>
      </c>
      <c r="M25" s="8">
        <f t="shared" si="1"/>
        <v>2.312510768748246</v>
      </c>
      <c r="N25" s="8">
        <f t="shared" si="2"/>
        <v>2.3125107409593797</v>
      </c>
      <c r="O25" s="8">
        <f t="shared" si="8"/>
        <v>-1.3894433160721104E-2</v>
      </c>
      <c r="P25" s="3">
        <f t="shared" si="3"/>
        <v>-1.3894433160721104E-2</v>
      </c>
      <c r="Q25" s="3">
        <f t="shared" si="4"/>
        <v>-1.3894433160721104E-2</v>
      </c>
      <c r="R25" s="3">
        <f t="shared" si="5"/>
        <v>0</v>
      </c>
      <c r="S25" s="16" t="s">
        <v>22</v>
      </c>
      <c r="T25" s="16"/>
    </row>
    <row r="26" spans="1:20">
      <c r="B26">
        <v>8</v>
      </c>
      <c r="C26" s="7">
        <f t="shared" si="15"/>
        <v>1.4984529847217869</v>
      </c>
      <c r="D26" s="7">
        <f t="shared" si="9"/>
        <v>2.3125107548493311</v>
      </c>
      <c r="E26" s="11">
        <f t="shared" si="10"/>
        <v>1.501558654286554</v>
      </c>
      <c r="F26" s="12">
        <f t="shared" si="6"/>
        <v>2.3125109474666337</v>
      </c>
      <c r="G26" s="7">
        <f t="shared" si="16"/>
        <v>1.5065836482942327</v>
      </c>
      <c r="H26" s="7">
        <f t="shared" si="7"/>
        <v>2.3126961932484136</v>
      </c>
      <c r="I26" s="6">
        <f t="shared" si="11"/>
        <v>1.4934280632323096</v>
      </c>
      <c r="J26" s="6">
        <f t="shared" si="12"/>
        <v>1.4984529847217869</v>
      </c>
      <c r="K26" s="6">
        <f t="shared" si="13"/>
        <v>1.501558654286554</v>
      </c>
      <c r="L26" t="str">
        <f t="shared" si="14"/>
        <v>X3=New X3, X1=New X2, X2=Golden Ratio</v>
      </c>
      <c r="M26" s="8">
        <f t="shared" si="1"/>
        <v>2.3125109334140959</v>
      </c>
      <c r="N26" s="8">
        <f t="shared" si="2"/>
        <v>2.3125109615282087</v>
      </c>
      <c r="O26" s="8">
        <f t="shared" si="8"/>
        <v>1.4057056408935528E-2</v>
      </c>
      <c r="P26" s="3">
        <f t="shared" si="3"/>
        <v>1.4057056408935528E-2</v>
      </c>
      <c r="Q26" s="3">
        <f t="shared" si="4"/>
        <v>1.4057056408935528E-2</v>
      </c>
      <c r="R26" s="3">
        <f t="shared" si="5"/>
        <v>0</v>
      </c>
      <c r="S26" s="16" t="s">
        <v>23</v>
      </c>
      <c r="T26" s="16"/>
    </row>
    <row r="27" spans="1:20">
      <c r="B27">
        <v>9</v>
      </c>
      <c r="C27" s="7">
        <f t="shared" si="15"/>
        <v>1.4984529847217869</v>
      </c>
      <c r="D27" s="7">
        <f t="shared" si="9"/>
        <v>2.3125107548493311</v>
      </c>
      <c r="E27" s="11">
        <f t="shared" si="10"/>
        <v>1.4996392573254409</v>
      </c>
      <c r="F27" s="12">
        <f t="shared" si="6"/>
        <v>2.3125005854209828</v>
      </c>
      <c r="G27" s="7">
        <f t="shared" si="16"/>
        <v>1.501558654286554</v>
      </c>
      <c r="H27" s="7">
        <f t="shared" si="7"/>
        <v>2.3125109474666337</v>
      </c>
      <c r="I27" s="6">
        <f t="shared" si="11"/>
        <v>1.4984529847217869</v>
      </c>
      <c r="J27" s="6">
        <f t="shared" si="12"/>
        <v>1.4996392573254409</v>
      </c>
      <c r="K27" s="6">
        <f t="shared" si="13"/>
        <v>1.501558654286554</v>
      </c>
      <c r="L27" t="str">
        <f t="shared" si="14"/>
        <v>X3=New X3, X1=New X2, X2=Golden Ratio</v>
      </c>
      <c r="M27" s="8">
        <f t="shared" si="1"/>
        <v>2.3125005886706012</v>
      </c>
      <c r="N27" s="8">
        <f t="shared" si="2"/>
        <v>2.3125005821803555</v>
      </c>
      <c r="O27" s="8">
        <f t="shared" si="8"/>
        <v>-3.2451228373813878E-3</v>
      </c>
      <c r="P27" s="3">
        <f t="shared" si="3"/>
        <v>-3.2451228373813878E-3</v>
      </c>
      <c r="Q27" s="3">
        <f t="shared" si="4"/>
        <v>-3.2451228373813878E-3</v>
      </c>
      <c r="R27" s="3">
        <f t="shared" si="5"/>
        <v>0</v>
      </c>
      <c r="S27" s="16" t="s">
        <v>24</v>
      </c>
      <c r="T27" s="16"/>
    </row>
    <row r="28" spans="1:20" ht="15.75" thickBot="1">
      <c r="B28">
        <v>10</v>
      </c>
      <c r="C28" s="7">
        <f t="shared" si="15"/>
        <v>1.4996392573254409</v>
      </c>
      <c r="D28" s="7">
        <f t="shared" si="9"/>
        <v>2.3125005854209828</v>
      </c>
      <c r="E28" s="13">
        <f t="shared" si="10"/>
        <v>1.5003724093826774</v>
      </c>
      <c r="F28" s="14">
        <f t="shared" si="6"/>
        <v>2.312500624305982</v>
      </c>
      <c r="G28" s="7">
        <f t="shared" si="16"/>
        <v>1.501558654286554</v>
      </c>
      <c r="H28" s="7">
        <f t="shared" si="7"/>
        <v>2.3125109474666337</v>
      </c>
      <c r="I28" s="6">
        <f t="shared" si="11"/>
        <v>1.4984530295408578</v>
      </c>
      <c r="J28" s="6">
        <f t="shared" si="12"/>
        <v>1.4996392573254409</v>
      </c>
      <c r="K28" s="6">
        <f t="shared" si="13"/>
        <v>1.5003724093826774</v>
      </c>
      <c r="L28" t="str">
        <f t="shared" si="14"/>
        <v>X3=New X3, X1=New X2, X2=Golden Ratio</v>
      </c>
      <c r="M28" s="8">
        <f t="shared" si="1"/>
        <v>2.3125006209571382</v>
      </c>
      <c r="N28" s="8">
        <f t="shared" si="2"/>
        <v>2.3125006276638356</v>
      </c>
      <c r="O28" s="8">
        <f t="shared" si="8"/>
        <v>3.3533487100983811E-3</v>
      </c>
      <c r="P28" s="3">
        <f t="shared" si="3"/>
        <v>3.3533487098225123E-3</v>
      </c>
      <c r="Q28" s="3">
        <f t="shared" si="4"/>
        <v>3.3533487098225123E-3</v>
      </c>
      <c r="R28" s="3">
        <f t="shared" si="5"/>
        <v>0</v>
      </c>
    </row>
    <row r="30" spans="1:20">
      <c r="A30" s="4" t="s">
        <v>15</v>
      </c>
      <c r="B30" s="4" t="s">
        <v>37</v>
      </c>
      <c r="C30" s="4" t="s">
        <v>25</v>
      </c>
      <c r="D30" s="4" t="s">
        <v>27</v>
      </c>
      <c r="E30" s="4" t="s">
        <v>29</v>
      </c>
      <c r="F30" s="4" t="s">
        <v>30</v>
      </c>
      <c r="G30" s="4" t="s">
        <v>26</v>
      </c>
      <c r="H30" s="4" t="s">
        <v>28</v>
      </c>
      <c r="I30" s="4" t="s">
        <v>38</v>
      </c>
      <c r="J30" s="4" t="s">
        <v>39</v>
      </c>
      <c r="K30" s="4" t="s">
        <v>17</v>
      </c>
      <c r="L30" s="4" t="s">
        <v>16</v>
      </c>
      <c r="M30" s="4" t="s">
        <v>8</v>
      </c>
      <c r="N30" s="4" t="s">
        <v>34</v>
      </c>
      <c r="O30" s="4" t="s">
        <v>35</v>
      </c>
      <c r="P30" s="4" t="s">
        <v>9</v>
      </c>
    </row>
    <row r="31" spans="1:20" ht="15" customHeight="1">
      <c r="A31" s="113" t="s">
        <v>36</v>
      </c>
      <c r="B31">
        <v>1</v>
      </c>
      <c r="C31">
        <v>1</v>
      </c>
      <c r="D31">
        <f>$H$5*C31^4+$H$6*C31^3+$H$7</f>
        <v>3</v>
      </c>
      <c r="E31">
        <f>1.5</f>
        <v>1.5</v>
      </c>
      <c r="F31">
        <f>$H$5*E31^4+$H$6*E31^3+$H$7</f>
        <v>2.3125</v>
      </c>
      <c r="G31">
        <v>2</v>
      </c>
      <c r="H31">
        <f>$H$5*G31^4+$H$6*G31^3+$H$7</f>
        <v>4</v>
      </c>
      <c r="I31" s="5">
        <f>((H31-F31)*(E31^2-C31^2)+(D31-F31)*(G31^2-E31^2))/(2*((H31-F31)*(E31-C31)+(D31-F31)*(G31-E31)))</f>
        <v>1.3947368421052631</v>
      </c>
      <c r="J31" s="5">
        <f>$H$5*I31^4+$H$6*I31^3+$H$7</f>
        <v>2.3578188664912032</v>
      </c>
      <c r="K31" s="8">
        <f>$H$5*(I31-$H$9)^4+$H$6*(I31-$H$9)^3+$H$7</f>
        <v>2.357819685564341</v>
      </c>
      <c r="L31" s="8">
        <f>$H$5*(I31+$H$9)^4+$H$6*(I31+$H$9)^3+$H$7</f>
        <v>2.3578180474246704</v>
      </c>
      <c r="M31" s="8">
        <f>(L31-K31)/((E31+$H$9)-(E31-$H$9))</f>
        <v>-0.81906983535683642</v>
      </c>
      <c r="Q31" t="s">
        <v>41</v>
      </c>
    </row>
    <row r="32" spans="1:20">
      <c r="A32" s="116"/>
      <c r="B32">
        <v>2</v>
      </c>
      <c r="C32">
        <v>1</v>
      </c>
      <c r="D32">
        <f>$H$5*C32^4+$H$6*C32^3+$H$7</f>
        <v>3</v>
      </c>
      <c r="E32">
        <f>I31</f>
        <v>1.3947368421052631</v>
      </c>
      <c r="F32">
        <f>$H$5*E32^4+$H$6*E32^3+$H$7</f>
        <v>2.3578188664912032</v>
      </c>
      <c r="G32">
        <f>E31</f>
        <v>1.5</v>
      </c>
      <c r="H32">
        <f>$H$5*G32^4+$H$6*G32^3+$H$7</f>
        <v>2.3125</v>
      </c>
      <c r="I32" s="5">
        <f t="shared" ref="I32:I40" si="17">((H32-F32)*(E32^2-C32^2)+(D32-F32)*(G32^2-E32^2))/(2*((H32-F32)*(E32-C32)+(D32-F32)*(G32-E32)))</f>
        <v>1.5373371924746755</v>
      </c>
      <c r="J32" s="5">
        <f t="shared" ref="J32:J40" si="18">$H$5*I32^4+$H$6*I32^3+$H$7</f>
        <v>2.3189834421919393</v>
      </c>
      <c r="K32" s="8">
        <f t="shared" ref="K32:K40" si="19">$H$5*(I32-$H$9)^4+$H$6*(I32-$H$9)^3+$H$7</f>
        <v>2.3189830892251706</v>
      </c>
      <c r="L32" s="8">
        <f t="shared" ref="L32:L40" si="20">$H$5*(I32+$H$9)^4+$H$6*(I32+$H$9)^3+$H$7</f>
        <v>2.318983795168621</v>
      </c>
      <c r="M32" s="8">
        <f t="shared" ref="M32:M40" si="21">(L32-K32)/((E32+$H$9)-(E32-$H$9))</f>
        <v>0.35297172521059894</v>
      </c>
      <c r="Q32" t="s">
        <v>42</v>
      </c>
    </row>
    <row r="33" spans="1:17">
      <c r="A33" s="116"/>
      <c r="B33">
        <v>3</v>
      </c>
      <c r="C33">
        <v>1</v>
      </c>
      <c r="D33">
        <f t="shared" ref="D33:D40" si="22">$H$5*C33^4+$H$6*C33^3+$H$7</f>
        <v>3</v>
      </c>
      <c r="E33">
        <f t="shared" ref="E33:E40" si="23">I32</f>
        <v>1.5373371924746755</v>
      </c>
      <c r="F33">
        <f t="shared" ref="F33:F40" si="24">$H$5*E33^4+$H$6*E33^3+$H$7</f>
        <v>2.3189834421919393</v>
      </c>
      <c r="G33">
        <f>E32</f>
        <v>1.3947368421052631</v>
      </c>
      <c r="H33">
        <f t="shared" ref="H33:H40" si="25">$H$5*G33^4+$H$6*G33^3+$H$7</f>
        <v>2.3578188664912032</v>
      </c>
      <c r="I33" s="5">
        <f t="shared" si="17"/>
        <v>1.520055018399638</v>
      </c>
      <c r="J33" s="5">
        <f t="shared" si="18"/>
        <v>2.3143423435168815</v>
      </c>
      <c r="K33" s="8">
        <f t="shared" si="19"/>
        <v>2.314342158167749</v>
      </c>
      <c r="L33" s="8">
        <f t="shared" si="20"/>
        <v>2.3143425288755006</v>
      </c>
      <c r="M33" s="8">
        <f t="shared" si="21"/>
        <v>0.18535387581867743</v>
      </c>
      <c r="Q33" t="s">
        <v>43</v>
      </c>
    </row>
    <row r="34" spans="1:17">
      <c r="A34" s="116"/>
      <c r="B34">
        <v>4</v>
      </c>
      <c r="C34">
        <v>1</v>
      </c>
      <c r="D34">
        <f t="shared" si="22"/>
        <v>3</v>
      </c>
      <c r="E34">
        <f t="shared" si="23"/>
        <v>1.520055018399638</v>
      </c>
      <c r="F34">
        <f t="shared" si="24"/>
        <v>2.3143423435168815</v>
      </c>
      <c r="G34">
        <f t="shared" ref="G34:G40" si="26">E33</f>
        <v>1.5373371924746755</v>
      </c>
      <c r="H34">
        <f t="shared" si="25"/>
        <v>2.3189834421919393</v>
      </c>
      <c r="I34" s="5">
        <f t="shared" si="17"/>
        <v>1.483232115980549</v>
      </c>
      <c r="J34" s="5">
        <f t="shared" si="18"/>
        <v>2.3137464497944045</v>
      </c>
      <c r="K34" s="8">
        <f t="shared" si="19"/>
        <v>2.3137465973545757</v>
      </c>
      <c r="L34" s="8">
        <f t="shared" si="20"/>
        <v>2.3137463022428335</v>
      </c>
      <c r="M34" s="8">
        <f t="shared" si="21"/>
        <v>-0.14755587108942622</v>
      </c>
    </row>
    <row r="35" spans="1:17">
      <c r="A35" s="116"/>
      <c r="B35">
        <v>5</v>
      </c>
      <c r="C35">
        <v>1</v>
      </c>
      <c r="D35">
        <f t="shared" si="22"/>
        <v>3</v>
      </c>
      <c r="E35">
        <f t="shared" si="23"/>
        <v>1.483232115980549</v>
      </c>
      <c r="F35">
        <f t="shared" si="24"/>
        <v>2.3137464497944045</v>
      </c>
      <c r="G35">
        <f t="shared" si="26"/>
        <v>1.520055018399638</v>
      </c>
      <c r="H35">
        <f t="shared" si="25"/>
        <v>2.3143423435168815</v>
      </c>
      <c r="I35" s="5">
        <f t="shared" si="17"/>
        <v>1.4987138858388469</v>
      </c>
      <c r="J35" s="5">
        <f t="shared" si="18"/>
        <v>2.3125074348967036</v>
      </c>
      <c r="K35" s="8">
        <f t="shared" si="19"/>
        <v>2.3125074464563742</v>
      </c>
      <c r="L35" s="8">
        <f t="shared" si="20"/>
        <v>2.3125074233460019</v>
      </c>
      <c r="M35" s="8">
        <f t="shared" si="21"/>
        <v>-1.15551861422161E-2</v>
      </c>
    </row>
    <row r="36" spans="1:17">
      <c r="A36" s="116"/>
      <c r="B36">
        <v>6</v>
      </c>
      <c r="C36">
        <v>1</v>
      </c>
      <c r="D36">
        <f t="shared" si="22"/>
        <v>3</v>
      </c>
      <c r="E36">
        <f t="shared" si="23"/>
        <v>1.4987138858388469</v>
      </c>
      <c r="F36">
        <f t="shared" si="24"/>
        <v>2.3125074348967036</v>
      </c>
      <c r="G36">
        <f t="shared" si="26"/>
        <v>1.483232115980549</v>
      </c>
      <c r="H36">
        <f t="shared" si="25"/>
        <v>2.3137464497944045</v>
      </c>
      <c r="I36" s="5">
        <f t="shared" si="17"/>
        <v>1.5058645408091489</v>
      </c>
      <c r="J36" s="5">
        <f t="shared" si="18"/>
        <v>2.3126555757507559</v>
      </c>
      <c r="K36" s="8">
        <f t="shared" si="19"/>
        <v>2.3126555225609389</v>
      </c>
      <c r="L36" s="8">
        <f t="shared" si="20"/>
        <v>2.3126556289497149</v>
      </c>
      <c r="M36" s="8">
        <f t="shared" si="21"/>
        <v>5.3194388009926888E-2</v>
      </c>
    </row>
    <row r="37" spans="1:17">
      <c r="A37" s="116"/>
      <c r="B37">
        <v>7</v>
      </c>
      <c r="C37">
        <v>1</v>
      </c>
      <c r="D37">
        <f t="shared" si="22"/>
        <v>3</v>
      </c>
      <c r="E37">
        <f t="shared" si="23"/>
        <v>1.5058645408091489</v>
      </c>
      <c r="F37">
        <f t="shared" si="24"/>
        <v>2.3126555757507559</v>
      </c>
      <c r="G37">
        <f t="shared" si="26"/>
        <v>1.4987138858388469</v>
      </c>
      <c r="H37">
        <f t="shared" si="25"/>
        <v>2.3125074348967036</v>
      </c>
      <c r="I37" s="5">
        <f t="shared" si="17"/>
        <v>1.4985443279567567</v>
      </c>
      <c r="J37" s="5">
        <f t="shared" si="18"/>
        <v>2.3125095230812631</v>
      </c>
      <c r="K37" s="8">
        <f t="shared" si="19"/>
        <v>2.3125095361613779</v>
      </c>
      <c r="L37" s="8">
        <f t="shared" si="20"/>
        <v>2.3125095100101118</v>
      </c>
      <c r="M37" s="8">
        <f t="shared" si="21"/>
        <v>-1.3075633021851656E-2</v>
      </c>
    </row>
    <row r="38" spans="1:17">
      <c r="A38" s="116"/>
      <c r="B38">
        <v>8</v>
      </c>
      <c r="C38">
        <v>1</v>
      </c>
      <c r="D38">
        <f t="shared" si="22"/>
        <v>3</v>
      </c>
      <c r="E38">
        <f t="shared" si="23"/>
        <v>1.4985443279567567</v>
      </c>
      <c r="F38">
        <f t="shared" si="24"/>
        <v>2.3125095230812631</v>
      </c>
      <c r="G38">
        <f t="shared" si="26"/>
        <v>1.5058645408091489</v>
      </c>
      <c r="H38">
        <f t="shared" si="25"/>
        <v>2.3126555757507559</v>
      </c>
      <c r="I38" s="5">
        <f t="shared" si="17"/>
        <v>1.498597082005461</v>
      </c>
      <c r="J38" s="5">
        <f t="shared" si="18"/>
        <v>2.3125088457641461</v>
      </c>
      <c r="K38" s="8">
        <f t="shared" si="19"/>
        <v>2.3125088583712845</v>
      </c>
      <c r="L38" s="8">
        <f t="shared" si="20"/>
        <v>2.3125088331659747</v>
      </c>
      <c r="M38" s="8">
        <f t="shared" si="21"/>
        <v>-1.2602654920683517E-2</v>
      </c>
    </row>
    <row r="39" spans="1:17">
      <c r="A39" s="116"/>
      <c r="B39">
        <v>9</v>
      </c>
      <c r="C39">
        <v>1</v>
      </c>
      <c r="D39">
        <f t="shared" si="22"/>
        <v>3</v>
      </c>
      <c r="E39">
        <f t="shared" si="23"/>
        <v>1.498597082005461</v>
      </c>
      <c r="F39">
        <f t="shared" si="24"/>
        <v>2.3125088457641461</v>
      </c>
      <c r="G39">
        <f t="shared" si="26"/>
        <v>1.4985443279567567</v>
      </c>
      <c r="H39">
        <f t="shared" si="25"/>
        <v>2.3125095230812631</v>
      </c>
      <c r="I39" s="5">
        <f t="shared" si="17"/>
        <v>1.5009136145563609</v>
      </c>
      <c r="J39" s="5">
        <f t="shared" si="18"/>
        <v>2.3125037591630511</v>
      </c>
      <c r="K39" s="8">
        <f t="shared" si="19"/>
        <v>2.3125037509350124</v>
      </c>
      <c r="L39" s="8">
        <f t="shared" si="20"/>
        <v>2.3125037674001128</v>
      </c>
      <c r="M39" s="8">
        <f t="shared" si="21"/>
        <v>8.2325501977842663E-3</v>
      </c>
    </row>
    <row r="40" spans="1:17">
      <c r="A40" s="116"/>
      <c r="B40">
        <v>10</v>
      </c>
      <c r="C40">
        <v>1</v>
      </c>
      <c r="D40">
        <f t="shared" si="22"/>
        <v>3</v>
      </c>
      <c r="E40">
        <f t="shared" si="23"/>
        <v>1.5009136145563609</v>
      </c>
      <c r="F40">
        <f t="shared" si="24"/>
        <v>2.3125037591630511</v>
      </c>
      <c r="G40">
        <f t="shared" si="26"/>
        <v>1.498597082005461</v>
      </c>
      <c r="H40">
        <f t="shared" si="25"/>
        <v>2.3125088457641461</v>
      </c>
      <c r="I40" s="5">
        <f t="shared" si="17"/>
        <v>1.500154829976468</v>
      </c>
      <c r="J40" s="5">
        <f t="shared" si="18"/>
        <v>2.312500107890294</v>
      </c>
      <c r="K40" s="8">
        <f t="shared" si="19"/>
        <v>2.3125001065010382</v>
      </c>
      <c r="L40" s="8">
        <f t="shared" si="20"/>
        <v>2.3125001092885533</v>
      </c>
      <c r="M40" s="8">
        <f t="shared" si="21"/>
        <v>1.3937575539283169E-3</v>
      </c>
    </row>
    <row r="42" spans="1:17">
      <c r="A42" s="4" t="s">
        <v>15</v>
      </c>
      <c r="B42" s="4" t="s">
        <v>37</v>
      </c>
      <c r="C42" s="4" t="s">
        <v>25</v>
      </c>
      <c r="D42" s="4" t="s">
        <v>27</v>
      </c>
      <c r="E42" s="4" t="s">
        <v>29</v>
      </c>
      <c r="F42" s="4" t="s">
        <v>30</v>
      </c>
      <c r="G42" s="4" t="s">
        <v>26</v>
      </c>
      <c r="H42" s="4" t="s">
        <v>28</v>
      </c>
      <c r="I42" s="4" t="s">
        <v>38</v>
      </c>
      <c r="J42" s="4" t="s">
        <v>39</v>
      </c>
      <c r="K42" s="4" t="s">
        <v>17</v>
      </c>
      <c r="L42" s="4" t="s">
        <v>16</v>
      </c>
      <c r="M42" s="4" t="s">
        <v>8</v>
      </c>
      <c r="N42" s="4" t="s">
        <v>34</v>
      </c>
      <c r="O42" s="4" t="s">
        <v>35</v>
      </c>
      <c r="P42" s="4" t="s">
        <v>9</v>
      </c>
    </row>
    <row r="43" spans="1:17">
      <c r="A43" s="113" t="s">
        <v>40</v>
      </c>
      <c r="B43">
        <v>1</v>
      </c>
      <c r="C43">
        <v>1</v>
      </c>
      <c r="D43">
        <f>$H$5*C43^4+$H$6*C43^3+$H$7</f>
        <v>3</v>
      </c>
      <c r="E43" s="11">
        <f>C43+($T$20)*(G43-C43)</f>
        <v>1.3819699999999999</v>
      </c>
      <c r="F43">
        <f>$H$5*E43^4+$H$6*E43^3+$H$7</f>
        <v>2.3688067971505347</v>
      </c>
      <c r="G43">
        <v>2</v>
      </c>
      <c r="H43">
        <f>$H$5*G43^4+$H$6*G43^3+$H$7</f>
        <v>4</v>
      </c>
      <c r="I43" s="5">
        <f>((H43-F43)*(E43^2-C43^2)+(D43-F43)*(G43^2-E43^2))/(2*((H43-F43)*(E43-C43)+(D43-F43)*(G43-E43)))</f>
        <v>1.383499065878</v>
      </c>
      <c r="J43" s="5">
        <f>$H$5*I43^4+$H$6*I43^3+$H$7</f>
        <v>2.3674354956701213</v>
      </c>
      <c r="K43" s="8">
        <f>$H$5*(I43-$H$9)^4+$H$6*(I43-$H$9)^3+$H$7</f>
        <v>2.3674363876369209</v>
      </c>
      <c r="L43" s="8">
        <f>$H$5*(I43+$H$9)^4+$H$6*(I43+$H$9)^3+$H$7</f>
        <v>2.3674346037096892</v>
      </c>
      <c r="M43" s="8">
        <f>(L43-K43)/((E43+$H$9)-(E43-$H$9))</f>
        <v>-0.89196361593001794</v>
      </c>
    </row>
    <row r="44" spans="1:17">
      <c r="A44" s="116"/>
      <c r="B44">
        <v>2</v>
      </c>
      <c r="C44">
        <f>I43</f>
        <v>1.383499065878</v>
      </c>
      <c r="D44">
        <f>$H$5*C44^4+$H$6*C44^3+$H$7</f>
        <v>2.3674354956701213</v>
      </c>
      <c r="E44" s="11">
        <f>C44+($T$20)*(G44-C44)</f>
        <v>1.3829150085845803</v>
      </c>
      <c r="F44">
        <f>$H$5*E44^4+$H$6*E44^3+$H$7</f>
        <v>2.3679575387602441</v>
      </c>
      <c r="G44">
        <f>E43</f>
        <v>1.3819699999999999</v>
      </c>
      <c r="H44">
        <f>$H$5*G44^4+$H$6*G44^3+$H$7</f>
        <v>2.3688067971505347</v>
      </c>
      <c r="I44" s="5">
        <f>((H44-F44)*(E44^2-C44^2)+(D44-F44)*(G44^2-E44^2))/(2*((H44-F44)*(E44-C44)+(D44-F44)*(G44-E44)))</f>
        <v>1.5239238411996161</v>
      </c>
      <c r="J44" s="5">
        <f t="shared" ref="J44:J52" si="27">$H$5*I44^4+$H$6*I44^3+$H$7</f>
        <v>2.315130674643628</v>
      </c>
      <c r="K44" s="8">
        <f t="shared" ref="K44:K52" si="28">$H$5*(I44-$H$9)^4+$H$6*(I44-$H$9)^3+$H$7</f>
        <v>2.3151304524108749</v>
      </c>
      <c r="L44" s="8">
        <f t="shared" ref="L44:L52" si="29">$H$5*(I44+$H$9)^4+$H$6*(I44+$H$9)^3+$H$7</f>
        <v>2.3151308968859619</v>
      </c>
      <c r="M44" s="8">
        <f t="shared" ref="M44:M52" si="30">(L44-K44)/((E44+$H$9)-(E44-$H$9))</f>
        <v>0.22223754349733629</v>
      </c>
    </row>
    <row r="45" spans="1:17">
      <c r="A45" s="116"/>
      <c r="B45">
        <v>3</v>
      </c>
      <c r="C45">
        <f t="shared" ref="C45:C52" si="31">I44</f>
        <v>1.5239238411996161</v>
      </c>
      <c r="D45">
        <f t="shared" ref="D45:D52" si="32">$H$5*C45^4+$H$6*C45^3+$H$7</f>
        <v>2.315130674643628</v>
      </c>
      <c r="E45" s="11">
        <f t="shared" ref="E45:E52" si="33">C45+($T$20)*(G45-C45)</f>
        <v>1.4700626974056508</v>
      </c>
      <c r="F45">
        <f t="shared" ref="F45:F52" si="34">$H$5*E45^4+$H$6*E45^3+$H$7</f>
        <v>2.3164265683575129</v>
      </c>
      <c r="G45">
        <f t="shared" ref="G45:G52" si="35">E44</f>
        <v>1.3829150085845803</v>
      </c>
      <c r="H45">
        <f t="shared" ref="H45:H52" si="36">$H$5*G45^4+$H$6*G45^3+$H$7</f>
        <v>2.3679575387602441</v>
      </c>
      <c r="I45" s="5">
        <f t="shared" ref="I45:I52" si="37">((H45-F45)*(E45^2-C45^2)+(D45-F45)*(G45^2-E45^2))/(2*((H45-F45)*(E45-C45)+(D45-F45)*(G45-E45)))</f>
        <v>1.4999837323892411</v>
      </c>
      <c r="J45" s="5">
        <f t="shared" si="27"/>
        <v>2.3125000011908403</v>
      </c>
      <c r="K45" s="8">
        <f t="shared" si="28"/>
        <v>2.3125000013417463</v>
      </c>
      <c r="L45" s="8">
        <f t="shared" si="29"/>
        <v>2.3125000010489352</v>
      </c>
      <c r="M45" s="8">
        <f t="shared" si="30"/>
        <v>-1.4640555435857354E-4</v>
      </c>
    </row>
    <row r="46" spans="1:17">
      <c r="A46" s="116"/>
      <c r="B46">
        <v>4</v>
      </c>
      <c r="C46">
        <f t="shared" si="31"/>
        <v>1.4999837323892411</v>
      </c>
      <c r="D46">
        <f t="shared" si="32"/>
        <v>2.3125000011908403</v>
      </c>
      <c r="E46" s="11">
        <f t="shared" si="33"/>
        <v>1.4885547946565592</v>
      </c>
      <c r="F46">
        <f t="shared" si="34"/>
        <v>2.3130834874686244</v>
      </c>
      <c r="G46">
        <f t="shared" si="35"/>
        <v>1.4700626974056508</v>
      </c>
      <c r="H46">
        <f t="shared" si="36"/>
        <v>2.3164265683575129</v>
      </c>
      <c r="I46" s="5">
        <f t="shared" si="37"/>
        <v>1.5001567239799276</v>
      </c>
      <c r="J46" s="5">
        <f t="shared" si="27"/>
        <v>2.3125001105462246</v>
      </c>
      <c r="K46" s="8">
        <f t="shared" si="28"/>
        <v>2.3125001091399167</v>
      </c>
      <c r="L46" s="8">
        <f t="shared" si="29"/>
        <v>2.3125001119615369</v>
      </c>
      <c r="M46" s="8">
        <f t="shared" si="30"/>
        <v>1.4108101354987522E-3</v>
      </c>
    </row>
    <row r="47" spans="1:17">
      <c r="A47" s="116"/>
      <c r="B47">
        <v>5</v>
      </c>
      <c r="C47">
        <f t="shared" si="31"/>
        <v>1.5001567239799276</v>
      </c>
      <c r="D47">
        <f t="shared" si="32"/>
        <v>2.3125001105462246</v>
      </c>
      <c r="E47" s="11">
        <f t="shared" si="33"/>
        <v>1.4957251350362806</v>
      </c>
      <c r="F47">
        <f t="shared" si="34"/>
        <v>2.3125819229674436</v>
      </c>
      <c r="G47">
        <f t="shared" si="35"/>
        <v>1.4885547946565592</v>
      </c>
      <c r="H47">
        <f t="shared" si="36"/>
        <v>2.3130834874686244</v>
      </c>
      <c r="I47" s="5">
        <f t="shared" si="37"/>
        <v>1.5000208566468687</v>
      </c>
      <c r="J47" s="5">
        <f t="shared" si="27"/>
        <v>2.3125000019575346</v>
      </c>
      <c r="K47" s="8">
        <f t="shared" si="28"/>
        <v>2.3125000017743211</v>
      </c>
      <c r="L47" s="8">
        <f t="shared" si="29"/>
        <v>2.3125000021497506</v>
      </c>
      <c r="M47" s="8">
        <f t="shared" si="30"/>
        <v>1.8771473266222474E-4</v>
      </c>
    </row>
    <row r="48" spans="1:17">
      <c r="A48" s="116"/>
      <c r="B48">
        <v>6</v>
      </c>
      <c r="C48">
        <f t="shared" si="31"/>
        <v>1.5000208566468687</v>
      </c>
      <c r="D48">
        <f t="shared" si="32"/>
        <v>2.3125000019575346</v>
      </c>
      <c r="E48" s="11">
        <f t="shared" si="33"/>
        <v>1.4983800198632724</v>
      </c>
      <c r="F48">
        <f t="shared" si="34"/>
        <v>2.3125117925117964</v>
      </c>
      <c r="G48">
        <f t="shared" si="35"/>
        <v>1.4957251350362806</v>
      </c>
      <c r="H48">
        <f t="shared" si="36"/>
        <v>2.3125819229674436</v>
      </c>
      <c r="I48" s="5">
        <f t="shared" si="37"/>
        <v>1.5000030345923341</v>
      </c>
      <c r="J48" s="5">
        <f t="shared" si="27"/>
        <v>2.3125000000414397</v>
      </c>
      <c r="K48" s="8">
        <f t="shared" si="28"/>
        <v>2.3125000000186278</v>
      </c>
      <c r="L48" s="8">
        <f t="shared" si="29"/>
        <v>2.3125000000732516</v>
      </c>
      <c r="M48" s="8">
        <f t="shared" si="30"/>
        <v>2.7311930497235561E-5</v>
      </c>
    </row>
    <row r="49" spans="1:13">
      <c r="A49" s="116"/>
      <c r="B49">
        <v>7</v>
      </c>
      <c r="C49">
        <f t="shared" si="31"/>
        <v>1.5000030345923341</v>
      </c>
      <c r="D49">
        <f t="shared" si="32"/>
        <v>2.3125000000414397</v>
      </c>
      <c r="E49" s="11">
        <f t="shared" si="33"/>
        <v>1.4993830916562745</v>
      </c>
      <c r="F49">
        <f t="shared" si="34"/>
        <v>2.3125017116525939</v>
      </c>
      <c r="G49">
        <f t="shared" si="35"/>
        <v>1.4983800198632724</v>
      </c>
      <c r="H49">
        <f t="shared" si="36"/>
        <v>2.3125117925117964</v>
      </c>
      <c r="I49" s="5">
        <f t="shared" si="37"/>
        <v>1.5000004417819135</v>
      </c>
      <c r="J49" s="5">
        <f t="shared" si="27"/>
        <v>2.3125000000008775</v>
      </c>
      <c r="K49" s="8">
        <f t="shared" si="28"/>
        <v>2.3125000000014024</v>
      </c>
      <c r="L49" s="8">
        <f t="shared" si="29"/>
        <v>2.3125000000093543</v>
      </c>
      <c r="M49" s="8">
        <f t="shared" si="30"/>
        <v>3.9759306961146975E-6</v>
      </c>
    </row>
    <row r="50" spans="1:13">
      <c r="A50" s="116"/>
      <c r="B50">
        <v>8</v>
      </c>
      <c r="C50">
        <f t="shared" si="31"/>
        <v>1.5000004417819135</v>
      </c>
      <c r="D50">
        <f t="shared" si="32"/>
        <v>2.3125000000008775</v>
      </c>
      <c r="E50" s="11">
        <f t="shared" si="33"/>
        <v>1.4997646325544232</v>
      </c>
      <c r="F50">
        <f t="shared" si="34"/>
        <v>2.312500249238103</v>
      </c>
      <c r="G50">
        <f t="shared" si="35"/>
        <v>1.4993830916562745</v>
      </c>
      <c r="H50">
        <f t="shared" si="36"/>
        <v>2.3125017116525939</v>
      </c>
      <c r="I50" s="5">
        <f t="shared" si="37"/>
        <v>1.5000000644015112</v>
      </c>
      <c r="J50" s="5">
        <f t="shared" si="27"/>
        <v>2.3125000000000187</v>
      </c>
      <c r="K50" s="8">
        <f t="shared" si="28"/>
        <v>2.3125000000039391</v>
      </c>
      <c r="L50" s="8">
        <f t="shared" si="29"/>
        <v>2.312500000005099</v>
      </c>
      <c r="M50" s="8">
        <f t="shared" si="30"/>
        <v>5.7998050811189482E-7</v>
      </c>
    </row>
    <row r="51" spans="1:13">
      <c r="A51" s="116"/>
      <c r="B51">
        <v>9</v>
      </c>
      <c r="C51">
        <f t="shared" si="31"/>
        <v>1.5000000644015112</v>
      </c>
      <c r="D51">
        <f t="shared" si="32"/>
        <v>2.3125000000000187</v>
      </c>
      <c r="E51" s="11">
        <f t="shared" si="33"/>
        <v>1.4999101364988789</v>
      </c>
      <c r="F51">
        <f t="shared" si="34"/>
        <v>2.3125000363366173</v>
      </c>
      <c r="G51">
        <f t="shared" si="35"/>
        <v>1.4997646325544232</v>
      </c>
      <c r="H51">
        <f t="shared" si="36"/>
        <v>2.312500249238103</v>
      </c>
      <c r="I51" s="5">
        <f t="shared" si="37"/>
        <v>1.500000009391077</v>
      </c>
      <c r="J51" s="5">
        <f t="shared" si="27"/>
        <v>2.3125000000000009</v>
      </c>
      <c r="K51" s="8">
        <f t="shared" si="28"/>
        <v>2.312500000004416</v>
      </c>
      <c r="L51" s="8">
        <f t="shared" si="29"/>
        <v>2.3125000000045848</v>
      </c>
      <c r="M51" s="8">
        <f t="shared" si="30"/>
        <v>8.4376949878453306E-8</v>
      </c>
    </row>
    <row r="52" spans="1:13">
      <c r="A52" s="116"/>
      <c r="B52">
        <v>10</v>
      </c>
      <c r="C52">
        <f t="shared" si="31"/>
        <v>1.500000009391077</v>
      </c>
      <c r="D52">
        <f t="shared" si="32"/>
        <v>2.3125000000000009</v>
      </c>
      <c r="E52" s="11">
        <f t="shared" si="33"/>
        <v>1.4999656806424442</v>
      </c>
      <c r="F52">
        <f t="shared" si="34"/>
        <v>2.3125000053000209</v>
      </c>
      <c r="G52">
        <f t="shared" si="35"/>
        <v>1.4999101364988789</v>
      </c>
      <c r="H52">
        <f t="shared" si="36"/>
        <v>2.3125000363366173</v>
      </c>
      <c r="I52" s="5">
        <f t="shared" si="37"/>
        <v>1.500000001372473</v>
      </c>
      <c r="J52" s="5">
        <f t="shared" si="27"/>
        <v>2.3125</v>
      </c>
      <c r="K52" s="8">
        <f t="shared" si="28"/>
        <v>2.312500000004488</v>
      </c>
      <c r="L52" s="8">
        <f t="shared" si="29"/>
        <v>2.3125000000045119</v>
      </c>
      <c r="M52" s="8">
        <f t="shared" si="30"/>
        <v>1.1990408666938102E-8</v>
      </c>
    </row>
    <row r="54" spans="1:13">
      <c r="A54" s="4" t="s">
        <v>15</v>
      </c>
      <c r="B54" s="4" t="s">
        <v>37</v>
      </c>
      <c r="C54" s="4" t="s">
        <v>48</v>
      </c>
      <c r="D54" s="4" t="s">
        <v>47</v>
      </c>
      <c r="E54" s="4" t="s">
        <v>3</v>
      </c>
      <c r="F54" s="4" t="s">
        <v>45</v>
      </c>
      <c r="G54" s="4" t="s">
        <v>46</v>
      </c>
      <c r="H54" s="17"/>
      <c r="I54" s="17"/>
      <c r="J54" s="17"/>
      <c r="K54" s="17"/>
    </row>
    <row r="55" spans="1:13">
      <c r="A55" s="113" t="s">
        <v>44</v>
      </c>
      <c r="B55">
        <v>1</v>
      </c>
      <c r="D55">
        <v>2</v>
      </c>
      <c r="E55">
        <f>$H$5*D55^4+$H$6*D55^3+$H$7</f>
        <v>4</v>
      </c>
      <c r="F55">
        <f>4*D55^3-6*D55^2</f>
        <v>8</v>
      </c>
      <c r="G55">
        <f>12*D55*(D55-1)</f>
        <v>24</v>
      </c>
      <c r="H55" s="17" t="s">
        <v>49</v>
      </c>
      <c r="I55" s="17"/>
      <c r="J55" s="17"/>
      <c r="K55" s="17"/>
    </row>
    <row r="56" spans="1:13">
      <c r="A56" s="114"/>
      <c r="B56">
        <v>2</v>
      </c>
      <c r="C56">
        <f>D55</f>
        <v>2</v>
      </c>
      <c r="D56">
        <f>C56-(2*C56^2-3*C56)/(6*(C56-1))</f>
        <v>1.6666666666666667</v>
      </c>
      <c r="E56">
        <f t="shared" ref="E56:E64" si="38">$H$5*D56^4+$H$6*D56^3+$H$7</f>
        <v>2.4567901234567904</v>
      </c>
      <c r="F56">
        <f t="shared" ref="F56:F64" si="39">4*D56^3-6*D56^2</f>
        <v>1.8518518518518547</v>
      </c>
      <c r="G56">
        <f t="shared" ref="G56:G64" si="40">12*D56*(D56-1)</f>
        <v>13.333333333333336</v>
      </c>
      <c r="H56" s="17" t="s">
        <v>50</v>
      </c>
      <c r="I56" s="17"/>
      <c r="J56" s="17"/>
      <c r="K56" s="17"/>
    </row>
    <row r="57" spans="1:13">
      <c r="A57" s="114"/>
      <c r="B57">
        <v>3</v>
      </c>
      <c r="C57">
        <f t="shared" ref="C57:C64" si="41">D56</f>
        <v>1.6666666666666667</v>
      </c>
      <c r="D57">
        <f t="shared" ref="D57:D64" si="42">C57-(2*C57^2-3*C57)/(6*(C57-1))</f>
        <v>1.5277777777777777</v>
      </c>
      <c r="E57">
        <f t="shared" si="38"/>
        <v>2.3160585514784335</v>
      </c>
      <c r="F57">
        <f t="shared" si="39"/>
        <v>0.25934499314128701</v>
      </c>
      <c r="G57">
        <f t="shared" si="40"/>
        <v>9.6759259259259238</v>
      </c>
      <c r="H57" s="17"/>
      <c r="I57" s="17"/>
      <c r="J57" s="17"/>
      <c r="K57" s="17"/>
    </row>
    <row r="58" spans="1:13">
      <c r="A58" s="114"/>
      <c r="B58">
        <v>4</v>
      </c>
      <c r="C58">
        <f t="shared" si="41"/>
        <v>1.5277777777777777</v>
      </c>
      <c r="D58">
        <f t="shared" si="42"/>
        <v>1.5009746588693955</v>
      </c>
      <c r="E58">
        <f t="shared" si="38"/>
        <v>2.3125042785240524</v>
      </c>
      <c r="F58">
        <f t="shared" si="39"/>
        <v>8.7833330470488136E-3</v>
      </c>
      <c r="G58">
        <f t="shared" si="40"/>
        <v>9.0234032123844319</v>
      </c>
      <c r="H58" s="17"/>
      <c r="I58" s="17"/>
      <c r="J58" s="17"/>
      <c r="K58" s="17"/>
    </row>
    <row r="59" spans="1:13">
      <c r="A59" s="114"/>
      <c r="B59">
        <v>5</v>
      </c>
      <c r="C59">
        <f t="shared" si="41"/>
        <v>1.5009746588693955</v>
      </c>
      <c r="D59">
        <f t="shared" si="42"/>
        <v>1.5000012641489873</v>
      </c>
      <c r="E59">
        <f t="shared" si="38"/>
        <v>2.3125000000071916</v>
      </c>
      <c r="F59">
        <f t="shared" si="39"/>
        <v>1.1377360062070352E-5</v>
      </c>
      <c r="G59">
        <f>12*D59*(D59-1)</f>
        <v>9.000030339594872</v>
      </c>
      <c r="H59" s="17"/>
      <c r="I59" s="17"/>
      <c r="J59" s="17"/>
      <c r="K59" s="17"/>
    </row>
    <row r="60" spans="1:13">
      <c r="A60" s="114"/>
      <c r="B60">
        <v>6</v>
      </c>
      <c r="C60">
        <f t="shared" si="41"/>
        <v>1.5000012641489873</v>
      </c>
      <c r="D60">
        <f t="shared" si="42"/>
        <v>1.5000000000021305</v>
      </c>
      <c r="E60">
        <f t="shared" si="38"/>
        <v>2.3125</v>
      </c>
      <c r="F60">
        <f t="shared" si="39"/>
        <v>1.9173995724486304E-11</v>
      </c>
      <c r="G60">
        <f>12*D60*(D60-1)</f>
        <v>9.0000000000511324</v>
      </c>
    </row>
    <row r="61" spans="1:13">
      <c r="A61" s="114"/>
      <c r="B61">
        <v>7</v>
      </c>
      <c r="C61">
        <f t="shared" si="41"/>
        <v>1.5000000000021305</v>
      </c>
      <c r="D61">
        <f t="shared" si="42"/>
        <v>1.5</v>
      </c>
      <c r="E61">
        <f t="shared" si="38"/>
        <v>2.3125</v>
      </c>
      <c r="F61">
        <f t="shared" si="39"/>
        <v>0</v>
      </c>
      <c r="G61">
        <f t="shared" si="40"/>
        <v>9</v>
      </c>
    </row>
    <row r="62" spans="1:13">
      <c r="A62" s="114"/>
      <c r="B62">
        <v>8</v>
      </c>
      <c r="C62">
        <f t="shared" si="41"/>
        <v>1.5</v>
      </c>
      <c r="D62">
        <f t="shared" si="42"/>
        <v>1.5</v>
      </c>
      <c r="E62">
        <f t="shared" si="38"/>
        <v>2.3125</v>
      </c>
      <c r="F62">
        <f t="shared" si="39"/>
        <v>0</v>
      </c>
      <c r="G62">
        <f t="shared" si="40"/>
        <v>9</v>
      </c>
    </row>
    <row r="63" spans="1:13">
      <c r="A63" s="114"/>
      <c r="B63">
        <v>9</v>
      </c>
      <c r="C63">
        <f t="shared" si="41"/>
        <v>1.5</v>
      </c>
      <c r="D63">
        <f t="shared" si="42"/>
        <v>1.5</v>
      </c>
      <c r="E63">
        <f t="shared" si="38"/>
        <v>2.3125</v>
      </c>
      <c r="F63">
        <f t="shared" si="39"/>
        <v>0</v>
      </c>
      <c r="G63">
        <f t="shared" si="40"/>
        <v>9</v>
      </c>
    </row>
    <row r="64" spans="1:13">
      <c r="A64" s="114"/>
      <c r="B64">
        <v>10</v>
      </c>
      <c r="C64">
        <f t="shared" si="41"/>
        <v>1.5</v>
      </c>
      <c r="D64">
        <f t="shared" si="42"/>
        <v>1.5</v>
      </c>
      <c r="E64">
        <f t="shared" si="38"/>
        <v>2.3125</v>
      </c>
      <c r="F64">
        <f t="shared" si="39"/>
        <v>0</v>
      </c>
      <c r="G64">
        <f t="shared" si="40"/>
        <v>9</v>
      </c>
    </row>
    <row r="65" spans="1:1">
      <c r="A65" s="114"/>
    </row>
  </sheetData>
  <mergeCells count="5">
    <mergeCell ref="A55:A65"/>
    <mergeCell ref="A4:B15"/>
    <mergeCell ref="A31:A40"/>
    <mergeCell ref="A43:A52"/>
    <mergeCell ref="S23:T23"/>
  </mergeCells>
  <pageMargins left="0.7" right="0.7" top="0.75" bottom="0.75" header="0.3" footer="0.3"/>
  <pageSetup orientation="portrait" r:id="rId1"/>
  <ignoredErrors>
    <ignoredError sqref="E43 G45:G52 I43 E45:E52 I45:I52" 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08575-9C70-4C28-95BC-F2FE05F8FA47}">
  <dimension ref="A1:U59"/>
  <sheetViews>
    <sheetView workbookViewId="0">
      <selection activeCell="F4" sqref="F4"/>
    </sheetView>
  </sheetViews>
  <sheetFormatPr defaultRowHeight="15"/>
  <cols>
    <col min="1" max="1" width="36.85546875" customWidth="1"/>
    <col min="2" max="2" width="8.42578125" customWidth="1"/>
    <col min="8" max="8" width="9.140625" style="15"/>
    <col min="10" max="10" width="9.140625" style="15"/>
    <col min="12" max="12" width="9.140625" style="15"/>
    <col min="16" max="16" width="7.85546875" customWidth="1"/>
    <col min="17" max="18" width="13.140625" customWidth="1"/>
    <col min="19" max="19" width="13.5703125" customWidth="1"/>
  </cols>
  <sheetData>
    <row r="1" spans="1:21" ht="33" customHeight="1">
      <c r="A1" s="24" t="s">
        <v>51</v>
      </c>
      <c r="B1" s="8"/>
      <c r="C1" s="8"/>
      <c r="D1" s="8"/>
    </row>
    <row r="2" spans="1:21">
      <c r="A2" s="25" t="s">
        <v>5</v>
      </c>
      <c r="B2" s="26">
        <v>1</v>
      </c>
      <c r="C2" s="8"/>
      <c r="D2" s="8"/>
    </row>
    <row r="3" spans="1:21" s="15" customFormat="1">
      <c r="A3" s="27" t="s">
        <v>6</v>
      </c>
      <c r="B3" s="28">
        <v>-2</v>
      </c>
      <c r="C3" s="8"/>
      <c r="D3" s="8"/>
    </row>
    <row r="4" spans="1:21" s="15" customFormat="1">
      <c r="A4" s="27" t="s">
        <v>7</v>
      </c>
      <c r="B4" s="28">
        <v>2</v>
      </c>
      <c r="C4" s="8"/>
      <c r="D4" s="8"/>
    </row>
    <row r="5" spans="1:21" s="15" customFormat="1">
      <c r="A5" s="27" t="s">
        <v>54</v>
      </c>
      <c r="B5" s="28">
        <v>1</v>
      </c>
      <c r="C5" s="8"/>
      <c r="D5" s="8"/>
    </row>
    <row r="6" spans="1:21" s="15" customFormat="1">
      <c r="A6" s="29" t="s">
        <v>55</v>
      </c>
      <c r="B6" s="30">
        <v>2</v>
      </c>
      <c r="C6" s="8"/>
      <c r="D6" s="8"/>
    </row>
    <row r="7" spans="1:21" s="15" customFormat="1">
      <c r="A7" s="21" t="s">
        <v>67</v>
      </c>
      <c r="B7" s="22">
        <v>-1.9999996374097115</v>
      </c>
      <c r="C7" s="22">
        <v>1.4999992725118474</v>
      </c>
      <c r="D7" s="23">
        <f>$B$2*B7+$B$3*C7+$B$4*B7*C7+$B$5*B7^2+$B$6*C7^2</f>
        <v>-2.4999999999993392</v>
      </c>
      <c r="T7" s="17"/>
      <c r="U7" s="17"/>
    </row>
    <row r="8" spans="1:21" s="15" customFormat="1" ht="15.75" customHeight="1">
      <c r="A8" s="31" t="s">
        <v>68</v>
      </c>
      <c r="B8" s="118" t="s">
        <v>69</v>
      </c>
      <c r="C8" s="118"/>
      <c r="D8" s="119" t="s">
        <v>70</v>
      </c>
      <c r="E8" s="119"/>
      <c r="T8" s="17"/>
      <c r="U8" s="17"/>
    </row>
    <row r="9" spans="1:21">
      <c r="A9" s="4" t="s">
        <v>72</v>
      </c>
      <c r="B9" s="4" t="s">
        <v>73</v>
      </c>
      <c r="C9" s="4" t="s">
        <v>52</v>
      </c>
      <c r="D9" s="4" t="s">
        <v>53</v>
      </c>
      <c r="E9" s="4" t="s">
        <v>3</v>
      </c>
      <c r="F9" s="4" t="s">
        <v>56</v>
      </c>
      <c r="G9" s="4" t="s">
        <v>57</v>
      </c>
      <c r="H9" s="4" t="s">
        <v>64</v>
      </c>
      <c r="I9" s="4" t="s">
        <v>58</v>
      </c>
      <c r="J9" s="4" t="s">
        <v>62</v>
      </c>
      <c r="K9" s="4" t="s">
        <v>59</v>
      </c>
      <c r="L9" s="4" t="s">
        <v>63</v>
      </c>
      <c r="M9" s="4" t="s">
        <v>60</v>
      </c>
      <c r="N9" s="4" t="s">
        <v>61</v>
      </c>
      <c r="O9" s="4"/>
      <c r="P9" s="4" t="s">
        <v>65</v>
      </c>
      <c r="Q9" s="4" t="s">
        <v>71</v>
      </c>
      <c r="R9" s="4" t="s">
        <v>71</v>
      </c>
      <c r="S9" s="4" t="s">
        <v>66</v>
      </c>
      <c r="T9" s="17"/>
      <c r="U9" s="17"/>
    </row>
    <row r="10" spans="1:21" ht="15" customHeight="1">
      <c r="A10" s="120" t="s">
        <v>76</v>
      </c>
      <c r="C10">
        <v>0.5</v>
      </c>
      <c r="D10">
        <v>0.5</v>
      </c>
      <c r="E10">
        <f>$B$2*C10+$B$3*D10+$B$4*C10*D10+$B$5*C10^2+$B$6*D10^2</f>
        <v>0.75</v>
      </c>
      <c r="F10">
        <f>$B$2+$B$4*D10+2*$B$5*C10</f>
        <v>3</v>
      </c>
      <c r="G10">
        <f>$B$3+$B$4*C10+2*$B$6*D10</f>
        <v>1</v>
      </c>
      <c r="H10" s="15">
        <f>F10^2+G10^2</f>
        <v>10</v>
      </c>
      <c r="I10">
        <f>2*$B$5</f>
        <v>2</v>
      </c>
      <c r="K10">
        <f>2*$B$6</f>
        <v>4</v>
      </c>
      <c r="P10">
        <v>0</v>
      </c>
      <c r="Q10">
        <f>C10-P10*F10</f>
        <v>0.5</v>
      </c>
      <c r="R10" s="15">
        <f>D10-P10*G10</f>
        <v>0.5</v>
      </c>
      <c r="S10" s="15">
        <f>$B$2*Q10+$B$3*R10+$B$4*Q10*R10+$B$5*Q10^2+$B$6*R10^2</f>
        <v>0.75</v>
      </c>
      <c r="T10" s="17"/>
      <c r="U10" s="17"/>
    </row>
    <row r="11" spans="1:21">
      <c r="A11" s="121"/>
      <c r="C11">
        <v>0.5</v>
      </c>
      <c r="D11">
        <v>0.5</v>
      </c>
      <c r="E11" s="15">
        <f>$B$2*C11+$B$3*D11+$B$4*C11*D11+$B$5*C11^2+$B$6*D11^2</f>
        <v>0.75</v>
      </c>
      <c r="F11" s="15">
        <f>$B$2+$B$4*D11+2*$B$5*C11</f>
        <v>3</v>
      </c>
      <c r="G11" s="15">
        <f>$B$3+$B$4*C11+2*$B$6*D11</f>
        <v>1</v>
      </c>
      <c r="H11" s="15">
        <f>F11^2+G11^2</f>
        <v>10</v>
      </c>
      <c r="I11" s="15">
        <f>2*$B$5</f>
        <v>2</v>
      </c>
      <c r="K11" s="15">
        <f>2*$B$6</f>
        <v>4</v>
      </c>
      <c r="P11">
        <v>0.1</v>
      </c>
      <c r="Q11" s="15">
        <f>C11-P11*F11</f>
        <v>0.19999999999999996</v>
      </c>
      <c r="R11" s="15">
        <f>D11-P11*G11</f>
        <v>0.4</v>
      </c>
      <c r="S11" s="15">
        <f>$B$2*Q11+$B$3*R11+$B$4*Q11*R11+$B$5*Q11^2+$B$6*R11^2</f>
        <v>-8.0000000000000071E-2</v>
      </c>
      <c r="T11" s="17"/>
      <c r="U11" s="17"/>
    </row>
    <row r="12" spans="1:21">
      <c r="A12" s="121"/>
      <c r="C12" s="15">
        <v>0.5</v>
      </c>
      <c r="D12" s="15">
        <v>0.5</v>
      </c>
      <c r="E12" s="15">
        <f t="shared" ref="E12:E14" si="0">$B$2*C12+$B$3*D12+$B$4*C12*D12+$B$5*C12^2+$B$6*D12^2</f>
        <v>0.75</v>
      </c>
      <c r="F12" s="15">
        <f>$B$2+$B$4*D12+2*$B$5*C12</f>
        <v>3</v>
      </c>
      <c r="G12" s="15">
        <f t="shared" ref="G12:G14" si="1">$B$3+$B$4*C12+2*$B$6*D12</f>
        <v>1</v>
      </c>
      <c r="H12" s="15">
        <f t="shared" ref="H12:H14" si="2">F12^2+G12^2</f>
        <v>10</v>
      </c>
      <c r="I12" s="15">
        <f t="shared" ref="I12:I37" si="3">2*$B$5</f>
        <v>2</v>
      </c>
      <c r="K12" s="15">
        <f t="shared" ref="K12:K37" si="4">2*$B$6</f>
        <v>4</v>
      </c>
      <c r="P12" s="15">
        <v>0.2</v>
      </c>
      <c r="Q12" s="15">
        <f>C12-P12*F12</f>
        <v>-0.10000000000000009</v>
      </c>
      <c r="R12" s="15">
        <f t="shared" ref="R12:R14" si="5">D12-P12*G12</f>
        <v>0.3</v>
      </c>
      <c r="S12" s="15">
        <f t="shared" ref="S12:S14" si="6">$B$2*Q12+$B$3*R12+$B$4*Q12*R12+$B$5*Q12^2+$B$6*R12^2</f>
        <v>-0.57000000000000006</v>
      </c>
      <c r="T12" s="17"/>
      <c r="U12" s="17"/>
    </row>
    <row r="13" spans="1:21">
      <c r="A13" s="121"/>
      <c r="C13" s="15">
        <v>0.5</v>
      </c>
      <c r="D13" s="15">
        <v>0.5</v>
      </c>
      <c r="E13" s="15">
        <f t="shared" si="0"/>
        <v>0.75</v>
      </c>
      <c r="F13" s="15">
        <f t="shared" ref="F13:F14" si="7">$B$2+$B$4*D13+2*$B$5*C13</f>
        <v>3</v>
      </c>
      <c r="G13" s="15">
        <f t="shared" si="1"/>
        <v>1</v>
      </c>
      <c r="H13" s="15">
        <f t="shared" si="2"/>
        <v>10</v>
      </c>
      <c r="I13" s="15">
        <f t="shared" si="3"/>
        <v>2</v>
      </c>
      <c r="K13" s="15">
        <f t="shared" si="4"/>
        <v>4</v>
      </c>
      <c r="P13" s="15">
        <v>0.3</v>
      </c>
      <c r="Q13" s="15">
        <f t="shared" ref="Q13:Q14" si="8">C13-P13*F13</f>
        <v>-0.39999999999999991</v>
      </c>
      <c r="R13" s="15">
        <f t="shared" si="5"/>
        <v>0.2</v>
      </c>
      <c r="S13" s="15">
        <f t="shared" si="6"/>
        <v>-0.72</v>
      </c>
      <c r="T13" s="17"/>
      <c r="U13" s="17"/>
    </row>
    <row r="14" spans="1:21">
      <c r="A14" s="121"/>
      <c r="C14" s="15">
        <v>0.5</v>
      </c>
      <c r="D14" s="15">
        <v>0.5</v>
      </c>
      <c r="E14" s="15">
        <f t="shared" si="0"/>
        <v>0.75</v>
      </c>
      <c r="F14" s="15">
        <f t="shared" si="7"/>
        <v>3</v>
      </c>
      <c r="G14" s="15">
        <f t="shared" si="1"/>
        <v>1</v>
      </c>
      <c r="H14" s="15">
        <f t="shared" si="2"/>
        <v>10</v>
      </c>
      <c r="I14" s="15">
        <f t="shared" si="3"/>
        <v>2</v>
      </c>
      <c r="K14" s="15">
        <f t="shared" si="4"/>
        <v>4</v>
      </c>
      <c r="P14" s="15">
        <v>0.4</v>
      </c>
      <c r="Q14" s="15">
        <f t="shared" si="8"/>
        <v>-0.70000000000000018</v>
      </c>
      <c r="R14" s="15">
        <f t="shared" si="5"/>
        <v>9.9999999999999978E-2</v>
      </c>
      <c r="S14" s="15">
        <f t="shared" si="6"/>
        <v>-0.5299999999999998</v>
      </c>
      <c r="T14" s="17"/>
      <c r="U14" s="17"/>
    </row>
    <row r="15" spans="1:21">
      <c r="A15" s="121"/>
      <c r="C15" s="15">
        <v>0.5</v>
      </c>
      <c r="D15" s="15">
        <v>0.5</v>
      </c>
      <c r="E15" s="15">
        <f t="shared" ref="E15:E16" si="9">$B$2*C15+$B$3*D15+$B$4*C15*D15+$B$5*C15^2+$B$6*D15^2</f>
        <v>0.75</v>
      </c>
      <c r="F15" s="15">
        <f t="shared" ref="F15:F16" si="10">$B$2+$B$4*D15+2*$B$5*C15</f>
        <v>3</v>
      </c>
      <c r="G15" s="15">
        <f t="shared" ref="G15:G16" si="11">$B$3+$B$4*C15+2*$B$6*D15</f>
        <v>1</v>
      </c>
      <c r="H15" s="15">
        <f t="shared" ref="H15:H16" si="12">F15^2+G15^2</f>
        <v>10</v>
      </c>
      <c r="I15" s="15">
        <f t="shared" si="3"/>
        <v>2</v>
      </c>
      <c r="K15" s="15">
        <f t="shared" si="4"/>
        <v>4</v>
      </c>
      <c r="M15" s="15"/>
      <c r="N15" s="15"/>
      <c r="O15" s="15"/>
      <c r="P15" s="15">
        <v>0.5</v>
      </c>
      <c r="Q15" s="15">
        <f t="shared" ref="Q15:Q16" si="13">C15-P15*F15</f>
        <v>-1</v>
      </c>
      <c r="R15" s="15">
        <f t="shared" ref="R15:R16" si="14">D15-P15*G15</f>
        <v>0</v>
      </c>
      <c r="S15" s="15">
        <f t="shared" ref="S15:S16" si="15">$B$2*Q15+$B$3*R15+$B$4*Q15*R15+$B$5*Q15^2+$B$6*R15^2</f>
        <v>0</v>
      </c>
      <c r="T15" s="17"/>
      <c r="U15" s="17"/>
    </row>
    <row r="16" spans="1:21">
      <c r="A16" s="121"/>
      <c r="C16" s="15">
        <v>0.5</v>
      </c>
      <c r="D16" s="15">
        <v>0.5</v>
      </c>
      <c r="E16" s="15">
        <f t="shared" si="9"/>
        <v>0.75</v>
      </c>
      <c r="F16" s="15">
        <f t="shared" si="10"/>
        <v>3</v>
      </c>
      <c r="G16" s="15">
        <f t="shared" si="11"/>
        <v>1</v>
      </c>
      <c r="H16" s="15">
        <f t="shared" si="12"/>
        <v>10</v>
      </c>
      <c r="I16" s="15">
        <f t="shared" si="3"/>
        <v>2</v>
      </c>
      <c r="K16" s="15">
        <f t="shared" si="4"/>
        <v>4</v>
      </c>
      <c r="M16" s="15"/>
      <c r="N16" s="15"/>
      <c r="O16" s="15"/>
      <c r="P16" s="15">
        <v>0.6</v>
      </c>
      <c r="Q16" s="15">
        <f t="shared" si="13"/>
        <v>-1.2999999999999998</v>
      </c>
      <c r="R16" s="15">
        <f t="shared" si="14"/>
        <v>-9.9999999999999978E-2</v>
      </c>
      <c r="S16" s="15">
        <f t="shared" si="15"/>
        <v>0.86999999999999955</v>
      </c>
      <c r="T16" s="17"/>
      <c r="U16" s="17"/>
    </row>
    <row r="17" spans="1:21" s="15" customFormat="1">
      <c r="A17" s="19"/>
      <c r="B17" s="4" t="s">
        <v>73</v>
      </c>
      <c r="C17" s="4" t="s">
        <v>52</v>
      </c>
      <c r="D17" s="4" t="s">
        <v>53</v>
      </c>
      <c r="E17" s="4" t="s">
        <v>3</v>
      </c>
      <c r="F17" s="4" t="s">
        <v>56</v>
      </c>
      <c r="G17" s="4" t="s">
        <v>57</v>
      </c>
      <c r="H17" s="4" t="s">
        <v>64</v>
      </c>
      <c r="I17" s="4" t="s">
        <v>58</v>
      </c>
      <c r="J17" s="4" t="s">
        <v>62</v>
      </c>
      <c r="K17" s="4" t="s">
        <v>59</v>
      </c>
      <c r="L17" s="4" t="s">
        <v>63</v>
      </c>
      <c r="M17" s="4" t="s">
        <v>60</v>
      </c>
      <c r="N17" s="4" t="s">
        <v>61</v>
      </c>
      <c r="O17" s="4"/>
      <c r="P17" s="4" t="s">
        <v>65</v>
      </c>
      <c r="Q17" s="4" t="s">
        <v>71</v>
      </c>
      <c r="R17" s="4" t="s">
        <v>71</v>
      </c>
      <c r="S17" s="4" t="s">
        <v>66</v>
      </c>
      <c r="T17" s="17"/>
      <c r="U17" s="17"/>
    </row>
    <row r="18" spans="1:21">
      <c r="A18" s="19"/>
      <c r="B18">
        <v>1</v>
      </c>
      <c r="C18" s="8">
        <v>0.5</v>
      </c>
      <c r="D18" s="8">
        <v>0.5</v>
      </c>
      <c r="E18" s="7">
        <f>$B$2*C18+$B$3*D18+$B$4*C18*D18+$B$5*C18^2+$B$6*D18^2</f>
        <v>0.75</v>
      </c>
      <c r="F18" s="15">
        <f t="shared" ref="F18:F19" si="16">$B$2+$B$4*D18+2*$B$5*C18</f>
        <v>3</v>
      </c>
      <c r="G18" s="15">
        <f t="shared" ref="G18:G19" si="17">$B$3+$B$4*C18+2*$B$6*D18</f>
        <v>1</v>
      </c>
      <c r="H18" s="15">
        <f t="shared" ref="H18:H19" si="18">F18^2+G18^2</f>
        <v>10</v>
      </c>
      <c r="I18" s="15">
        <f t="shared" si="3"/>
        <v>2</v>
      </c>
      <c r="K18" s="15">
        <f t="shared" si="4"/>
        <v>4</v>
      </c>
      <c r="M18" s="15"/>
      <c r="N18" s="15"/>
      <c r="O18" s="15"/>
      <c r="P18" s="20">
        <v>0.29411764705882398</v>
      </c>
      <c r="Q18" s="15">
        <f t="shared" ref="Q18" si="19">C18-P18*F18</f>
        <v>-0.38235294117647189</v>
      </c>
      <c r="R18" s="15">
        <f t="shared" ref="R18" si="20">D18-P18*G18</f>
        <v>0.20588235294117602</v>
      </c>
      <c r="S18" s="15">
        <f>$B$2*Q18+$B$3*R18+$B$4*Q18*R18+$B$5*Q18^2+$B$6*R18^2</f>
        <v>-0.72058823529411764</v>
      </c>
      <c r="T18" s="17" t="s">
        <v>74</v>
      </c>
      <c r="U18" s="17"/>
    </row>
    <row r="19" spans="1:21">
      <c r="A19" s="19"/>
      <c r="B19">
        <v>2</v>
      </c>
      <c r="C19" s="8">
        <f>Q18</f>
        <v>-0.38235294117647189</v>
      </c>
      <c r="D19" s="8">
        <f>R18</f>
        <v>0.20588235294117602</v>
      </c>
      <c r="E19" s="7">
        <f t="shared" ref="E19" si="21">$B$2*C19+$B$3*D19+$B$4*C19*D19+$B$5*C19^2+$B$6*D19^2</f>
        <v>-0.72058823529411764</v>
      </c>
      <c r="F19" s="15">
        <f t="shared" si="16"/>
        <v>0.64705882352940813</v>
      </c>
      <c r="G19" s="15">
        <f t="shared" si="17"/>
        <v>-1.9411764705882397</v>
      </c>
      <c r="H19" s="15">
        <f t="shared" si="18"/>
        <v>4.1868512110726765</v>
      </c>
      <c r="I19" s="15">
        <f t="shared" si="3"/>
        <v>2</v>
      </c>
      <c r="K19" s="15">
        <f t="shared" si="4"/>
        <v>4</v>
      </c>
      <c r="M19" s="15"/>
      <c r="N19" s="15"/>
      <c r="O19" s="15"/>
      <c r="P19" s="20">
        <v>0.38461538461538503</v>
      </c>
      <c r="Q19" s="15">
        <f t="shared" ref="Q19" si="22">C19-P19*F19</f>
        <v>-0.63122171945701377</v>
      </c>
      <c r="R19" s="15">
        <f t="shared" ref="R19" si="23">D19-P19*G19</f>
        <v>0.95248868778280738</v>
      </c>
      <c r="S19" s="15">
        <f>$B$2*Q19+$B$3*R19+$B$4*Q19*R19+$B$5*Q19^2+$B$6*R19^2</f>
        <v>-1.5257519297311681</v>
      </c>
      <c r="T19" s="17"/>
      <c r="U19" s="17"/>
    </row>
    <row r="20" spans="1:21">
      <c r="A20" s="19"/>
      <c r="B20">
        <v>3</v>
      </c>
      <c r="C20" s="8">
        <f t="shared" ref="C20:C22" si="24">Q19</f>
        <v>-0.63122171945701377</v>
      </c>
      <c r="D20" s="8">
        <f t="shared" ref="D20:D22" si="25">R19</f>
        <v>0.95248868778280738</v>
      </c>
      <c r="E20" s="7">
        <f t="shared" ref="E20:E22" si="26">$B$2*C20+$B$3*D20+$B$4*C20*D20+$B$5*C20^2+$B$6*D20^2</f>
        <v>-1.5257519297311681</v>
      </c>
      <c r="F20" s="15">
        <f t="shared" ref="F20:F22" si="27">$B$2+$B$4*D20+2*$B$5*C20</f>
        <v>1.6425339366515872</v>
      </c>
      <c r="G20" s="15">
        <f t="shared" ref="G20:G22" si="28">$B$3+$B$4*C20+2*$B$6*D20</f>
        <v>0.54751131221720195</v>
      </c>
      <c r="H20" s="15">
        <f t="shared" ref="H20:H22" si="29">F20^2+G20^2</f>
        <v>2.9976863700579628</v>
      </c>
      <c r="I20" s="15">
        <f t="shared" si="3"/>
        <v>2</v>
      </c>
      <c r="K20" s="15">
        <f t="shared" si="4"/>
        <v>4</v>
      </c>
      <c r="M20" s="15"/>
      <c r="N20" s="15"/>
      <c r="O20" s="15"/>
      <c r="P20" s="20">
        <v>0.29411764705882354</v>
      </c>
      <c r="Q20" s="15">
        <f t="shared" ref="Q20:Q22" si="30">C20-P20*F20</f>
        <v>-1.1143199361192453</v>
      </c>
      <c r="R20" s="15">
        <f t="shared" ref="R20:R22" si="31">D20-P20*G20</f>
        <v>0.79145594889539506</v>
      </c>
      <c r="S20" s="15">
        <f t="shared" ref="S20:S22" si="32">$B$2*Q20+$B$3*R20+$B$4*Q20*R20+$B$5*Q20^2+$B$6*R20^2</f>
        <v>-1.9665881606220426</v>
      </c>
      <c r="T20" s="17"/>
      <c r="U20" s="17"/>
    </row>
    <row r="21" spans="1:21">
      <c r="A21" s="19"/>
      <c r="B21" s="15">
        <v>4</v>
      </c>
      <c r="C21" s="8">
        <f t="shared" si="24"/>
        <v>-1.1143199361192453</v>
      </c>
      <c r="D21" s="8">
        <f t="shared" si="25"/>
        <v>0.79145594889539506</v>
      </c>
      <c r="E21" s="7">
        <f t="shared" si="26"/>
        <v>-1.9665881606220426</v>
      </c>
      <c r="F21" s="15">
        <f t="shared" si="27"/>
        <v>0.35427202555229975</v>
      </c>
      <c r="G21" s="15">
        <f t="shared" si="28"/>
        <v>-1.0628160766569104</v>
      </c>
      <c r="H21" s="15">
        <f t="shared" si="29"/>
        <v>1.2550866808893169</v>
      </c>
      <c r="I21" s="15">
        <f t="shared" si="3"/>
        <v>2</v>
      </c>
      <c r="K21" s="15">
        <f t="shared" si="4"/>
        <v>4</v>
      </c>
      <c r="P21" s="20">
        <v>0.38461538461538486</v>
      </c>
      <c r="Q21" s="15">
        <f t="shared" si="30"/>
        <v>-1.2505784074855146</v>
      </c>
      <c r="R21" s="15">
        <f t="shared" si="31"/>
        <v>1.200231362994207</v>
      </c>
      <c r="S21" s="15">
        <f t="shared" si="32"/>
        <v>-2.2079509838699871</v>
      </c>
      <c r="T21" s="17"/>
      <c r="U21" s="17"/>
    </row>
    <row r="22" spans="1:21">
      <c r="A22" s="19"/>
      <c r="B22" s="15">
        <v>5</v>
      </c>
      <c r="C22" s="8">
        <f t="shared" si="24"/>
        <v>-1.2505784074855146</v>
      </c>
      <c r="D22" s="8">
        <f t="shared" si="25"/>
        <v>1.200231362994207</v>
      </c>
      <c r="E22" s="7">
        <f t="shared" si="26"/>
        <v>-2.2079509838699871</v>
      </c>
      <c r="F22" s="15">
        <f t="shared" si="27"/>
        <v>0.89930591101738466</v>
      </c>
      <c r="G22" s="15">
        <f t="shared" si="28"/>
        <v>0.29976863700579859</v>
      </c>
      <c r="H22" s="15">
        <f t="shared" si="29"/>
        <v>0.89861235732312239</v>
      </c>
      <c r="I22" s="15">
        <f t="shared" si="3"/>
        <v>2</v>
      </c>
      <c r="K22" s="15">
        <f t="shared" si="4"/>
        <v>4</v>
      </c>
      <c r="P22" s="20">
        <v>0.29411764705882354</v>
      </c>
      <c r="Q22" s="15">
        <f t="shared" si="30"/>
        <v>-1.5150801460200396</v>
      </c>
      <c r="R22" s="15">
        <f t="shared" si="31"/>
        <v>1.1120641168160308</v>
      </c>
      <c r="S22" s="15">
        <f t="shared" si="32"/>
        <v>-2.3400998599469154</v>
      </c>
      <c r="T22" s="17"/>
      <c r="U22" s="17"/>
    </row>
    <row r="23" spans="1:21">
      <c r="B23">
        <v>6</v>
      </c>
      <c r="C23" s="8">
        <f t="shared" ref="C23:C27" si="33">Q22</f>
        <v>-1.5150801460200396</v>
      </c>
      <c r="D23" s="8">
        <f t="shared" ref="D23:D27" si="34">R22</f>
        <v>1.1120641168160308</v>
      </c>
      <c r="E23" s="7">
        <f t="shared" ref="E23:E27" si="35">$B$2*C23+$B$3*D23+$B$4*C23*D23+$B$5*C23^2+$B$6*D23^2</f>
        <v>-2.3400998599469154</v>
      </c>
      <c r="F23" s="15">
        <f t="shared" ref="F23:F27" si="36">$B$2+$B$4*D23+2*$B$5*C23</f>
        <v>0.19396794159198238</v>
      </c>
      <c r="G23" s="15">
        <f t="shared" ref="G23:G27" si="37">$B$3+$B$4*C23+2*$B$6*D23</f>
        <v>-0.58190382477595648</v>
      </c>
      <c r="H23" s="15">
        <f t="shared" ref="H23:H27" si="38">F23^2+G23^2</f>
        <v>0.37623562365431773</v>
      </c>
      <c r="I23" s="15">
        <f t="shared" si="3"/>
        <v>2</v>
      </c>
      <c r="K23" s="15">
        <f t="shared" si="4"/>
        <v>4</v>
      </c>
      <c r="P23" s="20">
        <v>0.38461538461538486</v>
      </c>
      <c r="Q23" s="15">
        <f t="shared" ref="Q23:Q27" si="39">C23-P23*F23</f>
        <v>-1.5896832004784944</v>
      </c>
      <c r="R23" s="15">
        <f t="shared" ref="R23:R27" si="40">D23-P23*G23</f>
        <v>1.3358732801913988</v>
      </c>
      <c r="S23" s="15">
        <f t="shared" ref="S23:S27" si="41">$B$2*Q23+$B$3*R23+$B$4*Q23*R23+$B$5*Q23^2+$B$6*R23^2</f>
        <v>-2.412452864495823</v>
      </c>
      <c r="T23" s="17"/>
      <c r="U23" s="17"/>
    </row>
    <row r="24" spans="1:21">
      <c r="B24">
        <v>7</v>
      </c>
      <c r="C24" s="8">
        <f t="shared" si="33"/>
        <v>-1.5896832004784944</v>
      </c>
      <c r="D24" s="8">
        <f t="shared" si="34"/>
        <v>1.3358732801913988</v>
      </c>
      <c r="E24" s="7">
        <f t="shared" si="35"/>
        <v>-2.412452864495823</v>
      </c>
      <c r="F24" s="15">
        <f t="shared" si="36"/>
        <v>0.49238015942580882</v>
      </c>
      <c r="G24" s="15">
        <f t="shared" si="37"/>
        <v>0.16412671980860694</v>
      </c>
      <c r="H24" s="15">
        <f t="shared" si="38"/>
        <v>0.26937580155131785</v>
      </c>
      <c r="I24" s="15">
        <f t="shared" si="3"/>
        <v>2</v>
      </c>
      <c r="K24" s="15">
        <f t="shared" si="4"/>
        <v>4</v>
      </c>
      <c r="P24" s="20">
        <v>0.29411764705882354</v>
      </c>
      <c r="Q24" s="15">
        <f t="shared" si="39"/>
        <v>-1.7345008944272617</v>
      </c>
      <c r="R24" s="15">
        <f t="shared" si="40"/>
        <v>1.2876007155418085</v>
      </c>
      <c r="S24" s="15">
        <f t="shared" si="41"/>
        <v>-2.4520669529592518</v>
      </c>
      <c r="T24" s="17"/>
      <c r="U24" s="17"/>
    </row>
    <row r="25" spans="1:21">
      <c r="B25">
        <v>8</v>
      </c>
      <c r="C25" s="8">
        <f t="shared" si="33"/>
        <v>-1.7345008944272617</v>
      </c>
      <c r="D25" s="8">
        <f t="shared" si="34"/>
        <v>1.2876007155418085</v>
      </c>
      <c r="E25" s="7">
        <f t="shared" si="35"/>
        <v>-2.4520669529592518</v>
      </c>
      <c r="F25" s="15">
        <f t="shared" si="36"/>
        <v>0.10619964222909362</v>
      </c>
      <c r="G25" s="15">
        <f t="shared" si="37"/>
        <v>-0.31859892668728929</v>
      </c>
      <c r="H25" s="15">
        <f t="shared" si="38"/>
        <v>0.11278364009588021</v>
      </c>
      <c r="I25" s="15">
        <f t="shared" si="3"/>
        <v>2</v>
      </c>
      <c r="K25" s="15">
        <f t="shared" si="4"/>
        <v>4</v>
      </c>
      <c r="P25" s="20">
        <v>0.38461538461538486</v>
      </c>
      <c r="Q25" s="15">
        <f t="shared" si="39"/>
        <v>-1.7753469106692208</v>
      </c>
      <c r="R25" s="15">
        <f t="shared" si="40"/>
        <v>1.410138764267689</v>
      </c>
      <c r="S25" s="15">
        <f t="shared" si="41"/>
        <v>-2.4737561145161511</v>
      </c>
      <c r="T25" s="17"/>
      <c r="U25" s="17"/>
    </row>
    <row r="26" spans="1:21">
      <c r="B26">
        <v>9</v>
      </c>
      <c r="C26" s="8">
        <f t="shared" si="33"/>
        <v>-1.7753469106692208</v>
      </c>
      <c r="D26" s="8">
        <f t="shared" si="34"/>
        <v>1.410138764267689</v>
      </c>
      <c r="E26" s="7">
        <f t="shared" si="35"/>
        <v>-2.4737561145161511</v>
      </c>
      <c r="F26" s="15">
        <f t="shared" si="36"/>
        <v>0.26958370719693647</v>
      </c>
      <c r="G26" s="15">
        <f t="shared" si="37"/>
        <v>8.9861235732314526E-2</v>
      </c>
      <c r="H26" s="15">
        <f t="shared" si="38"/>
        <v>8.0750416873382191E-2</v>
      </c>
      <c r="I26" s="15">
        <f t="shared" si="3"/>
        <v>2</v>
      </c>
      <c r="K26" s="15">
        <f t="shared" si="4"/>
        <v>4</v>
      </c>
      <c r="P26" s="20">
        <v>0.29411764705882354</v>
      </c>
      <c r="Q26" s="15">
        <f t="shared" si="39"/>
        <v>-1.8546362363153786</v>
      </c>
      <c r="R26" s="15">
        <f t="shared" si="40"/>
        <v>1.3837089890523024</v>
      </c>
      <c r="S26" s="15">
        <f t="shared" si="41"/>
        <v>-2.4856311758210605</v>
      </c>
      <c r="T26" s="17"/>
      <c r="U26" s="17"/>
    </row>
    <row r="27" spans="1:21">
      <c r="B27">
        <v>10</v>
      </c>
      <c r="C27" s="8">
        <f t="shared" si="33"/>
        <v>-1.8546362363153786</v>
      </c>
      <c r="D27" s="8">
        <f t="shared" si="34"/>
        <v>1.3837089890523024</v>
      </c>
      <c r="E27" s="7">
        <f t="shared" si="35"/>
        <v>-2.4856311758210605</v>
      </c>
      <c r="F27" s="15">
        <f t="shared" si="36"/>
        <v>5.8145505473847781E-2</v>
      </c>
      <c r="G27" s="15">
        <f t="shared" si="37"/>
        <v>-0.17443651642154734</v>
      </c>
      <c r="H27" s="15">
        <f t="shared" si="38"/>
        <v>3.3808998068094016E-2</v>
      </c>
      <c r="I27" s="15">
        <f t="shared" si="3"/>
        <v>2</v>
      </c>
      <c r="K27" s="15">
        <f t="shared" si="4"/>
        <v>4</v>
      </c>
      <c r="P27" s="20">
        <v>0.38461538461538486</v>
      </c>
      <c r="Q27" s="15">
        <f t="shared" si="39"/>
        <v>-1.8769998922668585</v>
      </c>
      <c r="R27" s="15">
        <f t="shared" si="40"/>
        <v>1.4507999569067438</v>
      </c>
      <c r="S27" s="15">
        <f t="shared" si="41"/>
        <v>-2.49213290621877</v>
      </c>
      <c r="T27" s="17"/>
      <c r="U27" s="17"/>
    </row>
    <row r="28" spans="1:21">
      <c r="B28" s="15">
        <v>11</v>
      </c>
      <c r="C28" s="8">
        <f t="shared" ref="C28:C33" si="42">Q27</f>
        <v>-1.8769998922668585</v>
      </c>
      <c r="D28" s="8">
        <f t="shared" ref="D28:D33" si="43">R27</f>
        <v>1.4507999569067438</v>
      </c>
      <c r="E28" s="7">
        <f t="shared" ref="E28:E33" si="44">$B$2*C28+$B$3*D28+$B$4*C28*D28+$B$5*C28^2+$B$6*D28^2</f>
        <v>-2.49213290621877</v>
      </c>
      <c r="F28" s="15">
        <f t="shared" ref="F28:F33" si="45">$B$2+$B$4*D28+2*$B$5*C28</f>
        <v>0.14760012927977062</v>
      </c>
      <c r="G28" s="15">
        <f t="shared" ref="G28:G33" si="46">$B$3+$B$4*C28+2*$B$6*D28</f>
        <v>4.920004309325865E-2</v>
      </c>
      <c r="H28" s="15">
        <f t="shared" ref="H28:H33" si="47">F28^2+G28^2</f>
        <v>2.4206442403783508E-2</v>
      </c>
      <c r="I28" s="15">
        <f t="shared" si="3"/>
        <v>2</v>
      </c>
      <c r="K28" s="15">
        <f t="shared" si="4"/>
        <v>4</v>
      </c>
      <c r="M28" s="15"/>
      <c r="N28" s="15"/>
      <c r="O28" s="15"/>
      <c r="P28" s="20">
        <v>0.29411764705882354</v>
      </c>
      <c r="Q28" s="15">
        <f t="shared" ref="Q28:Q33" si="48">C28-P28*F28</f>
        <v>-1.9204116949962027</v>
      </c>
      <c r="R28" s="15">
        <f t="shared" ref="R28:R33" si="49">D28-P28*G28</f>
        <v>1.4363293559969619</v>
      </c>
      <c r="S28" s="15">
        <f t="shared" ref="S28:S33" si="50">$B$2*Q28+$B$3*R28+$B$4*Q28*R28+$B$5*Q28^2+$B$6*R28^2</f>
        <v>-2.4956926771605019</v>
      </c>
      <c r="T28" s="17"/>
      <c r="U28" s="17"/>
    </row>
    <row r="29" spans="1:21">
      <c r="B29" s="15">
        <v>12</v>
      </c>
      <c r="C29" s="8">
        <f t="shared" si="42"/>
        <v>-1.9204116949962027</v>
      </c>
      <c r="D29" s="8">
        <f t="shared" si="43"/>
        <v>1.4363293559969619</v>
      </c>
      <c r="E29" s="7">
        <f t="shared" si="44"/>
        <v>-2.4956926771605019</v>
      </c>
      <c r="F29" s="15">
        <f t="shared" si="45"/>
        <v>3.1835322001518396E-2</v>
      </c>
      <c r="G29" s="15">
        <f t="shared" si="46"/>
        <v>-9.5505966004557408E-2</v>
      </c>
      <c r="H29" s="15">
        <f t="shared" si="47"/>
        <v>1.0134877269404036E-2</v>
      </c>
      <c r="I29" s="15">
        <f t="shared" si="3"/>
        <v>2</v>
      </c>
      <c r="K29" s="15">
        <f t="shared" si="4"/>
        <v>4</v>
      </c>
      <c r="M29" s="15"/>
      <c r="N29" s="15"/>
      <c r="O29" s="15"/>
      <c r="P29" s="20">
        <v>0.38461538461538486</v>
      </c>
      <c r="Q29" s="15">
        <f t="shared" si="48"/>
        <v>-1.9326560496121714</v>
      </c>
      <c r="R29" s="15">
        <f t="shared" si="49"/>
        <v>1.4730624198448685</v>
      </c>
      <c r="S29" s="15">
        <f t="shared" si="50"/>
        <v>-2.4976416920200055</v>
      </c>
      <c r="T29" s="17"/>
      <c r="U29" s="17"/>
    </row>
    <row r="30" spans="1:21">
      <c r="B30" s="15">
        <v>13</v>
      </c>
      <c r="C30" s="8">
        <f t="shared" si="42"/>
        <v>-1.9326560496121714</v>
      </c>
      <c r="D30" s="8">
        <f t="shared" si="43"/>
        <v>1.4730624198448685</v>
      </c>
      <c r="E30" s="7">
        <f t="shared" si="44"/>
        <v>-2.4976416920200055</v>
      </c>
      <c r="F30" s="15">
        <f t="shared" si="45"/>
        <v>8.0812740465394217E-2</v>
      </c>
      <c r="G30" s="15">
        <f t="shared" si="46"/>
        <v>2.6937580155131258E-2</v>
      </c>
      <c r="H30" s="15">
        <f t="shared" si="47"/>
        <v>7.2563322461412852E-3</v>
      </c>
      <c r="I30" s="15">
        <f t="shared" si="3"/>
        <v>2</v>
      </c>
      <c r="K30" s="15">
        <f t="shared" si="4"/>
        <v>4</v>
      </c>
      <c r="M30" s="15"/>
      <c r="N30" s="15"/>
      <c r="O30" s="15"/>
      <c r="P30" s="20">
        <v>0.29411764705882354</v>
      </c>
      <c r="Q30" s="15">
        <f t="shared" si="48"/>
        <v>-1.9564245026902285</v>
      </c>
      <c r="R30" s="15">
        <f t="shared" si="49"/>
        <v>1.4651396021521828</v>
      </c>
      <c r="S30" s="15">
        <f t="shared" si="50"/>
        <v>-2.4987087997032598</v>
      </c>
      <c r="T30" s="17"/>
      <c r="U30" s="17"/>
    </row>
    <row r="31" spans="1:21">
      <c r="B31" s="15">
        <v>14</v>
      </c>
      <c r="C31" s="8">
        <f t="shared" si="42"/>
        <v>-1.9564245026902285</v>
      </c>
      <c r="D31" s="8">
        <f t="shared" si="43"/>
        <v>1.4651396021521828</v>
      </c>
      <c r="E31" s="7">
        <f t="shared" si="44"/>
        <v>-2.4987087997032598</v>
      </c>
      <c r="F31" s="15">
        <f t="shared" si="45"/>
        <v>1.7430198923908513E-2</v>
      </c>
      <c r="G31" s="15">
        <f t="shared" si="46"/>
        <v>-5.2290596771725539E-2</v>
      </c>
      <c r="H31" s="15">
        <f t="shared" si="47"/>
        <v>3.038118345270215E-3</v>
      </c>
      <c r="I31" s="15">
        <f t="shared" si="3"/>
        <v>2</v>
      </c>
      <c r="K31" s="15">
        <f t="shared" si="4"/>
        <v>4</v>
      </c>
      <c r="M31" s="15"/>
      <c r="N31" s="15"/>
      <c r="O31" s="15"/>
      <c r="P31" s="20">
        <v>0.38461538461538486</v>
      </c>
      <c r="Q31" s="15">
        <f t="shared" si="48"/>
        <v>-1.9631284253532701</v>
      </c>
      <c r="R31" s="15">
        <f t="shared" si="49"/>
        <v>1.4852513701413079</v>
      </c>
      <c r="S31" s="15">
        <f t="shared" si="50"/>
        <v>-2.4992930532311979</v>
      </c>
    </row>
    <row r="32" spans="1:21">
      <c r="B32" s="15">
        <v>15</v>
      </c>
      <c r="C32" s="8">
        <f t="shared" si="42"/>
        <v>-1.9631284253532701</v>
      </c>
      <c r="D32" s="8">
        <f t="shared" si="43"/>
        <v>1.4852513701413079</v>
      </c>
      <c r="E32" s="7">
        <f t="shared" si="44"/>
        <v>-2.4992930532311979</v>
      </c>
      <c r="F32" s="15">
        <f t="shared" si="45"/>
        <v>4.4245889576075559E-2</v>
      </c>
      <c r="G32" s="15">
        <f t="shared" si="46"/>
        <v>1.4748629858691409E-2</v>
      </c>
      <c r="H32" s="15">
        <f t="shared" si="47"/>
        <v>2.1752208270869552E-3</v>
      </c>
      <c r="I32" s="15">
        <f t="shared" si="3"/>
        <v>2</v>
      </c>
      <c r="K32" s="15">
        <f t="shared" si="4"/>
        <v>4</v>
      </c>
      <c r="M32" s="15"/>
      <c r="N32" s="15"/>
      <c r="O32" s="15"/>
      <c r="P32" s="20">
        <v>0.29411764705882354</v>
      </c>
      <c r="Q32" s="15">
        <f t="shared" si="48"/>
        <v>-1.9761419222874099</v>
      </c>
      <c r="R32" s="15">
        <f t="shared" si="49"/>
        <v>1.4809135378299281</v>
      </c>
      <c r="S32" s="15">
        <f t="shared" si="50"/>
        <v>-2.4996129386469441</v>
      </c>
    </row>
    <row r="33" spans="1:20">
      <c r="B33" s="15">
        <v>16</v>
      </c>
      <c r="C33" s="8">
        <f t="shared" si="42"/>
        <v>-1.9761419222874099</v>
      </c>
      <c r="D33" s="8">
        <f t="shared" si="43"/>
        <v>1.4809135378299281</v>
      </c>
      <c r="E33" s="7">
        <f t="shared" si="44"/>
        <v>-2.4996129386469441</v>
      </c>
      <c r="F33" s="15">
        <f t="shared" si="45"/>
        <v>9.5432310850362967E-3</v>
      </c>
      <c r="G33" s="15">
        <f t="shared" si="46"/>
        <v>-2.8629693255108002E-2</v>
      </c>
      <c r="H33" s="15">
        <f t="shared" si="47"/>
        <v>9.1073259542397969E-4</v>
      </c>
      <c r="I33" s="15">
        <f t="shared" si="3"/>
        <v>2</v>
      </c>
      <c r="K33" s="15">
        <f t="shared" si="4"/>
        <v>4</v>
      </c>
      <c r="M33" s="15"/>
      <c r="N33" s="15"/>
      <c r="O33" s="15"/>
      <c r="P33" s="20">
        <v>0.38461538461538486</v>
      </c>
      <c r="Q33" s="15">
        <f t="shared" si="48"/>
        <v>-1.9798123957816547</v>
      </c>
      <c r="R33" s="15">
        <f t="shared" si="49"/>
        <v>1.4919249583126619</v>
      </c>
      <c r="S33" s="15">
        <f t="shared" si="50"/>
        <v>-2.4997880795306813</v>
      </c>
    </row>
    <row r="34" spans="1:20">
      <c r="B34" s="15">
        <v>17</v>
      </c>
      <c r="C34" s="8">
        <f t="shared" ref="C34:C36" si="51">Q33</f>
        <v>-1.9798123957816547</v>
      </c>
      <c r="D34" s="8">
        <f t="shared" ref="D34:D36" si="52">R33</f>
        <v>1.4919249583126619</v>
      </c>
      <c r="E34" s="7">
        <f t="shared" ref="E34:E36" si="53">$B$2*C34+$B$3*D34+$B$4*C34*D34+$B$5*C34^2+$B$6*D34^2</f>
        <v>-2.4997880795306813</v>
      </c>
      <c r="F34" s="15">
        <f t="shared" ref="F34:F36" si="54">$B$2+$B$4*D34+2*$B$5*C34</f>
        <v>2.4225125062014463E-2</v>
      </c>
      <c r="G34" s="15">
        <f t="shared" ref="G34:G36" si="55">$B$3+$B$4*C34+2*$B$6*D34</f>
        <v>8.0750416873387465E-3</v>
      </c>
      <c r="H34" s="15">
        <f t="shared" ref="H34:H36" si="56">F34^2+G34^2</f>
        <v>6.5206298252249979E-4</v>
      </c>
      <c r="I34" s="15">
        <f t="shared" si="3"/>
        <v>2</v>
      </c>
      <c r="K34" s="15">
        <f t="shared" si="4"/>
        <v>4</v>
      </c>
      <c r="M34" s="15"/>
      <c r="N34" s="15"/>
      <c r="O34" s="15"/>
      <c r="P34" s="20">
        <v>0.29411764705882354</v>
      </c>
      <c r="Q34" s="15">
        <f t="shared" ref="Q34:Q36" si="57">C34-P34*F34</f>
        <v>-1.9869374325646001</v>
      </c>
      <c r="R34" s="15">
        <f t="shared" ref="R34:R36" si="58">D34-P34*G34</f>
        <v>1.4895499460516799</v>
      </c>
      <c r="S34" s="15">
        <f t="shared" ref="S34:S36" si="59">$B$2*Q34+$B$3*R34+$B$4*Q34*R34+$B$5*Q34^2+$B$6*R34^2</f>
        <v>-2.4998839711457563</v>
      </c>
    </row>
    <row r="35" spans="1:20">
      <c r="B35" s="15">
        <v>18</v>
      </c>
      <c r="C35" s="8">
        <f t="shared" si="51"/>
        <v>-1.9869374325646001</v>
      </c>
      <c r="D35" s="8">
        <f t="shared" si="52"/>
        <v>1.4895499460516799</v>
      </c>
      <c r="E35" s="7">
        <f t="shared" si="53"/>
        <v>-2.4998839711457563</v>
      </c>
      <c r="F35" s="15">
        <f t="shared" si="54"/>
        <v>5.2250269741596078E-3</v>
      </c>
      <c r="G35" s="15">
        <f t="shared" si="55"/>
        <v>-1.5675080922481044E-2</v>
      </c>
      <c r="H35" s="15">
        <f t="shared" si="56"/>
        <v>2.730090688070247E-4</v>
      </c>
      <c r="I35" s="15">
        <f t="shared" si="3"/>
        <v>2</v>
      </c>
      <c r="K35" s="15">
        <f t="shared" si="4"/>
        <v>4</v>
      </c>
      <c r="M35" s="15"/>
      <c r="N35" s="15"/>
      <c r="O35" s="15"/>
      <c r="P35" s="20">
        <v>0.38461538461538486</v>
      </c>
      <c r="Q35" s="15">
        <f t="shared" si="57"/>
        <v>-1.9889470583238922</v>
      </c>
      <c r="R35" s="15">
        <f t="shared" si="58"/>
        <v>1.4955788233295573</v>
      </c>
      <c r="S35" s="15">
        <f t="shared" si="59"/>
        <v>-2.4999364728897584</v>
      </c>
    </row>
    <row r="36" spans="1:20">
      <c r="B36" s="15">
        <v>19</v>
      </c>
      <c r="C36" s="8">
        <f t="shared" si="51"/>
        <v>-1.9889470583238922</v>
      </c>
      <c r="D36" s="8">
        <f t="shared" si="52"/>
        <v>1.4955788233295573</v>
      </c>
      <c r="E36" s="7">
        <f t="shared" si="53"/>
        <v>-2.4999364728897584</v>
      </c>
      <c r="F36" s="15">
        <f t="shared" si="54"/>
        <v>1.3263530011330182E-2</v>
      </c>
      <c r="G36" s="15">
        <f t="shared" si="55"/>
        <v>4.4211766704451705E-3</v>
      </c>
      <c r="H36" s="15">
        <f t="shared" si="56"/>
        <v>1.9546803151274507E-4</v>
      </c>
      <c r="I36" s="15">
        <f t="shared" si="3"/>
        <v>2</v>
      </c>
      <c r="K36" s="15">
        <f t="shared" si="4"/>
        <v>4</v>
      </c>
      <c r="M36" s="15"/>
      <c r="N36" s="15"/>
      <c r="O36" s="15"/>
      <c r="P36" s="20">
        <v>0.29411764705882354</v>
      </c>
      <c r="Q36" s="15">
        <f t="shared" si="57"/>
        <v>-1.9928480965625186</v>
      </c>
      <c r="R36" s="15">
        <f t="shared" si="58"/>
        <v>1.4942784772500146</v>
      </c>
      <c r="S36" s="15">
        <f t="shared" si="59"/>
        <v>-2.4999652181885095</v>
      </c>
    </row>
    <row r="37" spans="1:20">
      <c r="B37">
        <v>20</v>
      </c>
      <c r="C37" s="8">
        <f t="shared" ref="C37" si="60">Q36</f>
        <v>-1.9928480965625186</v>
      </c>
      <c r="D37" s="8">
        <f t="shared" ref="D37" si="61">R36</f>
        <v>1.4942784772500146</v>
      </c>
      <c r="E37" s="7">
        <f t="shared" ref="E37" si="62">$B$2*C37+$B$3*D37+$B$4*C37*D37+$B$5*C37^2+$B$6*D37^2</f>
        <v>-2.4999652181885095</v>
      </c>
      <c r="F37" s="15">
        <f t="shared" ref="F37" si="63">$B$2+$B$4*D37+2*$B$5*C37</f>
        <v>2.8607613749920269E-3</v>
      </c>
      <c r="G37" s="15">
        <f t="shared" ref="G37" si="64">$B$3+$B$4*C37+2*$B$6*D37</f>
        <v>-8.5822841249783011E-3</v>
      </c>
      <c r="H37" s="15">
        <f t="shared" ref="H37" si="65">F37^2+G37^2</f>
        <v>8.1839556446500843E-5</v>
      </c>
      <c r="I37" s="15">
        <f t="shared" si="3"/>
        <v>2</v>
      </c>
      <c r="K37" s="15">
        <f t="shared" si="4"/>
        <v>4</v>
      </c>
      <c r="M37" s="15"/>
      <c r="N37" s="15"/>
      <c r="O37" s="15"/>
      <c r="P37" s="20">
        <v>0.38461538461538486</v>
      </c>
      <c r="Q37" s="15">
        <f t="shared" ref="Q37" si="66">C37-P37*F37</f>
        <v>-1.9939483893990539</v>
      </c>
      <c r="R37" s="15">
        <f t="shared" ref="R37" si="67">D37-P37*G37</f>
        <v>1.4975793557596218</v>
      </c>
      <c r="S37" s="15">
        <f t="shared" ref="S37" si="68">$B$2*Q37+$B$3*R37+$B$4*Q37*R37+$B$5*Q37^2+$B$6*R37^2</f>
        <v>-2.4999809565647491</v>
      </c>
    </row>
    <row r="39" spans="1:20">
      <c r="A39" s="1" t="s">
        <v>75</v>
      </c>
      <c r="B39" s="4" t="s">
        <v>73</v>
      </c>
      <c r="C39" s="4" t="s">
        <v>52</v>
      </c>
      <c r="D39" s="4" t="s">
        <v>53</v>
      </c>
      <c r="E39" s="4" t="s">
        <v>3</v>
      </c>
      <c r="F39" s="4" t="s">
        <v>56</v>
      </c>
      <c r="G39" s="4" t="s">
        <v>57</v>
      </c>
      <c r="H39" s="4" t="s">
        <v>64</v>
      </c>
      <c r="I39" s="4" t="s">
        <v>58</v>
      </c>
      <c r="J39" s="4" t="s">
        <v>62</v>
      </c>
      <c r="K39" s="4" t="s">
        <v>59</v>
      </c>
      <c r="L39" s="4" t="s">
        <v>63</v>
      </c>
      <c r="M39" s="4" t="s">
        <v>60</v>
      </c>
      <c r="N39" s="4" t="s">
        <v>61</v>
      </c>
      <c r="O39" s="4"/>
      <c r="P39" s="4" t="s">
        <v>65</v>
      </c>
      <c r="Q39" s="4" t="s">
        <v>71</v>
      </c>
      <c r="R39" s="4" t="s">
        <v>71</v>
      </c>
      <c r="S39" s="4" t="s">
        <v>66</v>
      </c>
    </row>
    <row r="40" spans="1:20">
      <c r="B40" s="15">
        <v>1</v>
      </c>
      <c r="C40" s="8">
        <v>0.5</v>
      </c>
      <c r="D40" s="8">
        <v>0.5</v>
      </c>
      <c r="E40" s="7">
        <f>$B$2*C40+$B$3*D40+$B$4*C40*D40+$B$5*C40^2+$B$6*D40^2</f>
        <v>0.75</v>
      </c>
      <c r="F40" s="15">
        <f t="shared" ref="F40:F41" si="69">$B$2+$B$4*D40+2*$B$5*C40</f>
        <v>3</v>
      </c>
      <c r="G40" s="15">
        <f t="shared" ref="G40:G41" si="70">$B$3+$B$4*C40+2*$B$6*D40</f>
        <v>1</v>
      </c>
      <c r="H40" s="15">
        <f>F40^2+G40^2</f>
        <v>10</v>
      </c>
      <c r="I40" s="15">
        <f t="shared" ref="I40:I59" si="71">2*$B$5</f>
        <v>2</v>
      </c>
      <c r="K40" s="15">
        <f t="shared" ref="K40:K59" si="72">2*$B$6</f>
        <v>4</v>
      </c>
      <c r="M40" s="15">
        <f>-F40</f>
        <v>-3</v>
      </c>
      <c r="N40" s="15">
        <f>-G40</f>
        <v>-1</v>
      </c>
      <c r="O40" s="15"/>
      <c r="P40" s="20">
        <v>0.29411764705882354</v>
      </c>
      <c r="Q40" s="15">
        <f>C40-P40*F40</f>
        <v>-0.38235294117647056</v>
      </c>
      <c r="R40" s="15">
        <f t="shared" ref="R40" si="73">D40-P40*G40</f>
        <v>0.20588235294117646</v>
      </c>
      <c r="S40" s="15">
        <f t="shared" ref="S40" si="74">$B$2*Q40+$B$3*R40+$B$4*Q40*R40+$B$5*Q40^2+$B$6*R40^2</f>
        <v>-0.72058823529411764</v>
      </c>
    </row>
    <row r="41" spans="1:20">
      <c r="B41" s="15">
        <v>2</v>
      </c>
      <c r="C41" s="8">
        <f>Q40</f>
        <v>-0.38235294117647056</v>
      </c>
      <c r="D41" s="8">
        <f>R40</f>
        <v>0.20588235294117646</v>
      </c>
      <c r="E41" s="7">
        <f t="shared" ref="E41" si="75">$B$2*C41+$B$3*D41+$B$4*C41*D41+$B$5*C41^2+$B$6*D41^2</f>
        <v>-0.72058823529411764</v>
      </c>
      <c r="F41" s="15">
        <f t="shared" si="69"/>
        <v>0.64705882352941169</v>
      </c>
      <c r="G41" s="15">
        <f t="shared" si="70"/>
        <v>-1.9411764705882353</v>
      </c>
      <c r="H41" s="15">
        <f t="shared" ref="H41" si="76">F41^2+G41^2</f>
        <v>4.1868512110726641</v>
      </c>
      <c r="I41" s="15">
        <f t="shared" si="71"/>
        <v>2</v>
      </c>
      <c r="K41" s="15">
        <f t="shared" si="72"/>
        <v>4</v>
      </c>
      <c r="M41">
        <f>-F41+(ABS(H41)^2)/(ABS(H40)^2)*M40</f>
        <v>-1.1729505154392306</v>
      </c>
      <c r="N41" s="15">
        <f>-G41+(ABS(H41)^2)/(ABS(H40)^2)*N40</f>
        <v>1.765879239951629</v>
      </c>
      <c r="P41" s="20">
        <v>0.60331111194513309</v>
      </c>
      <c r="Q41" s="15">
        <f>C41+P41*M41</f>
        <v>-1.0900070209027297</v>
      </c>
      <c r="R41" s="15">
        <f>D41+P41*N41</f>
        <v>1.2712569207572202</v>
      </c>
      <c r="S41" s="15">
        <f>$B$2*Q41+$B$3*R41+$B$4*Q41*R41+$B$5*Q41^2+$B$6*R41^2</f>
        <v>-1.9835751776467792</v>
      </c>
      <c r="T41" t="s">
        <v>77</v>
      </c>
    </row>
    <row r="42" spans="1:20">
      <c r="B42" s="15">
        <v>3</v>
      </c>
      <c r="C42" s="8">
        <f>Q41</f>
        <v>-1.0900070209027297</v>
      </c>
      <c r="D42" s="8">
        <f t="shared" ref="D42:D50" si="77">R41</f>
        <v>1.2712569207572202</v>
      </c>
      <c r="E42" s="7">
        <f t="shared" ref="E42:E50" si="78">$B$2*C42+$B$3*D42+$B$4*C42*D42+$B$5*C42^2+$B$6*D42^2</f>
        <v>-1.9835751776467792</v>
      </c>
      <c r="F42" s="15">
        <f t="shared" ref="F42:F50" si="79">$B$2+$B$4*D42+2*$B$5*C42</f>
        <v>1.3624997997089809</v>
      </c>
      <c r="G42" s="15">
        <f t="shared" ref="G42:G50" si="80">$B$3+$B$4*C42+2*$B$6*D42</f>
        <v>0.90501364122342132</v>
      </c>
      <c r="H42" s="15">
        <f t="shared" ref="H42:H50" si="81">F42^2+G42^2</f>
        <v>2.6754553950074889</v>
      </c>
      <c r="I42" s="15">
        <f t="shared" si="71"/>
        <v>2</v>
      </c>
      <c r="K42" s="15">
        <f t="shared" si="72"/>
        <v>4</v>
      </c>
      <c r="M42" s="15">
        <f t="shared" ref="M42:M59" si="82">-F42+(ABS(H42)^2)/(ABS(H41)^2)*M41</f>
        <v>-1.8414607039045383</v>
      </c>
      <c r="N42" s="15">
        <f t="shared" ref="N42:N59" si="83">-G42+(ABS(H42)^2)/(ABS(H41)^2)*N41</f>
        <v>-0.18393708570421696</v>
      </c>
      <c r="O42" s="15"/>
      <c r="P42" s="20">
        <v>0.32342972772715034</v>
      </c>
      <c r="Q42" s="15">
        <f t="shared" ref="Q42:Q50" si="84">C42+P42*M42</f>
        <v>-1.6855901549868211</v>
      </c>
      <c r="R42" s="15">
        <f t="shared" ref="R42:R50" si="85">D42+P42*N42</f>
        <v>1.2117661992089799</v>
      </c>
      <c r="S42" s="15">
        <f t="shared" ref="S42:S50" si="86">$B$2*Q42+$B$3*R42+$B$4*Q42*R42+$B$5*Q42^2+$B$6*R42^2</f>
        <v>-2.4162360907904437</v>
      </c>
    </row>
    <row r="43" spans="1:20">
      <c r="B43" s="15">
        <v>4</v>
      </c>
      <c r="C43" s="8">
        <f t="shared" ref="C43:C50" si="87">Q42</f>
        <v>-1.6855901549868211</v>
      </c>
      <c r="D43" s="8">
        <f t="shared" si="77"/>
        <v>1.2117661992089799</v>
      </c>
      <c r="E43" s="7">
        <f t="shared" si="78"/>
        <v>-2.4162360907904437</v>
      </c>
      <c r="F43" s="15">
        <f t="shared" si="79"/>
        <v>5.2352088444317602E-2</v>
      </c>
      <c r="G43" s="15">
        <f t="shared" si="80"/>
        <v>-0.52411551313772264</v>
      </c>
      <c r="H43" s="15">
        <f t="shared" si="81"/>
        <v>0.27743781227609998</v>
      </c>
      <c r="I43" s="15">
        <f t="shared" si="71"/>
        <v>2</v>
      </c>
      <c r="K43" s="15">
        <f t="shared" si="72"/>
        <v>4</v>
      </c>
      <c r="M43" s="15">
        <f t="shared" si="82"/>
        <v>-7.2153599304965316E-2</v>
      </c>
      <c r="N43" s="15">
        <f t="shared" si="83"/>
        <v>0.52213760929620967</v>
      </c>
      <c r="O43" s="15"/>
      <c r="P43" s="20">
        <v>0.29197016223648109</v>
      </c>
      <c r="Q43" s="15">
        <f t="shared" si="84"/>
        <v>-1.7066568530818378</v>
      </c>
      <c r="R43" s="15">
        <f t="shared" si="85"/>
        <v>1.3642148017049627</v>
      </c>
      <c r="S43" s="15">
        <f t="shared" si="86"/>
        <v>-2.4567378727496521</v>
      </c>
    </row>
    <row r="44" spans="1:20">
      <c r="B44" s="15">
        <v>5</v>
      </c>
      <c r="C44" s="8">
        <f t="shared" si="87"/>
        <v>-1.7066568530818378</v>
      </c>
      <c r="D44" s="8">
        <f t="shared" si="77"/>
        <v>1.3642148017049627</v>
      </c>
      <c r="E44" s="7">
        <f t="shared" si="78"/>
        <v>-2.4567378727496521</v>
      </c>
      <c r="F44" s="15">
        <f t="shared" si="79"/>
        <v>0.31511589724624978</v>
      </c>
      <c r="G44" s="15">
        <f t="shared" si="80"/>
        <v>4.3545500656175129E-2</v>
      </c>
      <c r="H44" s="15">
        <f t="shared" si="81"/>
        <v>0.101194239324706</v>
      </c>
      <c r="I44" s="15">
        <f t="shared" si="71"/>
        <v>2</v>
      </c>
      <c r="K44" s="15">
        <f t="shared" si="72"/>
        <v>4</v>
      </c>
      <c r="M44" s="15">
        <f t="shared" si="82"/>
        <v>-0.3247151688135434</v>
      </c>
      <c r="N44" s="15">
        <f t="shared" si="83"/>
        <v>2.5919373659344283E-2</v>
      </c>
      <c r="O44" s="15"/>
      <c r="P44" s="20">
        <v>0.56249796897019011</v>
      </c>
      <c r="Q44" s="15">
        <v>-1.87879440447499</v>
      </c>
      <c r="R44" s="15">
        <f t="shared" si="85"/>
        <v>1.3787943967453233</v>
      </c>
      <c r="S44" s="15">
        <f t="shared" si="86"/>
        <v>-2.4853092017396712</v>
      </c>
    </row>
    <row r="45" spans="1:20">
      <c r="B45" s="15">
        <v>6</v>
      </c>
      <c r="C45" s="8">
        <f t="shared" si="87"/>
        <v>-1.87879440447499</v>
      </c>
      <c r="D45" s="8">
        <f t="shared" si="77"/>
        <v>1.3787943967453233</v>
      </c>
      <c r="E45" s="7">
        <f t="shared" si="78"/>
        <v>-2.4853092017396712</v>
      </c>
      <c r="F45" s="15">
        <f t="shared" si="79"/>
        <v>-1.5459333368994521E-8</v>
      </c>
      <c r="G45" s="15">
        <f t="shared" si="80"/>
        <v>-0.2424112219686867</v>
      </c>
      <c r="H45" s="15">
        <f t="shared" si="81"/>
        <v>5.8763200536352131E-2</v>
      </c>
      <c r="I45" s="15">
        <f t="shared" si="71"/>
        <v>2</v>
      </c>
      <c r="K45" s="15">
        <f t="shared" si="72"/>
        <v>4</v>
      </c>
      <c r="M45" s="15">
        <f t="shared" si="82"/>
        <v>-0.10949689860689392</v>
      </c>
      <c r="N45" s="15">
        <f t="shared" si="83"/>
        <v>0.25115147097090479</v>
      </c>
      <c r="O45" s="15"/>
      <c r="P45" s="20">
        <v>0.36612748673208401</v>
      </c>
      <c r="Q45" s="15">
        <f t="shared" si="84"/>
        <v>-1.9188842287668899</v>
      </c>
      <c r="R45" s="15">
        <f t="shared" si="85"/>
        <v>1.4707478536009666</v>
      </c>
      <c r="S45" s="15">
        <f t="shared" si="86"/>
        <v>-2.496454476350122</v>
      </c>
    </row>
    <row r="46" spans="1:20">
      <c r="B46" s="15">
        <v>7</v>
      </c>
      <c r="C46" s="8">
        <f t="shared" si="87"/>
        <v>-1.9188842287668899</v>
      </c>
      <c r="D46" s="8">
        <f t="shared" si="77"/>
        <v>1.4707478536009666</v>
      </c>
      <c r="E46" s="7">
        <f t="shared" si="78"/>
        <v>-2.496454476350122</v>
      </c>
      <c r="F46" s="15">
        <f t="shared" si="79"/>
        <v>0.10372724966815339</v>
      </c>
      <c r="G46" s="15">
        <f t="shared" si="80"/>
        <v>4.5222956870086151E-2</v>
      </c>
      <c r="H46" s="15">
        <f t="shared" si="81"/>
        <v>1.28044581517931E-2</v>
      </c>
      <c r="I46" s="15">
        <f t="shared" si="71"/>
        <v>2</v>
      </c>
      <c r="K46" s="15">
        <f t="shared" si="72"/>
        <v>4</v>
      </c>
      <c r="M46" s="15">
        <f t="shared" si="82"/>
        <v>-0.10892617219056355</v>
      </c>
      <c r="N46" s="15">
        <f t="shared" si="83"/>
        <v>-3.3298262604043519E-2</v>
      </c>
      <c r="O46" s="15"/>
      <c r="P46" s="20">
        <v>0.30005911902049365</v>
      </c>
      <c r="Q46" s="15">
        <f t="shared" si="84"/>
        <v>-1.9515685200326649</v>
      </c>
      <c r="R46" s="15">
        <f t="shared" si="85"/>
        <v>1.4607564062590843</v>
      </c>
      <c r="S46" s="15">
        <f t="shared" si="86"/>
        <v>-2.49837552309699</v>
      </c>
    </row>
    <row r="47" spans="1:20">
      <c r="B47" s="15">
        <v>8</v>
      </c>
      <c r="C47" s="8">
        <f t="shared" si="87"/>
        <v>-1.9515685200326649</v>
      </c>
      <c r="D47" s="8">
        <f t="shared" si="77"/>
        <v>1.4607564062590843</v>
      </c>
      <c r="E47" s="7">
        <f t="shared" si="78"/>
        <v>-2.49837552309699</v>
      </c>
      <c r="F47" s="15">
        <f t="shared" si="79"/>
        <v>1.8375772452838834E-2</v>
      </c>
      <c r="G47" s="15">
        <f t="shared" si="80"/>
        <v>-6.0111415028992532E-2</v>
      </c>
      <c r="H47" s="15">
        <f t="shared" si="81"/>
        <v>3.9510512300262998E-3</v>
      </c>
      <c r="I47" s="15">
        <f t="shared" si="71"/>
        <v>2</v>
      </c>
      <c r="K47" s="15">
        <f t="shared" si="72"/>
        <v>4</v>
      </c>
      <c r="M47" s="15">
        <f t="shared" si="82"/>
        <v>-2.8747119185792036E-2</v>
      </c>
      <c r="N47" s="15">
        <f t="shared" si="83"/>
        <v>5.6940938915434738E-2</v>
      </c>
      <c r="O47" s="15"/>
      <c r="P47" s="20">
        <v>0.48933482506928988</v>
      </c>
      <c r="Q47" s="15">
        <f t="shared" si="84"/>
        <v>-1.9656354865706904</v>
      </c>
      <c r="R47" s="15">
        <f t="shared" si="85"/>
        <v>1.4886195906425497</v>
      </c>
      <c r="S47" s="15">
        <f t="shared" si="86"/>
        <v>-2.4993422172428703</v>
      </c>
    </row>
    <row r="48" spans="1:20">
      <c r="B48" s="15">
        <v>9</v>
      </c>
      <c r="C48" s="8">
        <f t="shared" si="87"/>
        <v>-1.9656354865706904</v>
      </c>
      <c r="D48" s="8">
        <f t="shared" si="77"/>
        <v>1.4886195906425497</v>
      </c>
      <c r="E48" s="7">
        <f t="shared" si="78"/>
        <v>-2.4993422172428703</v>
      </c>
      <c r="F48" s="15">
        <f t="shared" si="79"/>
        <v>4.5968208143718492E-2</v>
      </c>
      <c r="G48" s="15">
        <f t="shared" si="80"/>
        <v>2.3207389428818281E-2</v>
      </c>
      <c r="H48" s="15">
        <f t="shared" si="81"/>
        <v>2.6516590840450533E-3</v>
      </c>
      <c r="I48" s="15">
        <f t="shared" si="71"/>
        <v>2</v>
      </c>
      <c r="K48" s="15">
        <f t="shared" si="72"/>
        <v>4</v>
      </c>
      <c r="M48" s="15">
        <f t="shared" si="82"/>
        <v>-5.8916258584631384E-2</v>
      </c>
      <c r="N48" s="15">
        <f t="shared" si="83"/>
        <v>2.439498680734585E-3</v>
      </c>
      <c r="O48" s="15"/>
      <c r="P48" s="20">
        <v>0.4148955098698987</v>
      </c>
      <c r="Q48" s="15">
        <f t="shared" si="84"/>
        <v>-1.9900795777157878</v>
      </c>
      <c r="R48" s="15">
        <f t="shared" si="85"/>
        <v>1.4896317276915201</v>
      </c>
      <c r="S48" s="15">
        <f t="shared" si="86"/>
        <v>-2.4998922983596952</v>
      </c>
    </row>
    <row r="49" spans="2:19">
      <c r="B49" s="15">
        <v>10</v>
      </c>
      <c r="C49" s="8">
        <f t="shared" si="87"/>
        <v>-1.9900795777157878</v>
      </c>
      <c r="D49" s="8">
        <f t="shared" si="77"/>
        <v>1.4896317276915201</v>
      </c>
      <c r="E49" s="7">
        <f t="shared" si="78"/>
        <v>-2.4998922983596952</v>
      </c>
      <c r="F49" s="15">
        <f t="shared" si="79"/>
        <v>-8.9570004853545271E-4</v>
      </c>
      <c r="G49" s="15">
        <f t="shared" si="80"/>
        <v>-2.1632244665495293E-2</v>
      </c>
      <c r="H49" s="15">
        <f t="shared" si="81"/>
        <v>4.6875628784479593E-4</v>
      </c>
      <c r="I49" s="15">
        <f t="shared" si="71"/>
        <v>2</v>
      </c>
      <c r="K49" s="15">
        <f t="shared" si="72"/>
        <v>4</v>
      </c>
      <c r="M49" s="15">
        <f t="shared" si="82"/>
        <v>-9.4547040810088112E-4</v>
      </c>
      <c r="N49" s="15">
        <f t="shared" si="83"/>
        <v>2.1708480546861045E-2</v>
      </c>
      <c r="O49" s="15"/>
      <c r="P49" s="20">
        <v>0.25973886907559873</v>
      </c>
      <c r="Q49" s="15">
        <f t="shared" si="84"/>
        <v>-1.9903251531303323</v>
      </c>
      <c r="R49" s="15">
        <f t="shared" si="85"/>
        <v>1.4952702638781115</v>
      </c>
      <c r="S49" s="15">
        <f t="shared" si="86"/>
        <v>-2.4999531754759081</v>
      </c>
    </row>
    <row r="50" spans="2:19">
      <c r="B50" s="15">
        <v>11</v>
      </c>
      <c r="C50" s="8">
        <f t="shared" si="87"/>
        <v>-1.9903251531303323</v>
      </c>
      <c r="D50" s="8">
        <f t="shared" si="77"/>
        <v>1.4952702638781115</v>
      </c>
      <c r="E50" s="7">
        <f t="shared" si="78"/>
        <v>-2.4999531754759081</v>
      </c>
      <c r="F50" s="15">
        <f t="shared" si="79"/>
        <v>9.8902214955582934E-3</v>
      </c>
      <c r="G50" s="15">
        <f t="shared" si="80"/>
        <v>4.3074925178121504E-4</v>
      </c>
      <c r="H50" s="15">
        <f t="shared" si="81"/>
        <v>9.8002026149113407E-5</v>
      </c>
      <c r="I50" s="15">
        <f t="shared" si="71"/>
        <v>2</v>
      </c>
      <c r="K50" s="15">
        <f t="shared" si="72"/>
        <v>4</v>
      </c>
      <c r="M50" s="15">
        <f t="shared" si="82"/>
        <v>-9.9315475398811318E-3</v>
      </c>
      <c r="N50" s="15">
        <f t="shared" si="83"/>
        <v>5.1811770542272697E-4</v>
      </c>
      <c r="O50" s="15"/>
      <c r="P50" s="20">
        <v>0.55130966089701117</v>
      </c>
      <c r="Q50" s="15">
        <f t="shared" si="84"/>
        <v>-1.9958005112367267</v>
      </c>
      <c r="R50" s="15">
        <f t="shared" si="85"/>
        <v>1.4955559071745927</v>
      </c>
      <c r="S50" s="15">
        <f t="shared" si="86"/>
        <v>-2.4999801902078111</v>
      </c>
    </row>
    <row r="51" spans="2:19">
      <c r="B51" s="15">
        <v>12</v>
      </c>
      <c r="C51" s="8">
        <f t="shared" ref="C51" si="88">Q50</f>
        <v>-1.9958005112367267</v>
      </c>
      <c r="D51" s="8">
        <f t="shared" ref="D51" si="89">R50</f>
        <v>1.4955559071745927</v>
      </c>
      <c r="E51" s="7">
        <f t="shared" ref="E51" si="90">$B$2*C51+$B$3*D51+$B$4*C51*D51+$B$5*C51^2+$B$6*D51^2</f>
        <v>-2.4999801902078111</v>
      </c>
      <c r="F51" s="15">
        <f t="shared" ref="F51" si="91">$B$2+$B$4*D51+2*$B$5*C51</f>
        <v>-4.8920812426800353E-4</v>
      </c>
      <c r="G51" s="15">
        <f t="shared" ref="G51" si="92">$B$3+$B$4*C51+2*$B$6*D51</f>
        <v>-9.3773937750825098E-3</v>
      </c>
      <c r="H51" s="15">
        <f t="shared" ref="H51" si="93">F51^2+G51^2</f>
        <v>8.8174838601806012E-5</v>
      </c>
      <c r="I51" s="15">
        <f t="shared" si="71"/>
        <v>2</v>
      </c>
      <c r="K51" s="15">
        <f t="shared" si="72"/>
        <v>4</v>
      </c>
      <c r="M51" s="15">
        <f t="shared" si="82"/>
        <v>-7.5504237495300271E-3</v>
      </c>
      <c r="N51" s="15">
        <f t="shared" si="83"/>
        <v>9.7968123603703276E-3</v>
      </c>
      <c r="O51" s="15"/>
      <c r="P51" s="20">
        <v>0.43640512432106915</v>
      </c>
      <c r="Q51" s="15">
        <f t="shared" ref="Q51" si="94">C51+P51*M51</f>
        <v>-1.9990955548518172</v>
      </c>
      <c r="R51" s="15">
        <f t="shared" ref="R51" si="95">D51+P51*N51</f>
        <v>1.4998312862906704</v>
      </c>
      <c r="S51" s="15">
        <f t="shared" ref="S51" si="96">$B$2*Q51+$B$3*R51+$B$4*Q51*R51+$B$5*Q51^2+$B$6*R51^2</f>
        <v>-2.4999994302349355</v>
      </c>
    </row>
    <row r="52" spans="2:19">
      <c r="B52" s="15">
        <v>13</v>
      </c>
      <c r="C52" s="8">
        <f t="shared" ref="C52:C59" si="97">Q51</f>
        <v>-1.9990955548518172</v>
      </c>
      <c r="D52" s="8">
        <f t="shared" ref="D52:D59" si="98">R51</f>
        <v>1.4998312862906704</v>
      </c>
      <c r="E52" s="7">
        <f t="shared" ref="E52:E59" si="99">$B$2*C52+$B$3*D52+$B$4*C52*D52+$B$5*C52^2+$B$6*D52^2</f>
        <v>-2.4999994302349355</v>
      </c>
      <c r="F52" s="15">
        <f t="shared" ref="F52:F59" si="100">$B$2+$B$4*D52+2*$B$5*C52</f>
        <v>1.4714628777063865E-3</v>
      </c>
      <c r="G52" s="15">
        <f t="shared" ref="G52:G59" si="101">$B$3+$B$4*C52+2*$B$6*D52</f>
        <v>1.1340354590467783E-3</v>
      </c>
      <c r="H52" s="15">
        <f t="shared" ref="H52:H59" si="102">F52^2+G52^2</f>
        <v>3.4512394228433972E-6</v>
      </c>
      <c r="I52" s="15">
        <f t="shared" si="71"/>
        <v>2</v>
      </c>
      <c r="K52" s="15">
        <f t="shared" si="72"/>
        <v>4</v>
      </c>
      <c r="M52" s="15">
        <f t="shared" si="82"/>
        <v>-1.4830301818969352E-3</v>
      </c>
      <c r="N52" s="15">
        <f t="shared" si="83"/>
        <v>-1.1190266711390551E-3</v>
      </c>
      <c r="O52" s="15"/>
      <c r="P52" s="20">
        <v>0.21508356181710694</v>
      </c>
      <c r="Q52" s="15">
        <f t="shared" ref="Q52:Q59" si="103">C52+P52*M52</f>
        <v>-1.9994145302656219</v>
      </c>
      <c r="R52" s="15">
        <f t="shared" ref="R52:R59" si="104">D52+P52*N52</f>
        <v>1.4995906020484735</v>
      </c>
      <c r="S52" s="15">
        <f t="shared" ref="S52:S59" si="105">$B$2*Q52+$B$3*R52+$B$4*Q52*R52+$B$5*Q52^2+$B$6*R52^2</f>
        <v>-2.4999998013920459</v>
      </c>
    </row>
    <row r="53" spans="2:19">
      <c r="B53" s="15">
        <v>14</v>
      </c>
      <c r="C53" s="8">
        <f t="shared" si="97"/>
        <v>-1.9994145302656219</v>
      </c>
      <c r="D53" s="8">
        <f t="shared" si="98"/>
        <v>1.4995906020484735</v>
      </c>
      <c r="E53" s="7">
        <f t="shared" si="99"/>
        <v>-2.4999998013920459</v>
      </c>
      <c r="F53" s="15">
        <f t="shared" si="100"/>
        <v>3.5214356570323346E-4</v>
      </c>
      <c r="G53" s="15">
        <f t="shared" si="101"/>
        <v>-4.6665233734977107E-4</v>
      </c>
      <c r="H53" s="15">
        <f t="shared" si="102"/>
        <v>3.4176949482019205E-7</v>
      </c>
      <c r="I53" s="15">
        <f t="shared" si="71"/>
        <v>2</v>
      </c>
      <c r="K53" s="15">
        <f t="shared" si="72"/>
        <v>4</v>
      </c>
      <c r="M53" s="15">
        <f t="shared" si="82"/>
        <v>-3.6668698098144827E-4</v>
      </c>
      <c r="N53" s="15">
        <f t="shared" si="83"/>
        <v>4.5567854208624042E-4</v>
      </c>
      <c r="O53" s="15"/>
      <c r="P53" s="20">
        <v>0.79278881141926583</v>
      </c>
      <c r="Q53" s="15">
        <f t="shared" si="103"/>
        <v>-1.9997052356014371</v>
      </c>
      <c r="R53" s="15">
        <f t="shared" si="104"/>
        <v>1.4999518588982432</v>
      </c>
      <c r="S53" s="15">
        <f t="shared" si="105"/>
        <v>-2.4999999368593855</v>
      </c>
    </row>
    <row r="54" spans="2:19">
      <c r="B54" s="15">
        <v>15</v>
      </c>
      <c r="C54" s="8">
        <f t="shared" si="97"/>
        <v>-1.9997052356014371</v>
      </c>
      <c r="D54" s="8">
        <f t="shared" si="98"/>
        <v>1.4999518588982432</v>
      </c>
      <c r="E54" s="7">
        <f t="shared" si="99"/>
        <v>-2.4999999368593855</v>
      </c>
      <c r="F54" s="15">
        <f t="shared" si="100"/>
        <v>4.9324659361227319E-4</v>
      </c>
      <c r="G54" s="15">
        <f t="shared" si="101"/>
        <v>3.9696439009873075E-4</v>
      </c>
      <c r="H54" s="15">
        <f t="shared" si="102"/>
        <v>4.0087292911656825E-7</v>
      </c>
      <c r="I54" s="15">
        <f t="shared" si="71"/>
        <v>2</v>
      </c>
      <c r="K54" s="15">
        <f t="shared" si="72"/>
        <v>4</v>
      </c>
      <c r="M54" s="15">
        <f t="shared" si="82"/>
        <v>-9.9772473889435105E-4</v>
      </c>
      <c r="N54" s="15">
        <f t="shared" si="83"/>
        <v>2.2994596581635447E-4</v>
      </c>
      <c r="O54" s="15"/>
      <c r="P54" s="20">
        <v>0.31201479130228971</v>
      </c>
      <c r="Q54" s="15">
        <f t="shared" si="103"/>
        <v>-2.0000165404776205</v>
      </c>
      <c r="R54" s="15">
        <f t="shared" si="104"/>
        <v>1.5000236054407783</v>
      </c>
      <c r="S54" s="15">
        <f t="shared" si="105"/>
        <v>-2.4999999993928697</v>
      </c>
    </row>
    <row r="55" spans="2:19">
      <c r="B55" s="15">
        <v>16</v>
      </c>
      <c r="C55" s="8">
        <f t="shared" si="97"/>
        <v>-2.0000165404776205</v>
      </c>
      <c r="D55" s="8">
        <f t="shared" si="98"/>
        <v>1.5000236054407783</v>
      </c>
      <c r="E55" s="7">
        <f t="shared" si="99"/>
        <v>-2.4999999993928697</v>
      </c>
      <c r="F55" s="15">
        <f t="shared" si="100"/>
        <v>1.4129926315220587E-5</v>
      </c>
      <c r="G55" s="15">
        <f t="shared" si="101"/>
        <v>6.1340807872234393E-5</v>
      </c>
      <c r="H55" s="15">
        <f t="shared" si="102"/>
        <v>3.9623495280919361E-9</v>
      </c>
      <c r="I55" s="15">
        <f t="shared" si="71"/>
        <v>2</v>
      </c>
      <c r="K55" s="15">
        <f t="shared" si="72"/>
        <v>4</v>
      </c>
      <c r="M55" s="15">
        <f t="shared" si="82"/>
        <v>-1.4227403470851936E-5</v>
      </c>
      <c r="N55" s="15">
        <f t="shared" si="83"/>
        <v>-6.1318342278445954E-5</v>
      </c>
      <c r="O55" s="15"/>
      <c r="P55" s="20">
        <v>0.20931134670729132</v>
      </c>
      <c r="Q55" s="15">
        <f t="shared" si="103"/>
        <v>-2.000019518434601</v>
      </c>
      <c r="R55" s="15">
        <f t="shared" si="104"/>
        <v>1.5000107708159782</v>
      </c>
      <c r="S55" s="15">
        <f t="shared" si="105"/>
        <v>-2.4999999998074696</v>
      </c>
    </row>
    <row r="56" spans="2:19">
      <c r="B56" s="15">
        <v>17</v>
      </c>
      <c r="C56" s="8">
        <f t="shared" si="97"/>
        <v>-2.000019518434601</v>
      </c>
      <c r="D56" s="8">
        <f t="shared" si="98"/>
        <v>1.5000107708159782</v>
      </c>
      <c r="E56" s="7">
        <f t="shared" si="99"/>
        <v>-2.4999999998074696</v>
      </c>
      <c r="F56" s="15">
        <f t="shared" si="100"/>
        <v>-1.7495237245590545E-5</v>
      </c>
      <c r="G56" s="15">
        <f t="shared" si="101"/>
        <v>4.0463947108548837E-6</v>
      </c>
      <c r="H56" s="15">
        <f t="shared" si="102"/>
        <v>3.2245663643553302E-10</v>
      </c>
      <c r="I56" s="15">
        <f t="shared" si="71"/>
        <v>2</v>
      </c>
      <c r="K56" s="15">
        <f t="shared" si="72"/>
        <v>4</v>
      </c>
      <c r="M56" s="15">
        <f t="shared" si="82"/>
        <v>1.7401012988767456E-5</v>
      </c>
      <c r="N56" s="15">
        <f t="shared" si="83"/>
        <v>-4.4524895575110093E-6</v>
      </c>
      <c r="O56" s="15"/>
      <c r="P56" s="20">
        <v>0</v>
      </c>
      <c r="Q56" s="15">
        <f t="shared" si="103"/>
        <v>-2.000019518434601</v>
      </c>
      <c r="R56" s="15">
        <f t="shared" si="104"/>
        <v>1.5000107708159782</v>
      </c>
      <c r="S56" s="15">
        <f t="shared" si="105"/>
        <v>-2.4999999998074696</v>
      </c>
    </row>
    <row r="57" spans="2:19">
      <c r="B57" s="15">
        <v>18</v>
      </c>
      <c r="C57" s="8">
        <f t="shared" si="97"/>
        <v>-2.000019518434601</v>
      </c>
      <c r="D57" s="8">
        <f t="shared" si="98"/>
        <v>1.5000107708159782</v>
      </c>
      <c r="E57" s="7">
        <f t="shared" si="99"/>
        <v>-2.4999999998074696</v>
      </c>
      <c r="F57" s="15">
        <f t="shared" si="100"/>
        <v>-1.7495237245590545E-5</v>
      </c>
      <c r="G57" s="15">
        <f t="shared" si="101"/>
        <v>4.0463947108548837E-6</v>
      </c>
      <c r="H57" s="15">
        <f t="shared" si="102"/>
        <v>3.2245663643553302E-10</v>
      </c>
      <c r="I57" s="15">
        <f t="shared" si="71"/>
        <v>2</v>
      </c>
      <c r="K57" s="15">
        <f t="shared" si="72"/>
        <v>4</v>
      </c>
      <c r="M57" s="15">
        <f t="shared" si="82"/>
        <v>3.4896250234358001E-5</v>
      </c>
      <c r="N57" s="15">
        <f t="shared" si="83"/>
        <v>-8.498884268365893E-6</v>
      </c>
      <c r="O57" s="15"/>
      <c r="P57" s="20">
        <v>0</v>
      </c>
      <c r="Q57" s="15">
        <f t="shared" si="103"/>
        <v>-2.000019518434601</v>
      </c>
      <c r="R57" s="15">
        <f t="shared" si="104"/>
        <v>1.5000107708159782</v>
      </c>
      <c r="S57" s="15">
        <f t="shared" si="105"/>
        <v>-2.4999999998074696</v>
      </c>
    </row>
    <row r="58" spans="2:19">
      <c r="B58" s="15">
        <v>19</v>
      </c>
      <c r="C58" s="8">
        <f t="shared" si="97"/>
        <v>-2.000019518434601</v>
      </c>
      <c r="D58" s="8">
        <f t="shared" si="98"/>
        <v>1.5000107708159782</v>
      </c>
      <c r="E58" s="7">
        <f t="shared" si="99"/>
        <v>-2.4999999998074696</v>
      </c>
      <c r="F58" s="15">
        <f t="shared" si="100"/>
        <v>-1.7495237245590545E-5</v>
      </c>
      <c r="G58" s="15">
        <f t="shared" si="101"/>
        <v>4.0463947108548837E-6</v>
      </c>
      <c r="H58" s="15">
        <f t="shared" si="102"/>
        <v>3.2245663643553302E-10</v>
      </c>
      <c r="I58" s="15">
        <f t="shared" si="71"/>
        <v>2</v>
      </c>
      <c r="K58" s="15">
        <f t="shared" si="72"/>
        <v>4</v>
      </c>
      <c r="M58" s="15">
        <f t="shared" si="82"/>
        <v>5.2391487479948545E-5</v>
      </c>
      <c r="N58" s="15">
        <f t="shared" si="83"/>
        <v>-1.2545278979220777E-5</v>
      </c>
      <c r="O58" s="15"/>
      <c r="P58" s="20">
        <v>0</v>
      </c>
      <c r="Q58" s="15">
        <f t="shared" si="103"/>
        <v>-2.000019518434601</v>
      </c>
      <c r="R58" s="15">
        <f t="shared" si="104"/>
        <v>1.5000107708159782</v>
      </c>
      <c r="S58" s="15">
        <f t="shared" si="105"/>
        <v>-2.4999999998074696</v>
      </c>
    </row>
    <row r="59" spans="2:19">
      <c r="B59" s="15">
        <v>20</v>
      </c>
      <c r="C59" s="8">
        <f t="shared" si="97"/>
        <v>-2.000019518434601</v>
      </c>
      <c r="D59" s="8">
        <f t="shared" si="98"/>
        <v>1.5000107708159782</v>
      </c>
      <c r="E59" s="7">
        <f t="shared" si="99"/>
        <v>-2.4999999998074696</v>
      </c>
      <c r="F59" s="15">
        <f t="shared" si="100"/>
        <v>-1.7495237245590545E-5</v>
      </c>
      <c r="G59" s="15">
        <f t="shared" si="101"/>
        <v>4.0463947108548837E-6</v>
      </c>
      <c r="H59" s="15">
        <f t="shared" si="102"/>
        <v>3.2245663643553302E-10</v>
      </c>
      <c r="I59" s="15">
        <f t="shared" si="71"/>
        <v>2</v>
      </c>
      <c r="K59" s="15">
        <f t="shared" si="72"/>
        <v>4</v>
      </c>
      <c r="M59" s="15">
        <f t="shared" si="82"/>
        <v>6.988672472553909E-5</v>
      </c>
      <c r="N59" s="15">
        <f t="shared" si="83"/>
        <v>-1.659167369007566E-5</v>
      </c>
      <c r="O59" s="15"/>
      <c r="P59" s="20">
        <v>0</v>
      </c>
      <c r="Q59" s="15">
        <f t="shared" si="103"/>
        <v>-2.000019518434601</v>
      </c>
      <c r="R59" s="15">
        <f t="shared" si="104"/>
        <v>1.5000107708159782</v>
      </c>
      <c r="S59" s="15">
        <f t="shared" si="105"/>
        <v>-2.4999999998074696</v>
      </c>
    </row>
  </sheetData>
  <mergeCells count="3">
    <mergeCell ref="B8:C8"/>
    <mergeCell ref="D8:E8"/>
    <mergeCell ref="A10:A1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066E6-B41F-499D-9F3E-6508D758A95E}">
  <dimension ref="A1:K73"/>
  <sheetViews>
    <sheetView topLeftCell="A30" zoomScaleNormal="100" workbookViewId="0">
      <selection activeCell="D59" sqref="D59"/>
    </sheetView>
  </sheetViews>
  <sheetFormatPr defaultRowHeight="15"/>
  <cols>
    <col min="1" max="1" width="27.42578125" customWidth="1"/>
    <col min="2" max="2" width="14.7109375" customWidth="1"/>
    <col min="4" max="4" width="11.140625" customWidth="1"/>
    <col min="6" max="6" width="9.140625" customWidth="1"/>
    <col min="7" max="7" width="13.5703125" customWidth="1"/>
    <col min="8" max="8" width="14.7109375" customWidth="1"/>
    <col min="9" max="9" width="16.28515625" style="18" customWidth="1"/>
    <col min="10" max="10" width="83.42578125" customWidth="1"/>
  </cols>
  <sheetData>
    <row r="1" spans="1:11" ht="34.5" customHeight="1">
      <c r="A1" s="32" t="s">
        <v>264</v>
      </c>
    </row>
    <row r="2" spans="1:11">
      <c r="A2" s="33" t="s">
        <v>78</v>
      </c>
      <c r="B2" s="7" t="s">
        <v>52</v>
      </c>
      <c r="C2" s="7" t="s">
        <v>53</v>
      </c>
      <c r="D2" s="7" t="s">
        <v>79</v>
      </c>
    </row>
    <row r="3" spans="1:11">
      <c r="A3" s="7"/>
      <c r="B3" s="7">
        <v>-53687091.200000003</v>
      </c>
      <c r="C3" s="7">
        <v>-35791499.799999997</v>
      </c>
      <c r="D3" s="7">
        <f>B3-C3+(2*B3*(C3^2))+C3^3</f>
        <v>-1.8339974259469579E+23</v>
      </c>
    </row>
    <row r="4" spans="1:11" s="18" customFormat="1">
      <c r="A4" s="4" t="s">
        <v>72</v>
      </c>
      <c r="B4" s="4" t="s">
        <v>73</v>
      </c>
      <c r="C4" s="4" t="s">
        <v>52</v>
      </c>
      <c r="D4" s="4" t="s">
        <v>53</v>
      </c>
      <c r="E4" s="4" t="s">
        <v>3</v>
      </c>
      <c r="F4" s="4" t="s">
        <v>81</v>
      </c>
      <c r="G4" s="4" t="s">
        <v>82</v>
      </c>
      <c r="H4" s="4" t="s">
        <v>83</v>
      </c>
      <c r="I4" s="35"/>
      <c r="J4" s="17"/>
      <c r="K4" s="17"/>
    </row>
    <row r="5" spans="1:11">
      <c r="A5" t="s">
        <v>80</v>
      </c>
      <c r="B5" t="s">
        <v>84</v>
      </c>
      <c r="C5">
        <v>0</v>
      </c>
      <c r="D5">
        <v>1</v>
      </c>
      <c r="E5" s="7">
        <f>C5-D5^2+2*C5*D5^2+D5^3</f>
        <v>0</v>
      </c>
      <c r="H5">
        <v>0.1</v>
      </c>
      <c r="J5" t="s">
        <v>89</v>
      </c>
    </row>
    <row r="6" spans="1:11">
      <c r="B6" t="s">
        <v>85</v>
      </c>
      <c r="C6">
        <f>$C$5+$H$5</f>
        <v>0.1</v>
      </c>
      <c r="D6">
        <f>$D$5</f>
        <v>1</v>
      </c>
      <c r="E6" s="7">
        <f t="shared" ref="E6:E27" si="0">C6-D6^2+2*C6*D6^2+D6^3</f>
        <v>0.30000000000000004</v>
      </c>
      <c r="F6">
        <f>E6-E5</f>
        <v>0.30000000000000004</v>
      </c>
      <c r="G6" t="str">
        <f>IF(F6&gt;0,"Reject", "Accept")</f>
        <v>Reject</v>
      </c>
    </row>
    <row r="7" spans="1:11">
      <c r="B7" s="18" t="s">
        <v>85</v>
      </c>
      <c r="C7" s="18">
        <f>$C$5-$H$5</f>
        <v>-0.1</v>
      </c>
      <c r="D7" s="18">
        <f>$D$5</f>
        <v>1</v>
      </c>
      <c r="E7" s="7">
        <f t="shared" si="0"/>
        <v>-0.30000000000000004</v>
      </c>
      <c r="F7" s="18">
        <f t="shared" ref="F7:F20" si="1">E7-E6</f>
        <v>-0.60000000000000009</v>
      </c>
      <c r="G7" s="18" t="str">
        <f t="shared" ref="G7:G27" si="2">IF(F7&gt;0,"Reject", "Accept")</f>
        <v>Accept</v>
      </c>
    </row>
    <row r="8" spans="1:11">
      <c r="B8" t="s">
        <v>86</v>
      </c>
      <c r="C8" s="18">
        <f>$C$5-$H$5</f>
        <v>-0.1</v>
      </c>
      <c r="D8" s="18">
        <f>$D$5+$H$5</f>
        <v>1.1000000000000001</v>
      </c>
      <c r="E8" s="7">
        <f>C8-D8^2+2*C8*D8^2+D8^3</f>
        <v>-0.22099999999999986</v>
      </c>
      <c r="F8" s="18">
        <f t="shared" si="1"/>
        <v>7.9000000000000181E-2</v>
      </c>
      <c r="G8" s="18" t="str">
        <f t="shared" si="2"/>
        <v>Reject</v>
      </c>
    </row>
    <row r="9" spans="1:11">
      <c r="B9" s="18" t="s">
        <v>86</v>
      </c>
      <c r="C9" s="18">
        <f>$C$5-$H$5</f>
        <v>-0.1</v>
      </c>
      <c r="D9" s="18">
        <f>$D$5-$H$5</f>
        <v>0.9</v>
      </c>
      <c r="E9" s="7">
        <f t="shared" si="0"/>
        <v>-0.34299999999999997</v>
      </c>
      <c r="F9" s="18">
        <f t="shared" si="1"/>
        <v>-0.12200000000000011</v>
      </c>
      <c r="G9" s="18" t="str">
        <f t="shared" si="2"/>
        <v>Accept</v>
      </c>
    </row>
    <row r="10" spans="1:11">
      <c r="B10" t="s">
        <v>87</v>
      </c>
      <c r="C10">
        <f>C9</f>
        <v>-0.1</v>
      </c>
      <c r="D10">
        <f>D9</f>
        <v>0.9</v>
      </c>
      <c r="E10" s="7">
        <f t="shared" si="0"/>
        <v>-0.34299999999999997</v>
      </c>
      <c r="F10" s="18"/>
      <c r="G10" s="18"/>
    </row>
    <row r="11" spans="1:11" s="18" customFormat="1">
      <c r="B11" s="18" t="s">
        <v>88</v>
      </c>
      <c r="C11" s="18">
        <f>$C$10-(C5-C10)</f>
        <v>-0.2</v>
      </c>
      <c r="D11" s="18">
        <f>$D$10-(D5-D10)</f>
        <v>0.8</v>
      </c>
      <c r="E11" s="7">
        <f>C11-D11^2+2*C11*D11^2+D11^3</f>
        <v>-0.58399999999999996</v>
      </c>
      <c r="F11" s="18">
        <f>E11-E9</f>
        <v>-0.24099999999999999</v>
      </c>
      <c r="G11" s="18" t="str">
        <f>IF(F11&gt;0,"Reject", "Accept")</f>
        <v>Accept</v>
      </c>
    </row>
    <row r="12" spans="1:11">
      <c r="B12" s="18" t="s">
        <v>85</v>
      </c>
      <c r="C12">
        <f>$C$11+$H$5</f>
        <v>-0.1</v>
      </c>
      <c r="D12">
        <f>$D$11</f>
        <v>0.8</v>
      </c>
      <c r="E12" s="7">
        <f t="shared" si="0"/>
        <v>-0.35599999999999998</v>
      </c>
      <c r="F12" s="18">
        <f>E12-E11</f>
        <v>0.22799999999999998</v>
      </c>
      <c r="G12" s="18" t="str">
        <f>IF(F12&gt;0,"Reject", "Accept")</f>
        <v>Reject</v>
      </c>
    </row>
    <row r="13" spans="1:11">
      <c r="B13" s="18" t="s">
        <v>85</v>
      </c>
      <c r="C13" s="18">
        <f>$C$11-$H$5</f>
        <v>-0.30000000000000004</v>
      </c>
      <c r="D13" s="18">
        <f>$D$11</f>
        <v>0.8</v>
      </c>
      <c r="E13" s="7">
        <f t="shared" si="0"/>
        <v>-0.81200000000000017</v>
      </c>
      <c r="F13" s="18">
        <f>E13-E12</f>
        <v>-0.45600000000000018</v>
      </c>
      <c r="G13" s="18" t="str">
        <f t="shared" si="2"/>
        <v>Accept</v>
      </c>
    </row>
    <row r="14" spans="1:11">
      <c r="B14" s="18" t="s">
        <v>86</v>
      </c>
      <c r="C14">
        <f>C13</f>
        <v>-0.30000000000000004</v>
      </c>
      <c r="D14">
        <f>$D$11+$H$5</f>
        <v>0.9</v>
      </c>
      <c r="E14" s="7">
        <f t="shared" si="0"/>
        <v>-0.86699999999999999</v>
      </c>
      <c r="F14" s="18">
        <f>E14-E13</f>
        <v>-5.4999999999999827E-2</v>
      </c>
      <c r="G14" s="18" t="str">
        <f t="shared" si="2"/>
        <v>Accept</v>
      </c>
    </row>
    <row r="15" spans="1:11">
      <c r="B15" s="18" t="s">
        <v>86</v>
      </c>
      <c r="C15" s="18">
        <f>C14</f>
        <v>-0.30000000000000004</v>
      </c>
      <c r="D15" s="18">
        <f>$D$11-$H$5</f>
        <v>0.70000000000000007</v>
      </c>
      <c r="E15" s="7">
        <f t="shared" si="0"/>
        <v>-0.74100000000000021</v>
      </c>
      <c r="F15" s="18">
        <f>E15-E14</f>
        <v>0.12599999999999978</v>
      </c>
      <c r="G15" s="18" t="str">
        <f t="shared" si="2"/>
        <v>Reject</v>
      </c>
    </row>
    <row r="16" spans="1:11">
      <c r="B16" s="18" t="s">
        <v>87</v>
      </c>
      <c r="C16">
        <f>C15</f>
        <v>-0.30000000000000004</v>
      </c>
      <c r="D16">
        <f>D14</f>
        <v>0.9</v>
      </c>
      <c r="E16" s="7">
        <f t="shared" si="0"/>
        <v>-0.86699999999999999</v>
      </c>
      <c r="F16" s="18"/>
      <c r="G16" s="18"/>
    </row>
    <row r="17" spans="1:10" s="18" customFormat="1">
      <c r="B17" s="18" t="s">
        <v>88</v>
      </c>
      <c r="C17" s="18">
        <f>C16-(C10-C16)</f>
        <v>-0.50000000000000011</v>
      </c>
      <c r="D17" s="18">
        <f>D16-(D10-D16)</f>
        <v>0.9</v>
      </c>
      <c r="E17" s="7">
        <f t="shared" si="0"/>
        <v>-1.391</v>
      </c>
      <c r="F17" s="18">
        <f>E17-E16</f>
        <v>-0.52400000000000002</v>
      </c>
      <c r="G17" s="18" t="str">
        <f>IF(F17&gt;0,"Reject", "Accept")</f>
        <v>Accept</v>
      </c>
    </row>
    <row r="18" spans="1:10">
      <c r="B18" t="s">
        <v>85</v>
      </c>
      <c r="C18">
        <f>C17-H5</f>
        <v>-0.60000000000000009</v>
      </c>
      <c r="D18">
        <f>D17</f>
        <v>0.9</v>
      </c>
      <c r="E18" s="7">
        <f t="shared" si="0"/>
        <v>-1.6530000000000005</v>
      </c>
      <c r="F18" s="18">
        <f>E18-E17</f>
        <v>-0.26200000000000045</v>
      </c>
      <c r="G18" s="18" t="str">
        <f>IF(F18&gt;0,"Reject", "Accept")</f>
        <v>Accept</v>
      </c>
    </row>
    <row r="19" spans="1:10">
      <c r="B19" t="s">
        <v>86</v>
      </c>
      <c r="C19">
        <f>C18</f>
        <v>-0.60000000000000009</v>
      </c>
      <c r="D19">
        <f>D17-H5</f>
        <v>0.8</v>
      </c>
      <c r="E19" s="7">
        <f t="shared" si="0"/>
        <v>-1.4960000000000004</v>
      </c>
      <c r="F19" s="18">
        <f>E19-E18</f>
        <v>0.15700000000000003</v>
      </c>
      <c r="G19" s="18" t="str">
        <f t="shared" si="2"/>
        <v>Reject</v>
      </c>
    </row>
    <row r="20" spans="1:10">
      <c r="B20" s="18" t="s">
        <v>86</v>
      </c>
      <c r="C20" s="18">
        <f t="shared" ref="C20" si="3">C19-$H$5</f>
        <v>-0.70000000000000007</v>
      </c>
      <c r="D20" s="18">
        <f>D17+H5</f>
        <v>1</v>
      </c>
      <c r="E20" s="7">
        <f t="shared" si="0"/>
        <v>-2.1000000000000005</v>
      </c>
      <c r="F20" s="18">
        <f t="shared" si="1"/>
        <v>-0.60400000000000009</v>
      </c>
      <c r="G20" s="18" t="str">
        <f t="shared" si="2"/>
        <v>Accept</v>
      </c>
    </row>
    <row r="21" spans="1:10">
      <c r="B21" s="18" t="s">
        <v>87</v>
      </c>
      <c r="C21" s="18">
        <f>C20</f>
        <v>-0.70000000000000007</v>
      </c>
      <c r="D21" s="18">
        <f>D20</f>
        <v>1</v>
      </c>
      <c r="E21" s="7">
        <f t="shared" si="0"/>
        <v>-2.1000000000000005</v>
      </c>
      <c r="F21" s="18"/>
      <c r="G21" s="18"/>
    </row>
    <row r="22" spans="1:10">
      <c r="B22" s="18" t="s">
        <v>88</v>
      </c>
      <c r="C22" s="18">
        <f>C21-(C16-C21)</f>
        <v>-1.1000000000000001</v>
      </c>
      <c r="D22" s="18">
        <f>D21-(D16-D21)</f>
        <v>1.1000000000000001</v>
      </c>
      <c r="E22" s="7">
        <f t="shared" si="0"/>
        <v>-3.6410000000000009</v>
      </c>
      <c r="F22" s="18">
        <f>E22-E21</f>
        <v>-1.5410000000000004</v>
      </c>
      <c r="G22" s="18" t="str">
        <f t="shared" si="2"/>
        <v>Accept</v>
      </c>
    </row>
    <row r="23" spans="1:10">
      <c r="B23" s="18" t="s">
        <v>85</v>
      </c>
      <c r="C23" s="18">
        <f>C22-H5</f>
        <v>-1.2000000000000002</v>
      </c>
      <c r="D23" s="18">
        <f>D22</f>
        <v>1.1000000000000001</v>
      </c>
      <c r="E23" s="7">
        <f t="shared" si="0"/>
        <v>-3.9830000000000005</v>
      </c>
      <c r="F23" s="18">
        <f t="shared" ref="F23:F27" si="4">E23-E22</f>
        <v>-0.34199999999999964</v>
      </c>
      <c r="G23" s="18" t="str">
        <f t="shared" si="2"/>
        <v>Accept</v>
      </c>
    </row>
    <row r="24" spans="1:10">
      <c r="B24" s="18" t="s">
        <v>86</v>
      </c>
      <c r="C24" s="18">
        <f>C23</f>
        <v>-1.2000000000000002</v>
      </c>
      <c r="D24" s="18">
        <f>D23-H5</f>
        <v>1</v>
      </c>
      <c r="E24" s="7">
        <f t="shared" si="0"/>
        <v>-3.6000000000000005</v>
      </c>
      <c r="F24" s="18">
        <f t="shared" si="4"/>
        <v>0.38300000000000001</v>
      </c>
      <c r="G24" s="18" t="str">
        <f t="shared" si="2"/>
        <v>Reject</v>
      </c>
    </row>
    <row r="25" spans="1:10">
      <c r="B25" s="18" t="s">
        <v>86</v>
      </c>
      <c r="C25" s="18">
        <f>C24</f>
        <v>-1.2000000000000002</v>
      </c>
      <c r="D25" s="18">
        <f>D22+H5</f>
        <v>1.2000000000000002</v>
      </c>
      <c r="E25" s="7">
        <f t="shared" si="0"/>
        <v>-4.3680000000000012</v>
      </c>
      <c r="F25" s="18">
        <f t="shared" si="4"/>
        <v>-0.76800000000000068</v>
      </c>
      <c r="G25" s="18" t="str">
        <f t="shared" si="2"/>
        <v>Accept</v>
      </c>
    </row>
    <row r="26" spans="1:10">
      <c r="B26" s="18" t="s">
        <v>87</v>
      </c>
      <c r="C26" s="18">
        <f>C25</f>
        <v>-1.2000000000000002</v>
      </c>
      <c r="D26" s="18">
        <f>D25</f>
        <v>1.2000000000000002</v>
      </c>
      <c r="E26" s="7">
        <f t="shared" si="0"/>
        <v>-4.3680000000000012</v>
      </c>
      <c r="F26" s="18"/>
      <c r="G26" s="18"/>
    </row>
    <row r="27" spans="1:10">
      <c r="B27" t="s">
        <v>88</v>
      </c>
      <c r="C27" s="18">
        <f>C26-(C21-C26)</f>
        <v>-1.7000000000000002</v>
      </c>
      <c r="D27" s="18">
        <f>D26-(D21-D26)</f>
        <v>1.4000000000000004</v>
      </c>
      <c r="E27" s="7">
        <f t="shared" si="0"/>
        <v>-7.5800000000000036</v>
      </c>
      <c r="F27" s="18">
        <f t="shared" si="4"/>
        <v>-3.2120000000000024</v>
      </c>
      <c r="G27" s="18" t="str">
        <f t="shared" si="2"/>
        <v>Accept</v>
      </c>
    </row>
    <row r="29" spans="1:10">
      <c r="A29" s="4"/>
      <c r="B29" s="4"/>
      <c r="C29" s="4"/>
      <c r="D29" s="4"/>
      <c r="E29" s="4"/>
      <c r="F29" s="4"/>
      <c r="G29" s="4"/>
      <c r="H29" s="4"/>
      <c r="I29" s="35"/>
    </row>
    <row r="30" spans="1:10" ht="330">
      <c r="A30" s="36" t="s">
        <v>98</v>
      </c>
      <c r="J30" s="34" t="s">
        <v>90</v>
      </c>
    </row>
    <row r="31" spans="1:10" s="18" customFormat="1">
      <c r="A31" s="36" t="s">
        <v>99</v>
      </c>
      <c r="J31" s="34"/>
    </row>
    <row r="32" spans="1:10" s="18" customFormat="1">
      <c r="A32" s="36" t="s">
        <v>100</v>
      </c>
      <c r="B32" s="18">
        <v>6</v>
      </c>
      <c r="J32" s="34"/>
    </row>
    <row r="33" spans="1:10" s="18" customFormat="1">
      <c r="A33" s="36" t="s">
        <v>101</v>
      </c>
      <c r="B33" s="18">
        <v>0</v>
      </c>
      <c r="C33" s="18">
        <f>(2^B32)-1</f>
        <v>63</v>
      </c>
      <c r="J33" s="34"/>
    </row>
    <row r="34" spans="1:10" s="18" customFormat="1">
      <c r="A34" s="4" t="s">
        <v>72</v>
      </c>
      <c r="B34" s="4" t="s">
        <v>73</v>
      </c>
      <c r="C34" s="4" t="s">
        <v>91</v>
      </c>
      <c r="D34" s="4" t="s">
        <v>92</v>
      </c>
      <c r="E34" s="4" t="s">
        <v>93</v>
      </c>
      <c r="F34" s="4" t="s">
        <v>94</v>
      </c>
      <c r="G34" s="4" t="s">
        <v>95</v>
      </c>
      <c r="H34" s="4" t="s">
        <v>96</v>
      </c>
      <c r="I34" s="35" t="s">
        <v>97</v>
      </c>
    </row>
    <row r="35" spans="1:10">
      <c r="A35" s="39" t="s">
        <v>1</v>
      </c>
      <c r="B35" s="8"/>
      <c r="C35" s="8">
        <v>-2</v>
      </c>
      <c r="D35" s="46">
        <f>-0.612</f>
        <v>-0.61199999999999999</v>
      </c>
      <c r="E35" s="46">
        <v>-0.56299999999999994</v>
      </c>
      <c r="F35" s="8">
        <v>2</v>
      </c>
      <c r="G35" s="8">
        <f ca="1">RAND()</f>
        <v>5.819184702694491E-2</v>
      </c>
      <c r="H35" s="8">
        <f t="shared" ref="H35:I35" ca="1" si="5">RAND()</f>
        <v>0.66004703852530944</v>
      </c>
      <c r="I35" s="8">
        <f t="shared" ca="1" si="5"/>
        <v>0.39388093221270193</v>
      </c>
    </row>
    <row r="36" spans="1:10">
      <c r="A36" s="36" t="s">
        <v>110</v>
      </c>
      <c r="D36">
        <f>(ABS(D35-$C$35)/($F$35-$C$35))*($C$33-$B$33)</f>
        <v>21.860999999999997</v>
      </c>
      <c r="E36" s="18">
        <f>(ABS(E35-$C$35)/($F$35-$C$35))*($C$33-$B$33)</f>
        <v>22.632750000000001</v>
      </c>
    </row>
    <row r="37" spans="1:10">
      <c r="A37" s="8"/>
      <c r="B37" s="8"/>
      <c r="C37" s="42" t="s">
        <v>103</v>
      </c>
      <c r="D37" s="42"/>
      <c r="E37" s="42"/>
      <c r="F37" s="42" t="s">
        <v>104</v>
      </c>
    </row>
    <row r="38" spans="1:10">
      <c r="A38" s="8" t="s">
        <v>102</v>
      </c>
      <c r="B38" s="8"/>
      <c r="C38" s="41">
        <v>5</v>
      </c>
      <c r="D38" s="83">
        <f>FLOOR(D36/2^C38,1)</f>
        <v>0</v>
      </c>
      <c r="E38" s="83">
        <f>FLOOR(E36/2^C38,1)</f>
        <v>0</v>
      </c>
      <c r="F38" s="41">
        <f>2^C38</f>
        <v>32</v>
      </c>
    </row>
    <row r="39" spans="1:10">
      <c r="A39" s="8" t="s">
        <v>105</v>
      </c>
      <c r="B39" s="8"/>
      <c r="C39" s="41">
        <v>4</v>
      </c>
      <c r="D39" s="83">
        <f>FLOOR((D36-D38*2^C38)/(2^C39),1)</f>
        <v>1</v>
      </c>
      <c r="E39" s="83">
        <f>FLOOR((E36-E38*2^C38)/(2^C39),1)</f>
        <v>1</v>
      </c>
      <c r="F39" s="41">
        <f t="shared" ref="F39:F43" si="6">2^C39</f>
        <v>16</v>
      </c>
    </row>
    <row r="40" spans="1:10">
      <c r="A40" s="8" t="s">
        <v>106</v>
      </c>
      <c r="B40" s="8"/>
      <c r="C40" s="41">
        <v>3</v>
      </c>
      <c r="D40" s="40">
        <f>FLOOR((D36-D38*2^C38-D39*2^C39)/(2^C40),1)</f>
        <v>0</v>
      </c>
      <c r="E40" s="40">
        <f>FLOOR((E36-E38*2^C38-E39*2^C39)/(2^C40),1)</f>
        <v>0</v>
      </c>
      <c r="F40" s="41">
        <f t="shared" si="6"/>
        <v>8</v>
      </c>
    </row>
    <row r="41" spans="1:10">
      <c r="A41" s="8" t="s">
        <v>107</v>
      </c>
      <c r="B41" s="8"/>
      <c r="C41" s="41">
        <v>2</v>
      </c>
      <c r="D41" s="40">
        <f>FLOOR((D36-D38*2^C38-D39*2^C39-D40*2^C40)/(2^C41),1)</f>
        <v>1</v>
      </c>
      <c r="E41" s="40">
        <f>FLOOR((E36-E38*2^C38-E39*2^C39-E40*2^C40)/(2^C41),1)</f>
        <v>1</v>
      </c>
      <c r="F41" s="41">
        <f t="shared" si="6"/>
        <v>4</v>
      </c>
    </row>
    <row r="42" spans="1:10">
      <c r="A42" s="8"/>
      <c r="B42" s="8"/>
      <c r="C42" s="41">
        <v>1</v>
      </c>
      <c r="D42" s="40">
        <f>FLOOR((D36-D38*2^C38-D39*2^C39-D40*2^C40-D41*2^C41)/(2^C42),1)</f>
        <v>0</v>
      </c>
      <c r="E42" s="40">
        <f>FLOOR((E36-E38*2^C38-E39*2^C39-E40*2^C40-E41*2^C41)/(2^C42),1)</f>
        <v>1</v>
      </c>
      <c r="F42" s="41">
        <f t="shared" si="6"/>
        <v>2</v>
      </c>
    </row>
    <row r="43" spans="1:10">
      <c r="A43" s="8"/>
      <c r="B43" s="8"/>
      <c r="C43" s="41">
        <v>0</v>
      </c>
      <c r="D43" s="40">
        <f>FLOOR((D36-D38*2^C38-D39*2^C39-D40*2^C40-D41*2^C41-D42*2^C42)/(2^C43),1)</f>
        <v>1</v>
      </c>
      <c r="E43" s="40">
        <f>FLOOR((E36-E38*2^C38-E39*2^C39-E40*2^C40-E41*2^C41-E42*2^C42)/(2^C43),1)</f>
        <v>0</v>
      </c>
      <c r="F43" s="41">
        <f t="shared" si="6"/>
        <v>1</v>
      </c>
    </row>
    <row r="44" spans="1:10" s="18" customFormat="1">
      <c r="A44" s="8"/>
      <c r="B44" s="8"/>
      <c r="C44" s="41"/>
      <c r="D44" s="42" t="s">
        <v>108</v>
      </c>
      <c r="E44" s="42" t="s">
        <v>109</v>
      </c>
      <c r="F44" s="41"/>
    </row>
    <row r="45" spans="1:10">
      <c r="A45" s="8" t="s">
        <v>114</v>
      </c>
      <c r="B45" s="8"/>
      <c r="C45" s="41"/>
      <c r="D45" s="44">
        <f>D38*2^C38+D39*2^C39+D40*2^C40+D41*2^C41+D42*2^C42+D43*2^C43</f>
        <v>21</v>
      </c>
      <c r="E45" s="44">
        <f>E38*2^C38+E39*2^C39+E40*2^C40+E41*2^C41+E42*2^C42+E43*2^C43</f>
        <v>22</v>
      </c>
      <c r="F45" s="41"/>
    </row>
    <row r="47" spans="1:10">
      <c r="A47" s="7" t="s">
        <v>111</v>
      </c>
      <c r="B47" s="7"/>
      <c r="C47" s="7"/>
      <c r="D47" s="7"/>
      <c r="E47" s="7"/>
      <c r="F47" s="7"/>
      <c r="G47" s="45">
        <f ca="1">FLOOR($B$32*G35,1)</f>
        <v>0</v>
      </c>
    </row>
    <row r="48" spans="1:10">
      <c r="A48" t="s">
        <v>112</v>
      </c>
    </row>
    <row r="50" spans="1:9">
      <c r="A50" s="8" t="s">
        <v>113</v>
      </c>
      <c r="B50" s="8"/>
      <c r="C50" s="43" t="s">
        <v>103</v>
      </c>
      <c r="D50" s="43"/>
      <c r="E50" s="43"/>
      <c r="F50" s="43" t="s">
        <v>104</v>
      </c>
      <c r="G50" s="18"/>
    </row>
    <row r="51" spans="1:9">
      <c r="A51" s="8"/>
      <c r="B51" s="8"/>
      <c r="C51" s="20">
        <v>5</v>
      </c>
      <c r="D51" s="84">
        <f ca="1">IF(G47&gt;=1,E38,D38)</f>
        <v>0</v>
      </c>
      <c r="E51" s="84">
        <f ca="1">IF(G47&gt;=1,D38,E38)</f>
        <v>0</v>
      </c>
      <c r="F51" s="20">
        <f>2^C51</f>
        <v>32</v>
      </c>
      <c r="G51" s="18"/>
    </row>
    <row r="52" spans="1:9">
      <c r="A52" s="8"/>
      <c r="B52" s="8"/>
      <c r="C52" s="20">
        <v>4</v>
      </c>
      <c r="D52" s="84">
        <f ca="1">IF(G47&gt;=2,E39,D39)</f>
        <v>1</v>
      </c>
      <c r="E52" s="84">
        <f ca="1">IF(G47&gt;=2,D39,E39)</f>
        <v>1</v>
      </c>
      <c r="F52" s="20">
        <f t="shared" ref="F52:F56" si="7">2^C52</f>
        <v>16</v>
      </c>
      <c r="G52" s="18"/>
    </row>
    <row r="53" spans="1:9">
      <c r="A53" s="8"/>
      <c r="B53" s="8"/>
      <c r="C53" s="20">
        <v>3</v>
      </c>
      <c r="D53" s="37">
        <f ca="1">IF(G47&gt;=3,E40,D40)</f>
        <v>0</v>
      </c>
      <c r="E53" s="37">
        <f ca="1">IF(G47&gt;=3,D40,E40)</f>
        <v>0</v>
      </c>
      <c r="F53" s="20">
        <f t="shared" si="7"/>
        <v>8</v>
      </c>
      <c r="G53" s="18"/>
    </row>
    <row r="54" spans="1:9">
      <c r="A54" s="8"/>
      <c r="B54" s="8"/>
      <c r="C54" s="20">
        <v>2</v>
      </c>
      <c r="D54" s="37">
        <f ca="1">IF(G47&gt;=4,E41,D41)</f>
        <v>1</v>
      </c>
      <c r="E54" s="37">
        <f ca="1">IF(G47&gt;=4,D41,E41)</f>
        <v>1</v>
      </c>
      <c r="F54" s="20">
        <f t="shared" si="7"/>
        <v>4</v>
      </c>
      <c r="G54" s="18"/>
    </row>
    <row r="55" spans="1:9">
      <c r="A55" s="8"/>
      <c r="B55" s="8"/>
      <c r="C55" s="20">
        <v>1</v>
      </c>
      <c r="D55" s="37">
        <f ca="1">IF(G47&gt;=5,E42,D42)</f>
        <v>0</v>
      </c>
      <c r="E55" s="37">
        <f ca="1">IF(G47&gt;=5,D42,E42)</f>
        <v>1</v>
      </c>
      <c r="F55" s="20">
        <f t="shared" si="7"/>
        <v>2</v>
      </c>
      <c r="G55" s="18"/>
    </row>
    <row r="56" spans="1:9">
      <c r="A56" s="8"/>
      <c r="B56" s="8"/>
      <c r="C56" s="20">
        <v>0</v>
      </c>
      <c r="D56" s="37">
        <f ca="1">IF(G47&gt;=6,E43,D43)</f>
        <v>1</v>
      </c>
      <c r="E56" s="37">
        <f ca="1">IF(G47&gt;=6,D43,E43)</f>
        <v>0</v>
      </c>
      <c r="F56" s="20">
        <f t="shared" si="7"/>
        <v>1</v>
      </c>
      <c r="G56" s="18"/>
    </row>
    <row r="57" spans="1:9">
      <c r="A57" s="8"/>
      <c r="B57" s="8"/>
      <c r="C57" s="20"/>
      <c r="D57" s="43" t="s">
        <v>108</v>
      </c>
      <c r="E57" s="43" t="s">
        <v>109</v>
      </c>
      <c r="F57" s="20"/>
      <c r="G57" s="18"/>
    </row>
    <row r="58" spans="1:9">
      <c r="A58" s="8" t="s">
        <v>114</v>
      </c>
      <c r="B58" s="8"/>
      <c r="C58" s="20"/>
      <c r="D58" s="38">
        <f ca="1">D51*2^C51+D52*2^C52+D53*2^C53+D54*2^C54+D55*2^C55+D56*2^C56</f>
        <v>21</v>
      </c>
      <c r="E58" s="38">
        <f ca="1">E51*2^C51+E52*2^C52+E53*2^C53+E54*2^C54+E55*2^C55+E56*2^C56</f>
        <v>22</v>
      </c>
      <c r="F58" s="20"/>
      <c r="G58" s="18"/>
    </row>
    <row r="59" spans="1:9">
      <c r="C59" s="18"/>
      <c r="D59">
        <f ca="1">(D58/C33)*(F35-C35)+C35</f>
        <v>-0.66666666666666674</v>
      </c>
      <c r="E59">
        <f ca="1">(E58/C33)*(F35-C35)+C35</f>
        <v>-0.60317460317460325</v>
      </c>
      <c r="F59" s="18"/>
      <c r="G59" s="18"/>
    </row>
    <row r="60" spans="1:9">
      <c r="A60" s="7" t="s">
        <v>115</v>
      </c>
      <c r="B60" s="7"/>
      <c r="C60" s="7"/>
      <c r="D60" s="7"/>
      <c r="E60" s="7"/>
      <c r="F60" s="7"/>
      <c r="G60" s="7"/>
      <c r="H60" s="45">
        <f ca="1">FLOOR($B$32*H35,1)</f>
        <v>3</v>
      </c>
      <c r="I60" s="45">
        <f ca="1">FLOOR($B$32*I35,1)</f>
        <v>2</v>
      </c>
    </row>
    <row r="63" spans="1:9">
      <c r="C63" s="43" t="s">
        <v>103</v>
      </c>
      <c r="D63" s="43"/>
      <c r="E63" s="43"/>
      <c r="F63" s="43" t="s">
        <v>104</v>
      </c>
    </row>
    <row r="64" spans="1:9">
      <c r="C64" s="20">
        <v>5</v>
      </c>
      <c r="D64" s="37">
        <f ca="1">IF(H60=1,IF(D51=1,0,1),D51)</f>
        <v>0</v>
      </c>
      <c r="E64" s="37">
        <f ca="1">IF(I60=1,IF(E51=1,0,1),E51)</f>
        <v>0</v>
      </c>
      <c r="F64" s="20">
        <f>2^C64</f>
        <v>32</v>
      </c>
    </row>
    <row r="65" spans="1:6">
      <c r="C65" s="20">
        <v>4</v>
      </c>
      <c r="D65" s="37">
        <f ca="1">IF(H60=2,IF(D52=1,0,1),D52)</f>
        <v>1</v>
      </c>
      <c r="E65" s="37">
        <f ca="1">IF(I60=2,IF(E52=1,0,1),E52)</f>
        <v>0</v>
      </c>
      <c r="F65" s="20">
        <f t="shared" ref="F65:F69" si="8">2^C65</f>
        <v>16</v>
      </c>
    </row>
    <row r="66" spans="1:6">
      <c r="C66" s="20">
        <v>3</v>
      </c>
      <c r="D66" s="37">
        <f ca="1">IF(H60=3,IF(D53=1,0,1),D53)</f>
        <v>1</v>
      </c>
      <c r="E66" s="37">
        <f ca="1">IF(I60=3,IF(E53=1,0,1),E53)</f>
        <v>0</v>
      </c>
      <c r="F66" s="20">
        <f t="shared" si="8"/>
        <v>8</v>
      </c>
    </row>
    <row r="67" spans="1:6">
      <c r="C67" s="20">
        <v>2</v>
      </c>
      <c r="D67" s="37">
        <f ca="1">IF(H60=4,IF(D54=1,0,1),D54)</f>
        <v>1</v>
      </c>
      <c r="E67" s="37">
        <f ca="1">IF(I60=4,IF(E54=1,0,1),E54)</f>
        <v>1</v>
      </c>
      <c r="F67" s="20">
        <f t="shared" si="8"/>
        <v>4</v>
      </c>
    </row>
    <row r="68" spans="1:6">
      <c r="C68" s="20">
        <v>1</v>
      </c>
      <c r="D68" s="37">
        <f ca="1">IF(H60=5,IF(D55=1,0,1),D55)</f>
        <v>0</v>
      </c>
      <c r="E68" s="37">
        <f ca="1">IF(I60=5,IF(E55=1,0,1),E55)</f>
        <v>1</v>
      </c>
      <c r="F68" s="20">
        <f t="shared" si="8"/>
        <v>2</v>
      </c>
    </row>
    <row r="69" spans="1:6">
      <c r="C69" s="20">
        <v>0</v>
      </c>
      <c r="D69" s="37">
        <f ca="1">IF(H60=6,IF(D56=1,0,1),D56)</f>
        <v>1</v>
      </c>
      <c r="E69" s="37">
        <f ca="1">IF(I60=6,IF(E56=1,0,1),E56)</f>
        <v>0</v>
      </c>
      <c r="F69" s="20">
        <f t="shared" si="8"/>
        <v>1</v>
      </c>
    </row>
    <row r="70" spans="1:6">
      <c r="C70" s="20"/>
      <c r="D70" s="43" t="s">
        <v>108</v>
      </c>
      <c r="E70" s="43" t="s">
        <v>109</v>
      </c>
      <c r="F70" s="20"/>
    </row>
    <row r="71" spans="1:6">
      <c r="C71" s="20"/>
      <c r="D71" s="38">
        <f ca="1">D64*2^C64+D65*2^C65+D66*2^C66+D67*2^C67+D68*2^C68+D69*2^C69</f>
        <v>29</v>
      </c>
      <c r="E71" s="38">
        <f ca="1">E64*2^C64+E65*2^C65+E66*2^C66+E67*2^C67+E68*2^C68+E69*2^C69</f>
        <v>6</v>
      </c>
      <c r="F71" s="20"/>
    </row>
    <row r="73" spans="1:6">
      <c r="A73" s="6" t="s">
        <v>116</v>
      </c>
      <c r="B73" s="6"/>
      <c r="C73" s="6"/>
      <c r="D73" s="46">
        <f ca="1">(D71/C33)*(F35-C35)+C35</f>
        <v>-0.15873015873015883</v>
      </c>
      <c r="E73" s="46">
        <f ca="1">(E71/C33)*(F35-C35)+C35</f>
        <v>-1.6190476190476191</v>
      </c>
    </row>
  </sheetData>
  <phoneticPr fontId="5"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98361-ECC4-4800-AA9F-4B889DA007F9}">
  <dimension ref="A1:G29"/>
  <sheetViews>
    <sheetView workbookViewId="0">
      <selection activeCell="F20" sqref="F20"/>
    </sheetView>
  </sheetViews>
  <sheetFormatPr defaultRowHeight="15"/>
  <cols>
    <col min="1" max="1" width="45.85546875" customWidth="1"/>
    <col min="2" max="2" width="14.42578125" customWidth="1"/>
    <col min="3" max="3" width="15.5703125" customWidth="1"/>
    <col min="4" max="4" width="14" customWidth="1"/>
    <col min="5" max="5" width="18.140625" customWidth="1"/>
    <col min="6" max="6" width="18.28515625" customWidth="1"/>
    <col min="7" max="7" width="18.42578125" customWidth="1"/>
  </cols>
  <sheetData>
    <row r="1" spans="1:7" ht="45">
      <c r="A1" s="34" t="s">
        <v>118</v>
      </c>
      <c r="B1" s="34" t="s">
        <v>119</v>
      </c>
      <c r="C1" s="34" t="s">
        <v>120</v>
      </c>
      <c r="D1" t="s">
        <v>121</v>
      </c>
      <c r="E1" s="34" t="s">
        <v>122</v>
      </c>
      <c r="F1" s="34" t="s">
        <v>125</v>
      </c>
    </row>
    <row r="2" spans="1:7">
      <c r="B2" t="s">
        <v>92</v>
      </c>
      <c r="C2">
        <v>5.2830000000000002E-2</v>
      </c>
      <c r="D2">
        <f>RANK(C2,$C$2:$C$11,1)</f>
        <v>1</v>
      </c>
      <c r="E2">
        <f>360*($B$13-D2+1)/$D$13</f>
        <v>65.454545454545453</v>
      </c>
      <c r="F2">
        <f>1-C2</f>
        <v>0.94716999999999996</v>
      </c>
    </row>
    <row r="3" spans="1:7">
      <c r="B3" t="s">
        <v>93</v>
      </c>
      <c r="C3">
        <v>0.77463000000000004</v>
      </c>
      <c r="D3" s="47">
        <f t="shared" ref="D3:D11" si="0">RANK(C3,$C$2:$C$11,1)</f>
        <v>8</v>
      </c>
      <c r="E3" s="47">
        <f t="shared" ref="E3:E10" si="1">360*($B$13-D3+1)/$D$13</f>
        <v>19.636363636363637</v>
      </c>
      <c r="F3" s="47">
        <f t="shared" ref="F3:F11" si="2">1-C3</f>
        <v>0.22536999999999996</v>
      </c>
    </row>
    <row r="4" spans="1:7">
      <c r="B4" s="47" t="s">
        <v>133</v>
      </c>
      <c r="C4">
        <v>0.70904</v>
      </c>
      <c r="D4" s="47">
        <f t="shared" si="0"/>
        <v>7</v>
      </c>
      <c r="E4" s="47">
        <f t="shared" si="1"/>
        <v>26.181818181818183</v>
      </c>
      <c r="F4" s="47">
        <f t="shared" si="2"/>
        <v>0.29096</v>
      </c>
    </row>
    <row r="5" spans="1:7">
      <c r="B5" s="47" t="s">
        <v>134</v>
      </c>
      <c r="C5">
        <v>0.82613000000000003</v>
      </c>
      <c r="D5" s="47">
        <f t="shared" si="0"/>
        <v>9</v>
      </c>
      <c r="E5" s="47">
        <f t="shared" si="1"/>
        <v>13.090909090909092</v>
      </c>
      <c r="F5" s="47">
        <f t="shared" si="2"/>
        <v>0.17386999999999997</v>
      </c>
    </row>
    <row r="6" spans="1:7">
      <c r="B6" s="47" t="s">
        <v>135</v>
      </c>
      <c r="C6">
        <v>0.51405000000000001</v>
      </c>
      <c r="D6" s="47">
        <f t="shared" si="0"/>
        <v>3</v>
      </c>
      <c r="E6" s="47">
        <f t="shared" si="1"/>
        <v>52.363636363636367</v>
      </c>
      <c r="F6" s="47">
        <f t="shared" si="2"/>
        <v>0.48594999999999999</v>
      </c>
    </row>
    <row r="7" spans="1:7">
      <c r="B7" s="47" t="s">
        <v>136</v>
      </c>
      <c r="C7">
        <v>0.54334000000000005</v>
      </c>
      <c r="D7" s="47">
        <f t="shared" si="0"/>
        <v>5</v>
      </c>
      <c r="E7" s="47">
        <f t="shared" si="1"/>
        <v>39.272727272727273</v>
      </c>
      <c r="F7" s="47">
        <f t="shared" si="2"/>
        <v>0.45665999999999995</v>
      </c>
    </row>
    <row r="8" spans="1:7">
      <c r="B8" s="47" t="s">
        <v>137</v>
      </c>
      <c r="C8">
        <v>0.62541999999999998</v>
      </c>
      <c r="D8" s="47">
        <f t="shared" si="0"/>
        <v>6</v>
      </c>
      <c r="E8" s="47">
        <f t="shared" si="1"/>
        <v>32.727272727272727</v>
      </c>
      <c r="F8" s="47">
        <f t="shared" si="2"/>
        <v>0.37458000000000002</v>
      </c>
    </row>
    <row r="9" spans="1:7">
      <c r="B9" s="47" t="s">
        <v>138</v>
      </c>
      <c r="C9">
        <v>0.26051999999999997</v>
      </c>
      <c r="D9" s="47">
        <f t="shared" si="0"/>
        <v>2</v>
      </c>
      <c r="E9" s="47">
        <f t="shared" si="1"/>
        <v>58.909090909090907</v>
      </c>
      <c r="F9" s="47">
        <f t="shared" si="2"/>
        <v>0.73948000000000003</v>
      </c>
    </row>
    <row r="10" spans="1:7">
      <c r="B10" s="47" t="s">
        <v>139</v>
      </c>
      <c r="C10">
        <v>0.51946999999999999</v>
      </c>
      <c r="D10" s="47">
        <f t="shared" si="0"/>
        <v>4</v>
      </c>
      <c r="E10" s="47">
        <f t="shared" si="1"/>
        <v>45.81818181818182</v>
      </c>
      <c r="F10" s="47">
        <f t="shared" si="2"/>
        <v>0.48053000000000001</v>
      </c>
    </row>
    <row r="11" spans="1:7">
      <c r="B11" s="47" t="s">
        <v>140</v>
      </c>
      <c r="C11">
        <v>0.97128000000000003</v>
      </c>
      <c r="D11" s="47">
        <f t="shared" si="0"/>
        <v>10</v>
      </c>
      <c r="E11" s="47">
        <f>360*($B$13-D11+1)/$D$13</f>
        <v>6.5454545454545459</v>
      </c>
      <c r="F11" s="47">
        <f t="shared" si="2"/>
        <v>2.8719999999999968E-2</v>
      </c>
    </row>
    <row r="13" spans="1:7">
      <c r="A13" t="s">
        <v>123</v>
      </c>
      <c r="B13">
        <f>MAX(D2:D11)</f>
        <v>10</v>
      </c>
      <c r="C13" t="s">
        <v>124</v>
      </c>
      <c r="D13">
        <f>SUM(D2:D11)</f>
        <v>55</v>
      </c>
    </row>
    <row r="15" spans="1:7">
      <c r="A15" t="s">
        <v>126</v>
      </c>
      <c r="G15" t="s">
        <v>128</v>
      </c>
    </row>
    <row r="16" spans="1:7">
      <c r="A16" t="s">
        <v>127</v>
      </c>
      <c r="B16" t="str">
        <f>INDEX($B$2:$D$11,MATCH(D16,$D$2:$D$11,0),1)</f>
        <v>P1</v>
      </c>
      <c r="C16">
        <f>INDEX($C$2:$D$11,MATCH(D16,$D$2:$D$11,0),1)</f>
        <v>5.2830000000000002E-2</v>
      </c>
      <c r="D16">
        <v>1</v>
      </c>
      <c r="E16" s="47">
        <f>360*($B$13-D16+1)/$D$13</f>
        <v>65.454545454545453</v>
      </c>
      <c r="F16" s="47">
        <f>1-C16</f>
        <v>0.94716999999999996</v>
      </c>
      <c r="G16">
        <f>(E16/360)</f>
        <v>0.18181818181818182</v>
      </c>
    </row>
    <row r="17" spans="1:7">
      <c r="B17" s="47" t="str">
        <f t="shared" ref="B17:B25" si="3">INDEX($B$2:$D$11,MATCH(D17,$D$2:$D$11,0),1)</f>
        <v>P8</v>
      </c>
      <c r="C17" s="47">
        <f t="shared" ref="C17:C25" si="4">INDEX($C$2:$D$11,MATCH(D17,$D$2:$D$11,0),1)</f>
        <v>0.26051999999999997</v>
      </c>
      <c r="D17">
        <v>2</v>
      </c>
      <c r="E17" s="47">
        <f>360*($B$13-D17+1)/$D$13</f>
        <v>58.909090909090907</v>
      </c>
      <c r="F17" s="47">
        <f t="shared" ref="F17:F25" si="5">1-C17</f>
        <v>0.73948000000000003</v>
      </c>
      <c r="G17" s="47">
        <f>(E17/360)+G16</f>
        <v>0.34545454545454546</v>
      </c>
    </row>
    <row r="18" spans="1:7">
      <c r="B18" s="47" t="str">
        <f t="shared" si="3"/>
        <v>P5</v>
      </c>
      <c r="C18" s="47">
        <f t="shared" si="4"/>
        <v>0.51405000000000001</v>
      </c>
      <c r="D18" s="47">
        <v>3</v>
      </c>
      <c r="E18" s="47">
        <f t="shared" ref="E18:E24" si="6">360*($B$13-D18+1)/$D$13</f>
        <v>52.363636363636367</v>
      </c>
      <c r="F18" s="47">
        <f t="shared" si="5"/>
        <v>0.48594999999999999</v>
      </c>
      <c r="G18" s="47">
        <f t="shared" ref="G18:G25" si="7">(E18/360)+G17</f>
        <v>0.49090909090909096</v>
      </c>
    </row>
    <row r="19" spans="1:7">
      <c r="B19" s="47" t="str">
        <f t="shared" si="3"/>
        <v>P9</v>
      </c>
      <c r="C19" s="47">
        <f t="shared" si="4"/>
        <v>0.51946999999999999</v>
      </c>
      <c r="D19" s="47">
        <v>4</v>
      </c>
      <c r="E19" s="47">
        <f t="shared" si="6"/>
        <v>45.81818181818182</v>
      </c>
      <c r="F19" s="47">
        <f t="shared" si="5"/>
        <v>0.48053000000000001</v>
      </c>
      <c r="G19" s="47">
        <f t="shared" si="7"/>
        <v>0.61818181818181828</v>
      </c>
    </row>
    <row r="20" spans="1:7">
      <c r="B20" s="47" t="str">
        <f t="shared" si="3"/>
        <v>P6</v>
      </c>
      <c r="C20" s="47">
        <f t="shared" si="4"/>
        <v>0.54334000000000005</v>
      </c>
      <c r="D20" s="47">
        <v>5</v>
      </c>
      <c r="E20" s="47">
        <f t="shared" si="6"/>
        <v>39.272727272727273</v>
      </c>
      <c r="F20" s="47">
        <f t="shared" si="5"/>
        <v>0.45665999999999995</v>
      </c>
      <c r="G20" s="47">
        <f t="shared" si="7"/>
        <v>0.7272727272727274</v>
      </c>
    </row>
    <row r="21" spans="1:7">
      <c r="B21" s="47" t="str">
        <f t="shared" si="3"/>
        <v>P7</v>
      </c>
      <c r="C21" s="47">
        <f t="shared" si="4"/>
        <v>0.62541999999999998</v>
      </c>
      <c r="D21" s="47">
        <v>6</v>
      </c>
      <c r="E21" s="47">
        <f t="shared" si="6"/>
        <v>32.727272727272727</v>
      </c>
      <c r="F21" s="47">
        <f t="shared" si="5"/>
        <v>0.37458000000000002</v>
      </c>
      <c r="G21" s="47">
        <f t="shared" si="7"/>
        <v>0.81818181818181834</v>
      </c>
    </row>
    <row r="22" spans="1:7">
      <c r="B22" s="47" t="str">
        <f t="shared" si="3"/>
        <v>P3</v>
      </c>
      <c r="C22" s="47">
        <f t="shared" si="4"/>
        <v>0.70904</v>
      </c>
      <c r="D22" s="47">
        <v>7</v>
      </c>
      <c r="E22" s="47">
        <f t="shared" si="6"/>
        <v>26.181818181818183</v>
      </c>
      <c r="F22" s="47">
        <f t="shared" si="5"/>
        <v>0.29096</v>
      </c>
      <c r="G22" s="47">
        <f t="shared" si="7"/>
        <v>0.89090909090909109</v>
      </c>
    </row>
    <row r="23" spans="1:7">
      <c r="B23" s="47" t="str">
        <f t="shared" si="3"/>
        <v>P2</v>
      </c>
      <c r="C23" s="47">
        <f t="shared" si="4"/>
        <v>0.77463000000000004</v>
      </c>
      <c r="D23" s="47">
        <v>8</v>
      </c>
      <c r="E23" s="47">
        <f t="shared" si="6"/>
        <v>19.636363636363637</v>
      </c>
      <c r="F23" s="47">
        <f t="shared" si="5"/>
        <v>0.22536999999999996</v>
      </c>
      <c r="G23" s="47">
        <f t="shared" si="7"/>
        <v>0.94545454545454566</v>
      </c>
    </row>
    <row r="24" spans="1:7">
      <c r="B24" s="47" t="str">
        <f t="shared" si="3"/>
        <v>P4</v>
      </c>
      <c r="C24" s="47">
        <f t="shared" si="4"/>
        <v>0.82613000000000003</v>
      </c>
      <c r="D24" s="47">
        <v>9</v>
      </c>
      <c r="E24" s="47">
        <f t="shared" si="6"/>
        <v>13.090909090909092</v>
      </c>
      <c r="F24" s="47">
        <f t="shared" si="5"/>
        <v>0.17386999999999997</v>
      </c>
      <c r="G24" s="47">
        <f t="shared" si="7"/>
        <v>0.98181818181818203</v>
      </c>
    </row>
    <row r="25" spans="1:7">
      <c r="B25" s="47" t="str">
        <f t="shared" si="3"/>
        <v>P10</v>
      </c>
      <c r="C25" s="47">
        <f t="shared" si="4"/>
        <v>0.97128000000000003</v>
      </c>
      <c r="D25" s="47">
        <v>10</v>
      </c>
      <c r="E25" s="47">
        <f>360*($B$13-D25+1)/$D$13</f>
        <v>6.5454545454545459</v>
      </c>
      <c r="F25" s="47">
        <f t="shared" si="5"/>
        <v>2.8719999999999968E-2</v>
      </c>
      <c r="G25" s="47">
        <f t="shared" si="7"/>
        <v>1.0000000000000002</v>
      </c>
    </row>
    <row r="27" spans="1:7">
      <c r="A27" t="s">
        <v>129</v>
      </c>
      <c r="C27" t="s">
        <v>130</v>
      </c>
      <c r="D27" t="s">
        <v>131</v>
      </c>
      <c r="E27" t="s">
        <v>132</v>
      </c>
      <c r="F27" t="s">
        <v>141</v>
      </c>
    </row>
    <row r="28" spans="1:7">
      <c r="C28">
        <f ca="1">RAND()</f>
        <v>0.64764679344141229</v>
      </c>
      <c r="D28">
        <f ca="1">FLOOR($B$13*C28,1)+1</f>
        <v>7</v>
      </c>
      <c r="E28">
        <f ca="1">INDEX($B$16:$D$25,MATCH(D28,D16:D25,0),2)</f>
        <v>0.70904</v>
      </c>
      <c r="F28" t="str">
        <f ca="1">INDEX($B$16:$D$25,MATCH(D28,D16:D25,0),1)</f>
        <v>P3</v>
      </c>
    </row>
    <row r="29" spans="1:7">
      <c r="C29" s="47">
        <f ca="1">RAND()</f>
        <v>0.39634633471663094</v>
      </c>
      <c r="D29" s="47">
        <f ca="1">FLOOR($B$13*C29,1)+1</f>
        <v>4</v>
      </c>
      <c r="E29" s="47">
        <f ca="1">INDEX($B$16:$D$25,MATCH(D29,D16:D25,0),2)</f>
        <v>0.51946999999999999</v>
      </c>
      <c r="F29" s="47" t="str">
        <f ca="1">INDEX($B$16:$D$25,MATCH(D29,D16:D25,0),1)</f>
        <v>P9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CAB95-7FCB-4B83-B87B-ED30DC18B8CD}">
  <dimension ref="A1:AI478"/>
  <sheetViews>
    <sheetView zoomScaleNormal="100" workbookViewId="0">
      <selection activeCell="H45" sqref="H45"/>
    </sheetView>
  </sheetViews>
  <sheetFormatPr defaultRowHeight="15"/>
  <cols>
    <col min="1" max="1" width="45.85546875" style="47" customWidth="1"/>
    <col min="2" max="4" width="14.42578125" style="47" customWidth="1"/>
    <col min="5" max="5" width="15.5703125" style="47" customWidth="1"/>
    <col min="6" max="6" width="14" style="47" customWidth="1"/>
    <col min="7" max="7" width="18.140625" style="47" customWidth="1"/>
    <col min="8" max="8" width="18.28515625" style="47" customWidth="1"/>
    <col min="9" max="9" width="18.42578125" style="47" customWidth="1"/>
    <col min="10" max="12" width="17.28515625" style="47" customWidth="1"/>
    <col min="13" max="16384" width="9.140625" style="47"/>
  </cols>
  <sheetData>
    <row r="1" spans="1:35">
      <c r="A1" s="55" t="s">
        <v>117</v>
      </c>
      <c r="B1" s="8" t="s">
        <v>144</v>
      </c>
      <c r="C1" s="8"/>
      <c r="D1" s="8"/>
      <c r="E1" s="8"/>
      <c r="Y1" s="47" t="s">
        <v>173</v>
      </c>
      <c r="AD1" s="47" t="s">
        <v>178</v>
      </c>
      <c r="AE1" s="47" t="s">
        <v>167</v>
      </c>
      <c r="AH1" s="47" t="s">
        <v>178</v>
      </c>
      <c r="AI1" s="47" t="s">
        <v>168</v>
      </c>
    </row>
    <row r="2" spans="1:35">
      <c r="A2" s="55" t="s">
        <v>72</v>
      </c>
      <c r="B2" s="8" t="s">
        <v>143</v>
      </c>
      <c r="C2" s="8" t="s">
        <v>225</v>
      </c>
      <c r="D2" s="8"/>
      <c r="E2" s="8"/>
      <c r="F2" s="54"/>
      <c r="Y2" s="47" t="s">
        <v>174</v>
      </c>
      <c r="Z2" s="47" t="s">
        <v>52</v>
      </c>
      <c r="AA2" s="47" t="s">
        <v>53</v>
      </c>
      <c r="AB2" s="47" t="s">
        <v>175</v>
      </c>
    </row>
    <row r="3" spans="1:35" ht="30">
      <c r="A3" s="24" t="s">
        <v>51</v>
      </c>
      <c r="B3" s="8"/>
      <c r="C3" s="8"/>
      <c r="D3" s="8"/>
      <c r="E3" s="8"/>
      <c r="F3" s="54"/>
      <c r="Z3" s="47">
        <f ca="1">C13</f>
        <v>-4.1611499945339343</v>
      </c>
      <c r="AA3" s="47">
        <f ca="1">D13</f>
        <v>1.0526047671247181</v>
      </c>
      <c r="AB3" s="53">
        <f t="shared" ref="AB3:AB12" ca="1" si="0">$B$4*Z3+$B$5*AA3+$B$6*Z3*AA3+$B$7*Z3^2+$B$8*AA3^2</f>
        <v>4.5046706978389279</v>
      </c>
      <c r="AD3" s="47" cm="1">
        <f t="array" aca="1" ref="AD3:AF12" ca="1">_xlfn._xlws.SORT(Z3:AB12,,1,FALSE)</f>
        <v>-4.6614653271641</v>
      </c>
      <c r="AE3" s="47">
        <f ca="1"/>
        <v>1.3761931018881288</v>
      </c>
      <c r="AF3" s="47">
        <f ca="1"/>
        <v>5.2730695169138428</v>
      </c>
      <c r="AH3" s="47" cm="1">
        <f t="array" aca="1" ref="AH3:AI12" ca="1">_xlfn._xlws.SORT(AA3:AB12,,1,FALSE)</f>
        <v>-4.6082108342766146</v>
      </c>
      <c r="AI3" s="47">
        <f ca="1"/>
        <v>35.15258526440693</v>
      </c>
    </row>
    <row r="4" spans="1:35">
      <c r="A4" s="25" t="s">
        <v>5</v>
      </c>
      <c r="B4" s="26">
        <v>1</v>
      </c>
      <c r="C4" s="53"/>
      <c r="D4" s="53"/>
      <c r="E4" s="8"/>
      <c r="F4" s="54"/>
      <c r="Z4" s="47">
        <f t="shared" ref="Z4:AA4" ca="1" si="1">C14</f>
        <v>2.6080208665971156</v>
      </c>
      <c r="AA4" s="47">
        <f t="shared" ca="1" si="1"/>
        <v>1.6297054718026818</v>
      </c>
      <c r="AB4" s="53">
        <f t="shared" ca="1" si="0"/>
        <v>19.96287436698271</v>
      </c>
      <c r="AD4" s="47">
        <f ca="1"/>
        <v>-4.1611499945339343</v>
      </c>
      <c r="AE4" s="47">
        <f ca="1"/>
        <v>1.0526047671247181</v>
      </c>
      <c r="AF4" s="47">
        <f ca="1"/>
        <v>4.5046706978389279</v>
      </c>
      <c r="AH4" s="47">
        <f ca="1"/>
        <v>-3.9085661237454206</v>
      </c>
      <c r="AI4" s="47">
        <f ca="1"/>
        <v>26.856518177494795</v>
      </c>
    </row>
    <row r="5" spans="1:35">
      <c r="A5" s="27" t="s">
        <v>6</v>
      </c>
      <c r="B5" s="28">
        <v>-2</v>
      </c>
      <c r="C5" s="53"/>
      <c r="D5" s="53"/>
      <c r="E5" s="8"/>
      <c r="F5" s="54"/>
      <c r="Z5" s="47">
        <f t="shared" ref="Z5:AA5" ca="1" si="2">C15</f>
        <v>3.1943832302450197</v>
      </c>
      <c r="AA5" s="47">
        <f t="shared" ca="1" si="2"/>
        <v>0.43886824295215376</v>
      </c>
      <c r="AB5" s="53">
        <f t="shared" ca="1" si="0"/>
        <v>15.709768346502056</v>
      </c>
      <c r="AD5" s="47">
        <f ca="1"/>
        <v>-3.7573898508751693</v>
      </c>
      <c r="AE5" s="47">
        <f ca="1"/>
        <v>0.38224804589572425</v>
      </c>
      <c r="AF5" s="47">
        <f ca="1"/>
        <v>7.0158098296443887</v>
      </c>
      <c r="AH5" s="47">
        <f ca="1"/>
        <v>-3.9023212612378719</v>
      </c>
      <c r="AI5" s="47">
        <f ca="1"/>
        <v>46.670789129946044</v>
      </c>
    </row>
    <row r="6" spans="1:35">
      <c r="A6" s="27" t="s">
        <v>7</v>
      </c>
      <c r="B6" s="28">
        <v>2</v>
      </c>
      <c r="C6" s="53"/>
      <c r="D6" s="53"/>
      <c r="E6" s="8"/>
      <c r="F6" s="54"/>
      <c r="Z6" s="47">
        <f t="shared" ref="Z6:AA6" ca="1" si="3">C16</f>
        <v>-3.7573898508751693</v>
      </c>
      <c r="AA6" s="47">
        <f t="shared" ca="1" si="3"/>
        <v>0.38224804589572425</v>
      </c>
      <c r="AB6" s="53">
        <f t="shared" ca="1" si="0"/>
        <v>7.0158098296443887</v>
      </c>
      <c r="AD6" s="47">
        <f ca="1"/>
        <v>-1.0682171985366651</v>
      </c>
      <c r="AE6" s="47">
        <f ca="1"/>
        <v>-3.9023212612378719</v>
      </c>
      <c r="AF6" s="47">
        <f ca="1"/>
        <v>46.670789129946044</v>
      </c>
      <c r="AH6" s="47">
        <f ca="1"/>
        <v>-2.1544804909209958E-2</v>
      </c>
      <c r="AI6" s="47">
        <f ca="1"/>
        <v>9.5169509739057201</v>
      </c>
    </row>
    <row r="7" spans="1:35">
      <c r="A7" s="27" t="s">
        <v>54</v>
      </c>
      <c r="B7" s="28">
        <v>1</v>
      </c>
      <c r="C7" s="53"/>
      <c r="D7" s="53"/>
      <c r="E7" s="8"/>
      <c r="F7" s="54"/>
      <c r="Z7" s="47">
        <f t="shared" ref="Z7:AA7" ca="1" si="4">C17</f>
        <v>1.7263305804259721</v>
      </c>
      <c r="AA7" s="47">
        <f t="shared" ca="1" si="4"/>
        <v>2.3180925386828619</v>
      </c>
      <c r="AB7" s="53">
        <f t="shared" ca="1" si="0"/>
        <v>18.821056887339434</v>
      </c>
      <c r="AD7" s="47">
        <f ca="1"/>
        <v>1.7263305804259721</v>
      </c>
      <c r="AE7" s="47">
        <f ca="1"/>
        <v>2.3180925386828619</v>
      </c>
      <c r="AF7" s="47">
        <f ca="1"/>
        <v>18.821056887339434</v>
      </c>
      <c r="AH7" s="47">
        <f ca="1"/>
        <v>0.38224804589572425</v>
      </c>
      <c r="AI7" s="47">
        <f ca="1"/>
        <v>7.0158098296443887</v>
      </c>
    </row>
    <row r="8" spans="1:35">
      <c r="A8" s="29" t="s">
        <v>55</v>
      </c>
      <c r="B8" s="30">
        <v>2</v>
      </c>
      <c r="C8" s="53"/>
      <c r="D8" s="53"/>
      <c r="E8" s="8"/>
      <c r="F8" s="54"/>
      <c r="Z8" s="47">
        <f t="shared" ref="Z8:AA8" ca="1" si="5">C18</f>
        <v>-1.0682171985366651</v>
      </c>
      <c r="AA8" s="47">
        <f t="shared" ca="1" si="5"/>
        <v>-3.9023212612378719</v>
      </c>
      <c r="AB8" s="53">
        <f t="shared" ca="1" si="0"/>
        <v>46.670789129946044</v>
      </c>
      <c r="AD8" s="47">
        <f ca="1"/>
        <v>2.6080208665971156</v>
      </c>
      <c r="AE8" s="47">
        <f ca="1"/>
        <v>1.6297054718026818</v>
      </c>
      <c r="AF8" s="47">
        <f ca="1"/>
        <v>19.96287436698271</v>
      </c>
      <c r="AH8" s="47">
        <f ca="1"/>
        <v>0.43886824295215376</v>
      </c>
      <c r="AI8" s="47">
        <f ca="1"/>
        <v>15.709768346502056</v>
      </c>
    </row>
    <row r="9" spans="1:35">
      <c r="A9" s="25" t="s">
        <v>67</v>
      </c>
      <c r="B9" s="49">
        <v>-1.9999996374097115</v>
      </c>
      <c r="C9" s="49">
        <v>1.4999992725118474</v>
      </c>
      <c r="D9" s="26">
        <f>$B$4*B9+$B$5*C9+$B$6*B9*C9+$B$7*B9^2+$B$8*C9^2</f>
        <v>-2.4999999999993392</v>
      </c>
      <c r="E9" s="8"/>
      <c r="F9" s="54"/>
      <c r="Z9" s="47">
        <f t="shared" ref="Z9:AA9" ca="1" si="6">C19</f>
        <v>3.523107707953816</v>
      </c>
      <c r="AA9" s="47">
        <f t="shared" ca="1" si="6"/>
        <v>-4.6082108342766146</v>
      </c>
      <c r="AB9" s="53">
        <f t="shared" ca="1" si="0"/>
        <v>35.15258526440693</v>
      </c>
      <c r="AD9" s="47">
        <f ca="1"/>
        <v>2.6363244729691377</v>
      </c>
      <c r="AE9" s="47">
        <f ca="1"/>
        <v>-2.1544804909209958E-2</v>
      </c>
      <c r="AF9" s="47">
        <f ca="1"/>
        <v>9.5169509739057201</v>
      </c>
      <c r="AH9" s="47">
        <f ca="1"/>
        <v>1.0526047671247181</v>
      </c>
      <c r="AI9" s="47">
        <f ca="1"/>
        <v>4.5046706978389279</v>
      </c>
    </row>
    <row r="10" spans="1:35" ht="15" customHeight="1">
      <c r="A10" s="56" t="s">
        <v>145</v>
      </c>
      <c r="B10" s="57" t="s">
        <v>146</v>
      </c>
      <c r="C10" s="57">
        <v>-5</v>
      </c>
      <c r="D10" s="58" t="s">
        <v>94</v>
      </c>
      <c r="E10" s="58">
        <v>5</v>
      </c>
      <c r="Z10" s="47">
        <f t="shared" ref="Z10:AA10" ca="1" si="7">C20</f>
        <v>3.730948912628806</v>
      </c>
      <c r="AA10" s="47">
        <f t="shared" ca="1" si="7"/>
        <v>-3.9085661237454206</v>
      </c>
      <c r="AB10" s="53">
        <f t="shared" ca="1" si="0"/>
        <v>26.856518177494795</v>
      </c>
      <c r="AD10" s="47">
        <f ca="1"/>
        <v>3.1943832302450197</v>
      </c>
      <c r="AE10" s="47">
        <f ca="1"/>
        <v>0.43886824295215376</v>
      </c>
      <c r="AF10" s="47">
        <f ca="1"/>
        <v>15.709768346502056</v>
      </c>
      <c r="AH10" s="47">
        <f ca="1"/>
        <v>1.3761931018881288</v>
      </c>
      <c r="AI10" s="47">
        <f ca="1"/>
        <v>5.2730695169138428</v>
      </c>
    </row>
    <row r="11" spans="1:35" ht="15" customHeight="1">
      <c r="A11" s="50" t="s">
        <v>169</v>
      </c>
      <c r="B11" s="51">
        <f ca="1">RAND()*($E$10-$C$10)+$C$10</f>
        <v>-3.6364708466417914</v>
      </c>
      <c r="C11" s="51"/>
      <c r="D11" s="51"/>
      <c r="E11" s="51"/>
      <c r="F11" s="52"/>
      <c r="G11" s="52"/>
      <c r="Z11" s="47">
        <f t="shared" ref="Z11:AA11" ca="1" si="8">C21</f>
        <v>-4.6614653271641</v>
      </c>
      <c r="AA11" s="47">
        <f t="shared" ca="1" si="8"/>
        <v>1.3761931018881288</v>
      </c>
      <c r="AB11" s="53">
        <f t="shared" ca="1" si="0"/>
        <v>5.2730695169138428</v>
      </c>
      <c r="AD11" s="47">
        <f ca="1"/>
        <v>3.523107707953816</v>
      </c>
      <c r="AE11" s="47">
        <f ca="1"/>
        <v>-4.6082108342766146</v>
      </c>
      <c r="AF11" s="47">
        <f ca="1"/>
        <v>35.15258526440693</v>
      </c>
      <c r="AH11" s="47">
        <f ca="1"/>
        <v>1.6297054718026818</v>
      </c>
      <c r="AI11" s="47">
        <f ca="1"/>
        <v>19.96287436698271</v>
      </c>
    </row>
    <row r="12" spans="1:35" ht="45">
      <c r="A12" s="34" t="s">
        <v>142</v>
      </c>
      <c r="B12" s="34" t="s">
        <v>119</v>
      </c>
      <c r="C12" s="34" t="s">
        <v>148</v>
      </c>
      <c r="D12" s="34" t="s">
        <v>149</v>
      </c>
      <c r="E12" s="34" t="s">
        <v>150</v>
      </c>
      <c r="F12" s="47" t="s">
        <v>121</v>
      </c>
      <c r="G12" s="34" t="s">
        <v>122</v>
      </c>
      <c r="H12" s="34" t="s">
        <v>125</v>
      </c>
      <c r="Z12" s="47">
        <f t="shared" ref="Z12:AA12" ca="1" si="9">C22</f>
        <v>2.6363244729691377</v>
      </c>
      <c r="AA12" s="47">
        <f t="shared" ca="1" si="9"/>
        <v>-2.1544804909209958E-2</v>
      </c>
      <c r="AB12" s="53">
        <f t="shared" ca="1" si="0"/>
        <v>9.5169509739057201</v>
      </c>
      <c r="AD12" s="47">
        <f ca="1"/>
        <v>3.730948912628806</v>
      </c>
      <c r="AE12" s="47">
        <f ca="1"/>
        <v>-3.9085661237454206</v>
      </c>
      <c r="AF12" s="47">
        <f ca="1"/>
        <v>26.856518177494795</v>
      </c>
      <c r="AH12" s="47">
        <f ca="1"/>
        <v>2.3180925386828619</v>
      </c>
      <c r="AI12" s="47">
        <f ca="1"/>
        <v>18.821056887339434</v>
      </c>
    </row>
    <row r="13" spans="1:35">
      <c r="A13" s="125" t="s">
        <v>147</v>
      </c>
      <c r="B13" s="47" t="s">
        <v>92</v>
      </c>
      <c r="C13" s="47">
        <f ca="1">RAND()*($E$10-$C$10)+$C$10</f>
        <v>-4.1611499945339343</v>
      </c>
      <c r="D13" s="47">
        <f ca="1">RAND()*($E$10-$C$10)+$C$10</f>
        <v>1.0526047671247181</v>
      </c>
      <c r="E13" s="53">
        <f t="shared" ref="E13:E22" ca="1" si="10">$B$4*C13+$B$5*D13+$B$6*C13*D13+$B$7*C13^2+$B$8*D13^2</f>
        <v>4.5046706978389279</v>
      </c>
      <c r="F13" s="47">
        <f ca="1">RANK(E13,$E$13:$E$22,1)</f>
        <v>1</v>
      </c>
      <c r="G13" s="47">
        <f t="shared" ref="G13:G22" ca="1" si="11">360*($B$24-F13+1)/$D$24</f>
        <v>65.454545454545453</v>
      </c>
      <c r="H13" s="47">
        <f t="shared" ref="H13:H22" ca="1" si="12">1-C13</f>
        <v>5.1611499945339343</v>
      </c>
      <c r="Y13" s="47" t="s">
        <v>176</v>
      </c>
      <c r="Z13" s="47" t="s">
        <v>167</v>
      </c>
      <c r="AA13" s="47" t="s">
        <v>168</v>
      </c>
      <c r="AB13" s="47" t="s">
        <v>175</v>
      </c>
    </row>
    <row r="14" spans="1:35">
      <c r="A14" s="125"/>
      <c r="B14" s="47" t="s">
        <v>93</v>
      </c>
      <c r="C14" s="47">
        <f t="shared" ref="C14:D22" ca="1" si="13">RAND()*($E$10-$C$10)+$C$10</f>
        <v>2.6080208665971156</v>
      </c>
      <c r="D14" s="47">
        <f t="shared" ca="1" si="13"/>
        <v>1.6297054718026818</v>
      </c>
      <c r="E14" s="53">
        <f t="shared" ca="1" si="10"/>
        <v>19.96287436698271</v>
      </c>
      <c r="F14" s="47">
        <f t="shared" ref="F14:F22" ca="1" si="14">RANK(E14,$E$13:$E$22,1)</f>
        <v>7</v>
      </c>
      <c r="G14" s="47">
        <f t="shared" ca="1" si="11"/>
        <v>26.181818181818183</v>
      </c>
      <c r="H14" s="47">
        <f t="shared" ca="1" si="12"/>
        <v>-1.6080208665971156</v>
      </c>
      <c r="Z14" s="47">
        <f t="shared" ref="Z14:Z23" ca="1" si="15">J39</f>
        <v>-3.8888888888888888</v>
      </c>
      <c r="AA14" s="47">
        <f t="shared" ref="AA14:AA23" ca="1" si="16">K39</f>
        <v>1.5079365079365079</v>
      </c>
      <c r="AB14" s="53">
        <f t="shared" ref="AB14:AB23" ca="1" si="17">L39</f>
        <v>1.0380448475686581</v>
      </c>
      <c r="AD14" s="47" cm="1">
        <f t="array" aca="1" ref="AD14:AF23" ca="1">_xlfn._xlws.SORT(Z14:AB23,,1,FALSE)</f>
        <v>-3.8888888888888888</v>
      </c>
      <c r="AE14" s="47">
        <f ca="1"/>
        <v>1.5079365079365079</v>
      </c>
      <c r="AF14" s="47">
        <f ca="1"/>
        <v>1.0380448475686581</v>
      </c>
      <c r="AH14" s="47" cm="1">
        <f t="array" aca="1" ref="AH14:AI23" ca="1">_xlfn._xlws.SORT(AA14:AB23,,1,FALSE)</f>
        <v>-5</v>
      </c>
      <c r="AI14" s="47">
        <f ca="1"/>
        <v>39.836230788611743</v>
      </c>
    </row>
    <row r="15" spans="1:35">
      <c r="A15" s="125"/>
      <c r="B15" s="47" t="s">
        <v>133</v>
      </c>
      <c r="C15" s="47">
        <f t="shared" ca="1" si="13"/>
        <v>3.1943832302450197</v>
      </c>
      <c r="D15" s="47">
        <f t="shared" ca="1" si="13"/>
        <v>0.43886824295215376</v>
      </c>
      <c r="E15" s="53">
        <f t="shared" ca="1" si="10"/>
        <v>15.709768346502056</v>
      </c>
      <c r="F15" s="47">
        <f t="shared" ca="1" si="14"/>
        <v>5</v>
      </c>
      <c r="G15" s="47">
        <f t="shared" ca="1" si="11"/>
        <v>39.272727272727273</v>
      </c>
      <c r="H15" s="47">
        <f t="shared" ca="1" si="12"/>
        <v>-2.1943832302450197</v>
      </c>
      <c r="Z15" s="47">
        <f t="shared" ca="1" si="15"/>
        <v>-0.87301587301587347</v>
      </c>
      <c r="AA15" s="47">
        <f t="shared" ca="1" si="16"/>
        <v>0.23809523809523814</v>
      </c>
      <c r="AB15" s="53">
        <f t="shared" ca="1" si="17"/>
        <v>-0.88939279415469885</v>
      </c>
      <c r="AD15" s="47">
        <f ca="1"/>
        <v>-0.87301587301587347</v>
      </c>
      <c r="AE15" s="47">
        <f ca="1"/>
        <v>0.23809523809523814</v>
      </c>
      <c r="AF15" s="47">
        <f ca="1"/>
        <v>-0.88939279415469885</v>
      </c>
      <c r="AH15" s="47">
        <f ca="1"/>
        <v>-4.8412698412698409</v>
      </c>
      <c r="AI15" s="47">
        <f ca="1"/>
        <v>49.740488788107825</v>
      </c>
    </row>
    <row r="16" spans="1:35">
      <c r="A16" s="125"/>
      <c r="B16" s="47" t="s">
        <v>134</v>
      </c>
      <c r="C16" s="47">
        <f t="shared" ca="1" si="13"/>
        <v>-3.7573898508751693</v>
      </c>
      <c r="D16" s="47">
        <f t="shared" ca="1" si="13"/>
        <v>0.38224804589572425</v>
      </c>
      <c r="E16" s="53">
        <f t="shared" ca="1" si="10"/>
        <v>7.0158098296443887</v>
      </c>
      <c r="F16" s="47">
        <f t="shared" ca="1" si="14"/>
        <v>3</v>
      </c>
      <c r="G16" s="47">
        <f t="shared" ca="1" si="11"/>
        <v>52.363636363636367</v>
      </c>
      <c r="H16" s="47">
        <f t="shared" ca="1" si="12"/>
        <v>4.7573898508751693</v>
      </c>
      <c r="Z16" s="47">
        <f t="shared" ca="1" si="15"/>
        <v>7.9365079365079083E-2</v>
      </c>
      <c r="AA16" s="47">
        <f t="shared" ca="1" si="16"/>
        <v>1.3492063492063489</v>
      </c>
      <c r="AB16" s="53">
        <f t="shared" ca="1" si="17"/>
        <v>1.2421264802217156</v>
      </c>
      <c r="AD16" s="47">
        <f ca="1"/>
        <v>7.9365079365079083E-2</v>
      </c>
      <c r="AE16" s="47">
        <f ca="1"/>
        <v>1.3492063492063489</v>
      </c>
      <c r="AF16" s="47">
        <f ca="1"/>
        <v>1.2421264802217156</v>
      </c>
      <c r="AH16" s="47">
        <f ca="1"/>
        <v>-4.2063492063492065</v>
      </c>
      <c r="AI16" s="47">
        <f ca="1"/>
        <v>39.989921894683803</v>
      </c>
    </row>
    <row r="17" spans="1:35">
      <c r="A17" s="125"/>
      <c r="B17" s="47" t="s">
        <v>135</v>
      </c>
      <c r="C17" s="47">
        <f t="shared" ca="1" si="13"/>
        <v>1.7263305804259721</v>
      </c>
      <c r="D17" s="47">
        <f t="shared" ca="1" si="13"/>
        <v>2.3180925386828619</v>
      </c>
      <c r="E17" s="53">
        <f t="shared" ca="1" si="10"/>
        <v>18.821056887339434</v>
      </c>
      <c r="F17" s="47">
        <f t="shared" ca="1" si="14"/>
        <v>6</v>
      </c>
      <c r="G17" s="47">
        <f t="shared" ca="1" si="11"/>
        <v>32.727272727272727</v>
      </c>
      <c r="H17" s="47">
        <f t="shared" ca="1" si="12"/>
        <v>-0.72633058042597209</v>
      </c>
      <c r="Z17" s="47">
        <f t="shared" ca="1" si="15"/>
        <v>1.3492063492063489</v>
      </c>
      <c r="AA17" s="47">
        <f t="shared" ca="1" si="16"/>
        <v>-2.7777777777777777</v>
      </c>
      <c r="AB17" s="53">
        <f t="shared" ca="1" si="17"/>
        <v>16.661627614008566</v>
      </c>
      <c r="AD17" s="47">
        <f ca="1"/>
        <v>0.23809523809523814</v>
      </c>
      <c r="AE17" s="47">
        <f ca="1"/>
        <v>-2.9365079365079367</v>
      </c>
      <c r="AF17" s="47">
        <f ca="1"/>
        <v>22.015621063240115</v>
      </c>
      <c r="AH17" s="47">
        <f ca="1"/>
        <v>-2.9365079365079367</v>
      </c>
      <c r="AI17" s="47">
        <f ca="1"/>
        <v>22.015621063240115</v>
      </c>
    </row>
    <row r="18" spans="1:35">
      <c r="A18" s="125"/>
      <c r="B18" s="47" t="s">
        <v>136</v>
      </c>
      <c r="C18" s="47">
        <f t="shared" ca="1" si="13"/>
        <v>-1.0682171985366651</v>
      </c>
      <c r="D18" s="47">
        <f t="shared" ca="1" si="13"/>
        <v>-3.9023212612378719</v>
      </c>
      <c r="E18" s="53">
        <f t="shared" ca="1" si="10"/>
        <v>46.670789129946044</v>
      </c>
      <c r="F18" s="47">
        <f t="shared" ca="1" si="14"/>
        <v>10</v>
      </c>
      <c r="G18" s="47">
        <f t="shared" ca="1" si="11"/>
        <v>6.5454545454545459</v>
      </c>
      <c r="H18" s="47">
        <f t="shared" ca="1" si="12"/>
        <v>2.0682171985366651</v>
      </c>
      <c r="Z18" s="47">
        <f t="shared" ca="1" si="15"/>
        <v>0.87301587301587347</v>
      </c>
      <c r="AA18" s="47">
        <f t="shared" ca="1" si="16"/>
        <v>-4.8412698412698409</v>
      </c>
      <c r="AB18" s="53">
        <f t="shared" ca="1" si="17"/>
        <v>49.740488788107825</v>
      </c>
      <c r="AD18" s="47">
        <f ca="1"/>
        <v>0.55555555555555536</v>
      </c>
      <c r="AE18" s="47">
        <f ca="1"/>
        <v>0.3968253968253963</v>
      </c>
      <c r="AF18" s="47">
        <f ca="1"/>
        <v>0.82640463592844449</v>
      </c>
      <c r="AH18" s="47">
        <f ca="1"/>
        <v>-2.7777777777777777</v>
      </c>
      <c r="AI18" s="47">
        <f ca="1"/>
        <v>16.661627614008566</v>
      </c>
    </row>
    <row r="19" spans="1:35">
      <c r="A19" s="125"/>
      <c r="B19" s="47" t="s">
        <v>137</v>
      </c>
      <c r="C19" s="47">
        <f t="shared" ca="1" si="13"/>
        <v>3.523107707953816</v>
      </c>
      <c r="D19" s="47">
        <f t="shared" ca="1" si="13"/>
        <v>-4.6082108342766146</v>
      </c>
      <c r="E19" s="53">
        <f t="shared" ca="1" si="10"/>
        <v>35.15258526440693</v>
      </c>
      <c r="F19" s="47">
        <f t="shared" ca="1" si="14"/>
        <v>9</v>
      </c>
      <c r="G19" s="47">
        <f t="shared" ca="1" si="11"/>
        <v>13.090909090909092</v>
      </c>
      <c r="H19" s="47">
        <f t="shared" ca="1" si="12"/>
        <v>-2.523107707953816</v>
      </c>
      <c r="Z19" s="47">
        <f t="shared" ca="1" si="15"/>
        <v>0.23809523809523814</v>
      </c>
      <c r="AA19" s="47">
        <f t="shared" ca="1" si="16"/>
        <v>-2.9365079365079367</v>
      </c>
      <c r="AB19" s="53">
        <f t="shared" ca="1" si="17"/>
        <v>22.015621063240115</v>
      </c>
      <c r="AD19" s="47">
        <f ca="1"/>
        <v>0.55555555555555536</v>
      </c>
      <c r="AE19" s="47">
        <f ca="1"/>
        <v>-4.2063492063492065</v>
      </c>
      <c r="AF19" s="47">
        <f ca="1"/>
        <v>39.989921894683803</v>
      </c>
      <c r="AH19" s="47">
        <f ca="1"/>
        <v>0.23809523809523814</v>
      </c>
      <c r="AI19" s="47">
        <f ca="1"/>
        <v>-0.88939279415469885</v>
      </c>
    </row>
    <row r="20" spans="1:35">
      <c r="A20" s="125"/>
      <c r="B20" s="47" t="s">
        <v>138</v>
      </c>
      <c r="C20" s="47">
        <f t="shared" ca="1" si="13"/>
        <v>3.730948912628806</v>
      </c>
      <c r="D20" s="47">
        <f t="shared" ca="1" si="13"/>
        <v>-3.9085661237454206</v>
      </c>
      <c r="E20" s="53">
        <f t="shared" ca="1" si="10"/>
        <v>26.856518177494795</v>
      </c>
      <c r="F20" s="47">
        <f t="shared" ca="1" si="14"/>
        <v>8</v>
      </c>
      <c r="G20" s="47">
        <f t="shared" ca="1" si="11"/>
        <v>19.636363636363637</v>
      </c>
      <c r="H20" s="47">
        <f t="shared" ca="1" si="12"/>
        <v>-2.730948912628806</v>
      </c>
      <c r="Z20" s="47">
        <f t="shared" ca="1" si="15"/>
        <v>4.2063492063492056</v>
      </c>
      <c r="AA20" s="47">
        <f t="shared" ca="1" si="16"/>
        <v>-5</v>
      </c>
      <c r="AB20" s="53">
        <f t="shared" ca="1" si="17"/>
        <v>39.836230788611743</v>
      </c>
      <c r="AD20" s="47">
        <f ca="1"/>
        <v>0.87301587301587347</v>
      </c>
      <c r="AE20" s="47">
        <f ca="1"/>
        <v>-4.8412698412698409</v>
      </c>
      <c r="AF20" s="47">
        <f ca="1"/>
        <v>49.740488788107825</v>
      </c>
      <c r="AH20" s="47">
        <f ca="1"/>
        <v>0.3968253968253963</v>
      </c>
      <c r="AI20" s="47">
        <f ca="1"/>
        <v>0.82640463592844449</v>
      </c>
    </row>
    <row r="21" spans="1:35">
      <c r="A21" s="125"/>
      <c r="B21" s="47" t="s">
        <v>139</v>
      </c>
      <c r="C21" s="47">
        <f t="shared" ca="1" si="13"/>
        <v>-4.6614653271641</v>
      </c>
      <c r="D21" s="47">
        <f t="shared" ca="1" si="13"/>
        <v>1.3761931018881288</v>
      </c>
      <c r="E21" s="53">
        <f t="shared" ca="1" si="10"/>
        <v>5.2730695169138428</v>
      </c>
      <c r="F21" s="47">
        <f t="shared" ca="1" si="14"/>
        <v>2</v>
      </c>
      <c r="G21" s="47">
        <f ca="1">360*($B$24-F21+1)/$D$24</f>
        <v>58.909090909090907</v>
      </c>
      <c r="H21" s="47">
        <f t="shared" ca="1" si="12"/>
        <v>5.6614653271641</v>
      </c>
      <c r="Z21" s="47">
        <f t="shared" ca="1" si="15"/>
        <v>1.825396825396826</v>
      </c>
      <c r="AA21" s="47">
        <f t="shared" ca="1" si="16"/>
        <v>0.87301587301587347</v>
      </c>
      <c r="AB21" s="53">
        <f t="shared" ca="1" si="17"/>
        <v>8.1229528848576535</v>
      </c>
      <c r="AD21" s="47">
        <f ca="1"/>
        <v>1.3492063492063489</v>
      </c>
      <c r="AE21" s="47">
        <f ca="1"/>
        <v>-2.7777777777777777</v>
      </c>
      <c r="AF21" s="47">
        <f ca="1"/>
        <v>16.661627614008566</v>
      </c>
      <c r="AH21" s="47">
        <f ca="1"/>
        <v>0.87301587301587347</v>
      </c>
      <c r="AI21" s="47">
        <f ca="1"/>
        <v>8.1229528848576535</v>
      </c>
    </row>
    <row r="22" spans="1:35">
      <c r="A22" s="125"/>
      <c r="B22" s="47" t="s">
        <v>140</v>
      </c>
      <c r="C22" s="47">
        <f t="shared" ca="1" si="13"/>
        <v>2.6363244729691377</v>
      </c>
      <c r="D22" s="47">
        <f t="shared" ca="1" si="13"/>
        <v>-2.1544804909209958E-2</v>
      </c>
      <c r="E22" s="53">
        <f t="shared" ca="1" si="10"/>
        <v>9.5169509739057201</v>
      </c>
      <c r="F22" s="47">
        <f t="shared" ca="1" si="14"/>
        <v>4</v>
      </c>
      <c r="G22" s="47">
        <f t="shared" ca="1" si="11"/>
        <v>45.81818181818182</v>
      </c>
      <c r="H22" s="47">
        <f t="shared" ca="1" si="12"/>
        <v>-1.6363244729691377</v>
      </c>
      <c r="Z22" s="47">
        <f t="shared" ca="1" si="15"/>
        <v>0.55555555555555536</v>
      </c>
      <c r="AA22" s="47">
        <f t="shared" ca="1" si="16"/>
        <v>0.3968253968253963</v>
      </c>
      <c r="AB22" s="53">
        <f t="shared" ca="1" si="17"/>
        <v>0.82640463592844449</v>
      </c>
      <c r="AD22" s="47">
        <f ca="1"/>
        <v>1.825396825396826</v>
      </c>
      <c r="AE22" s="47">
        <f ca="1"/>
        <v>0.87301587301587347</v>
      </c>
      <c r="AF22" s="47">
        <f ca="1"/>
        <v>8.1229528848576535</v>
      </c>
      <c r="AH22" s="47">
        <f ca="1"/>
        <v>1.3492063492063489</v>
      </c>
      <c r="AI22" s="47">
        <f ca="1"/>
        <v>1.2421264802217156</v>
      </c>
    </row>
    <row r="23" spans="1:35">
      <c r="Z23" s="47">
        <f t="shared" ca="1" si="15"/>
        <v>0.55555555555555536</v>
      </c>
      <c r="AA23" s="47">
        <f t="shared" ca="1" si="16"/>
        <v>-4.2063492063492065</v>
      </c>
      <c r="AB23" s="53">
        <f t="shared" ca="1" si="17"/>
        <v>39.989921894683803</v>
      </c>
      <c r="AD23" s="47">
        <f ca="1"/>
        <v>4.2063492063492056</v>
      </c>
      <c r="AE23" s="47">
        <f ca="1"/>
        <v>-5</v>
      </c>
      <c r="AF23" s="47">
        <f ca="1"/>
        <v>39.836230788611743</v>
      </c>
      <c r="AH23" s="47">
        <f ca="1"/>
        <v>1.5079365079365079</v>
      </c>
      <c r="AI23" s="47">
        <f ca="1"/>
        <v>1.0380448475686581</v>
      </c>
    </row>
    <row r="24" spans="1:35">
      <c r="A24" s="47" t="s">
        <v>123</v>
      </c>
      <c r="B24" s="47">
        <f ca="1">MAX(F13:F22)</f>
        <v>10</v>
      </c>
      <c r="C24" s="47" t="s">
        <v>124</v>
      </c>
      <c r="D24" s="47">
        <f ca="1">SUM(F13:F22)</f>
        <v>55</v>
      </c>
      <c r="Y24" s="47" t="s">
        <v>177</v>
      </c>
      <c r="Z24" s="47" t="s">
        <v>167</v>
      </c>
      <c r="AA24" s="47" t="s">
        <v>168</v>
      </c>
      <c r="AB24" s="47" t="s">
        <v>175</v>
      </c>
    </row>
    <row r="25" spans="1:35">
      <c r="Z25" s="47">
        <f t="shared" ref="Z25:Z34" ca="1" si="18">J79</f>
        <v>-3.8888888888888888</v>
      </c>
      <c r="AA25" s="47">
        <f t="shared" ref="AA25:AA34" ca="1" si="19">K79</f>
        <v>1.825396825396826</v>
      </c>
      <c r="AB25" s="53">
        <f t="shared" ref="AB25:AB34" ca="1" si="20">L79</f>
        <v>5.0390526581000294E-2</v>
      </c>
      <c r="AD25" s="47" cm="1">
        <f t="array" aca="1" ref="AD25:AF34" ca="1">_xlfn._xlws.SORT(Z25:AB34,,1,FALSE)</f>
        <v>-5</v>
      </c>
      <c r="AE25" s="47">
        <f ca="1"/>
        <v>-0.71428571428571441</v>
      </c>
      <c r="AF25" s="47">
        <f ca="1"/>
        <v>29.591836734693878</v>
      </c>
      <c r="AH25" s="47" cm="1">
        <f t="array" aca="1" ref="AH25:AI34" ca="1">_xlfn._xlws.SORT(AA25:AB34,,1,FALSE)</f>
        <v>-4.5238095238095237</v>
      </c>
      <c r="AI25" s="47">
        <f ca="1"/>
        <v>39.342403628117921</v>
      </c>
    </row>
    <row r="26" spans="1:35">
      <c r="I26" s="47" t="s">
        <v>128</v>
      </c>
      <c r="J26" s="47" t="s">
        <v>154</v>
      </c>
      <c r="Z26" s="47">
        <f t="shared" ca="1" si="18"/>
        <v>-5</v>
      </c>
      <c r="AA26" s="47">
        <f t="shared" ca="1" si="19"/>
        <v>-0.71428571428571441</v>
      </c>
      <c r="AB26" s="53">
        <f t="shared" ca="1" si="20"/>
        <v>29.591836734693878</v>
      </c>
      <c r="AD26" s="47">
        <f ca="1"/>
        <v>-5</v>
      </c>
      <c r="AE26" s="47">
        <f ca="1"/>
        <v>1.3492063492063489</v>
      </c>
      <c r="AF26" s="47">
        <f ca="1"/>
        <v>7.450239355001262</v>
      </c>
      <c r="AH26" s="47">
        <f ca="1"/>
        <v>-0.71428571428571441</v>
      </c>
      <c r="AI26" s="47">
        <f ca="1"/>
        <v>29.591836734693878</v>
      </c>
    </row>
    <row r="27" spans="1:35">
      <c r="A27" s="125" t="s">
        <v>165</v>
      </c>
      <c r="B27" s="47" t="str">
        <f t="shared" ref="B27:B36" ca="1" si="21">INDEX($B$13:$F$22,MATCH(F27,$F$13:$F$22,0),1)</f>
        <v>P1</v>
      </c>
      <c r="C27" s="47">
        <f ca="1">INDEX($B$13:$F$22,MATCH(F27,$F$13:$F$22,0),2)</f>
        <v>-4.1611499945339343</v>
      </c>
      <c r="D27" s="47">
        <f ca="1">INDEX($B$13:$F$22,MATCH(F27,$F$13:$F$22,0),3)</f>
        <v>1.0526047671247181</v>
      </c>
      <c r="E27" s="47">
        <f ca="1">INDEX($B$13:$F$22,MATCH(F27,$F$13:$F$22,0),4)</f>
        <v>4.5046706978389279</v>
      </c>
      <c r="F27" s="47">
        <v>1</v>
      </c>
      <c r="G27" s="47">
        <f t="shared" ref="G27:G36" ca="1" si="22">360*($B$24-F27+1)/$D$24</f>
        <v>65.454545454545453</v>
      </c>
      <c r="H27" s="47">
        <f t="shared" ref="H27:H36" ca="1" si="23">1-E27</f>
        <v>-3.5046706978389279</v>
      </c>
      <c r="I27" s="47">
        <f ca="1">(G27/360)</f>
        <v>0.18181818181818182</v>
      </c>
      <c r="J27" s="47">
        <f ca="1">G27</f>
        <v>65.454545454545453</v>
      </c>
      <c r="Z27" s="47">
        <f t="shared" ca="1" si="18"/>
        <v>-3.412698412698413</v>
      </c>
      <c r="AA27" s="47">
        <f t="shared" ca="1" si="19"/>
        <v>1.0317460317460316</v>
      </c>
      <c r="AB27" s="53">
        <f t="shared" ca="1" si="20"/>
        <v>1.2572436381960195</v>
      </c>
      <c r="AD27" s="47">
        <f ca="1"/>
        <v>-5</v>
      </c>
      <c r="AE27" s="47">
        <f ca="1"/>
        <v>1.3492063492063489</v>
      </c>
      <c r="AF27" s="47">
        <f ca="1"/>
        <v>7.450239355001262</v>
      </c>
      <c r="AH27" s="47">
        <f ca="1"/>
        <v>-7.9365079365079971E-2</v>
      </c>
      <c r="AI27" s="47">
        <f ca="1"/>
        <v>1.2824389014865194</v>
      </c>
    </row>
    <row r="28" spans="1:35">
      <c r="A28" s="125"/>
      <c r="B28" s="47" t="str">
        <f t="shared" ca="1" si="21"/>
        <v>P9</v>
      </c>
      <c r="C28" s="47">
        <f t="shared" ref="C28:C36" ca="1" si="24">INDEX($B$13:$F$22,MATCH(F28,$F$13:$F$22,0),2)</f>
        <v>-4.6614653271641</v>
      </c>
      <c r="D28" s="47">
        <f t="shared" ref="D28:D36" ca="1" si="25">INDEX($B$13:$F$22,MATCH(F28,$F$13:$F$22,0),3)</f>
        <v>1.3761931018881288</v>
      </c>
      <c r="E28" s="47">
        <f t="shared" ref="E28:E36" ca="1" si="26">INDEX($B$13:$F$22,MATCH(F28,$F$13:$F$22,0),4)</f>
        <v>5.2730695169138428</v>
      </c>
      <c r="F28" s="47">
        <v>2</v>
      </c>
      <c r="G28" s="47">
        <f t="shared" ca="1" si="22"/>
        <v>58.909090909090907</v>
      </c>
      <c r="H28" s="47">
        <f t="shared" ca="1" si="23"/>
        <v>-4.2730695169138428</v>
      </c>
      <c r="I28" s="47">
        <f t="shared" ref="I28:I36" ca="1" si="27">(G28/360)+I27</f>
        <v>0.34545454545454546</v>
      </c>
      <c r="J28" s="47">
        <f ca="1">G28+J27</f>
        <v>124.36363636363636</v>
      </c>
      <c r="Z28" s="47">
        <f t="shared" ca="1" si="18"/>
        <v>1.6666666666666661</v>
      </c>
      <c r="AA28" s="47">
        <f t="shared" ca="1" si="19"/>
        <v>1.3492063492063489</v>
      </c>
      <c r="AB28" s="53">
        <f t="shared" ca="1" si="20"/>
        <v>9.8841017888636884</v>
      </c>
      <c r="AD28" s="47">
        <f ca="1"/>
        <v>-3.8888888888888888</v>
      </c>
      <c r="AE28" s="47">
        <f ca="1"/>
        <v>1.825396825396826</v>
      </c>
      <c r="AF28" s="47">
        <f ca="1"/>
        <v>5.0390526581000294E-2</v>
      </c>
      <c r="AH28" s="47">
        <f ca="1"/>
        <v>7.9365079365079083E-2</v>
      </c>
      <c r="AI28" s="47">
        <f ca="1"/>
        <v>1.1917359536407137</v>
      </c>
    </row>
    <row r="29" spans="1:35">
      <c r="A29" s="125"/>
      <c r="B29" s="47" t="str">
        <f t="shared" ca="1" si="21"/>
        <v>P4</v>
      </c>
      <c r="C29" s="47">
        <f t="shared" ca="1" si="24"/>
        <v>-3.7573898508751693</v>
      </c>
      <c r="D29" s="47">
        <f t="shared" ca="1" si="25"/>
        <v>0.38224804589572425</v>
      </c>
      <c r="E29" s="47">
        <f t="shared" ca="1" si="26"/>
        <v>7.0158098296443887</v>
      </c>
      <c r="F29" s="47">
        <v>3</v>
      </c>
      <c r="G29" s="47">
        <f t="shared" ca="1" si="22"/>
        <v>52.363636363636367</v>
      </c>
      <c r="H29" s="47">
        <f t="shared" ca="1" si="23"/>
        <v>-6.0158098296443887</v>
      </c>
      <c r="I29" s="47">
        <f t="shared" ca="1" si="27"/>
        <v>0.49090909090909096</v>
      </c>
      <c r="J29" s="47">
        <f t="shared" ref="J29:J36" ca="1" si="28">G29+J28</f>
        <v>176.72727272727272</v>
      </c>
      <c r="Z29" s="47">
        <f t="shared" ca="1" si="18"/>
        <v>0.71428571428571352</v>
      </c>
      <c r="AA29" s="47">
        <f t="shared" ca="1" si="19"/>
        <v>7.9365079365079083E-2</v>
      </c>
      <c r="AB29" s="53">
        <f t="shared" ca="1" si="20"/>
        <v>1.1917359536407137</v>
      </c>
      <c r="AD29" s="47">
        <f ca="1"/>
        <v>-3.412698412698413</v>
      </c>
      <c r="AE29" s="47">
        <f ca="1"/>
        <v>1.0317460317460316</v>
      </c>
      <c r="AF29" s="47">
        <f ca="1"/>
        <v>1.2572436381960195</v>
      </c>
      <c r="AH29" s="47">
        <f ca="1"/>
        <v>0.71428571428571352</v>
      </c>
      <c r="AI29" s="47">
        <f ca="1"/>
        <v>27.500629881582245</v>
      </c>
    </row>
    <row r="30" spans="1:35">
      <c r="A30" s="125"/>
      <c r="B30" s="47" t="str">
        <f t="shared" ca="1" si="21"/>
        <v>P10</v>
      </c>
      <c r="C30" s="47">
        <f t="shared" ca="1" si="24"/>
        <v>2.6363244729691377</v>
      </c>
      <c r="D30" s="47">
        <f t="shared" ca="1" si="25"/>
        <v>-2.1544804909209958E-2</v>
      </c>
      <c r="E30" s="47">
        <f t="shared" ca="1" si="26"/>
        <v>9.5169509739057201</v>
      </c>
      <c r="F30" s="47">
        <v>4</v>
      </c>
      <c r="G30" s="47">
        <f t="shared" ca="1" si="22"/>
        <v>45.81818181818182</v>
      </c>
      <c r="H30" s="47">
        <f t="shared" ca="1" si="23"/>
        <v>-8.5169509739057201</v>
      </c>
      <c r="I30" s="47">
        <f t="shared" ca="1" si="27"/>
        <v>0.61818181818181828</v>
      </c>
      <c r="J30" s="47">
        <f t="shared" ca="1" si="28"/>
        <v>222.54545454545453</v>
      </c>
      <c r="Z30" s="47">
        <f t="shared" ca="1" si="18"/>
        <v>1.6666666666666661</v>
      </c>
      <c r="AA30" s="47">
        <f t="shared" ca="1" si="19"/>
        <v>-4.5238095238095237</v>
      </c>
      <c r="AB30" s="53">
        <f t="shared" ca="1" si="20"/>
        <v>39.342403628117921</v>
      </c>
      <c r="AD30" s="47">
        <f ca="1"/>
        <v>0.71428571428571352</v>
      </c>
      <c r="AE30" s="47">
        <f ca="1"/>
        <v>7.9365079365079083E-2</v>
      </c>
      <c r="AF30" s="47">
        <f ca="1"/>
        <v>1.1917359536407137</v>
      </c>
      <c r="AH30" s="47">
        <f ca="1"/>
        <v>1.0317460317460316</v>
      </c>
      <c r="AI30" s="47">
        <f ca="1"/>
        <v>1.2572436381960195</v>
      </c>
    </row>
    <row r="31" spans="1:35">
      <c r="A31" s="125"/>
      <c r="B31" s="47" t="str">
        <f t="shared" ca="1" si="21"/>
        <v>P3</v>
      </c>
      <c r="C31" s="47">
        <f t="shared" ca="1" si="24"/>
        <v>3.1943832302450197</v>
      </c>
      <c r="D31" s="47">
        <f t="shared" ca="1" si="25"/>
        <v>0.43886824295215376</v>
      </c>
      <c r="E31" s="47">
        <f t="shared" ca="1" si="26"/>
        <v>15.709768346502056</v>
      </c>
      <c r="F31" s="47">
        <v>5</v>
      </c>
      <c r="G31" s="47">
        <f t="shared" ca="1" si="22"/>
        <v>39.272727272727273</v>
      </c>
      <c r="H31" s="47">
        <f t="shared" ca="1" si="23"/>
        <v>-14.709768346502056</v>
      </c>
      <c r="I31" s="47">
        <f t="shared" ca="1" si="27"/>
        <v>0.7272727272727274</v>
      </c>
      <c r="J31" s="47">
        <f t="shared" ca="1" si="28"/>
        <v>261.81818181818181</v>
      </c>
      <c r="Z31" s="47">
        <f t="shared" ca="1" si="18"/>
        <v>-5</v>
      </c>
      <c r="AA31" s="47">
        <f t="shared" ca="1" si="19"/>
        <v>1.3492063492063489</v>
      </c>
      <c r="AB31" s="53">
        <f t="shared" ca="1" si="20"/>
        <v>7.450239355001262</v>
      </c>
      <c r="AD31" s="47">
        <f ca="1"/>
        <v>0.71428571428571352</v>
      </c>
      <c r="AE31" s="47">
        <f ca="1"/>
        <v>-7.9365079365079971E-2</v>
      </c>
      <c r="AF31" s="47">
        <f ca="1"/>
        <v>1.2824389014865194</v>
      </c>
      <c r="AH31" s="47">
        <f ca="1"/>
        <v>1.3492063492063489</v>
      </c>
      <c r="AI31" s="47">
        <f ca="1"/>
        <v>9.8841017888636884</v>
      </c>
    </row>
    <row r="32" spans="1:35">
      <c r="A32" s="125"/>
      <c r="B32" s="47" t="str">
        <f t="shared" ca="1" si="21"/>
        <v>P5</v>
      </c>
      <c r="C32" s="47">
        <f t="shared" ca="1" si="24"/>
        <v>1.7263305804259721</v>
      </c>
      <c r="D32" s="47">
        <f t="shared" ca="1" si="25"/>
        <v>2.3180925386828619</v>
      </c>
      <c r="E32" s="47">
        <f t="shared" ca="1" si="26"/>
        <v>18.821056887339434</v>
      </c>
      <c r="F32" s="47">
        <v>6</v>
      </c>
      <c r="G32" s="47">
        <f t="shared" ca="1" si="22"/>
        <v>32.727272727272727</v>
      </c>
      <c r="H32" s="47">
        <f t="shared" ca="1" si="23"/>
        <v>-17.821056887339434</v>
      </c>
      <c r="I32" s="47">
        <f t="shared" ca="1" si="27"/>
        <v>0.81818181818181834</v>
      </c>
      <c r="J32" s="47">
        <f t="shared" ca="1" si="28"/>
        <v>294.54545454545456</v>
      </c>
      <c r="Z32" s="47">
        <f t="shared" ca="1" si="18"/>
        <v>0.71428571428571352</v>
      </c>
      <c r="AA32" s="47">
        <f t="shared" ca="1" si="19"/>
        <v>-7.9365079365079971E-2</v>
      </c>
      <c r="AB32" s="53">
        <f t="shared" ca="1" si="20"/>
        <v>1.2824389014865194</v>
      </c>
      <c r="AD32" s="47">
        <f ca="1"/>
        <v>1.6666666666666661</v>
      </c>
      <c r="AE32" s="47">
        <f ca="1"/>
        <v>1.3492063492063489</v>
      </c>
      <c r="AF32" s="47">
        <f ca="1"/>
        <v>9.8841017888636884</v>
      </c>
      <c r="AH32" s="47">
        <f ca="1"/>
        <v>1.3492063492063489</v>
      </c>
      <c r="AI32" s="47">
        <f ca="1"/>
        <v>7.450239355001262</v>
      </c>
    </row>
    <row r="33" spans="1:35">
      <c r="A33" s="125"/>
      <c r="B33" s="47" t="str">
        <f t="shared" ca="1" si="21"/>
        <v>P2</v>
      </c>
      <c r="C33" s="47">
        <f t="shared" ca="1" si="24"/>
        <v>2.6080208665971156</v>
      </c>
      <c r="D33" s="47">
        <f t="shared" ca="1" si="25"/>
        <v>1.6297054718026818</v>
      </c>
      <c r="E33" s="47">
        <f t="shared" ca="1" si="26"/>
        <v>19.96287436698271</v>
      </c>
      <c r="F33" s="47">
        <v>7</v>
      </c>
      <c r="G33" s="47">
        <f t="shared" ca="1" si="22"/>
        <v>26.181818181818183</v>
      </c>
      <c r="H33" s="47">
        <f t="shared" ca="1" si="23"/>
        <v>-18.96287436698271</v>
      </c>
      <c r="I33" s="47">
        <f t="shared" ca="1" si="27"/>
        <v>0.89090909090909109</v>
      </c>
      <c r="J33" s="47">
        <f t="shared" ca="1" si="28"/>
        <v>320.72727272727275</v>
      </c>
      <c r="Z33" s="47">
        <f t="shared" ca="1" si="18"/>
        <v>4.2063492063492056</v>
      </c>
      <c r="AA33" s="47">
        <f t="shared" ca="1" si="19"/>
        <v>0.71428571428571352</v>
      </c>
      <c r="AB33" s="53">
        <f t="shared" ca="1" si="20"/>
        <v>27.500629881582245</v>
      </c>
      <c r="AD33" s="47">
        <f ca="1"/>
        <v>1.6666666666666661</v>
      </c>
      <c r="AE33" s="47">
        <f ca="1"/>
        <v>-4.5238095238095237</v>
      </c>
      <c r="AF33" s="47">
        <f ca="1"/>
        <v>39.342403628117921</v>
      </c>
      <c r="AH33" s="47">
        <f ca="1"/>
        <v>1.3492063492063489</v>
      </c>
      <c r="AI33" s="47">
        <f ca="1"/>
        <v>7.450239355001262</v>
      </c>
    </row>
    <row r="34" spans="1:35">
      <c r="A34" s="125"/>
      <c r="B34" s="47" t="str">
        <f t="shared" ca="1" si="21"/>
        <v>P8</v>
      </c>
      <c r="C34" s="47">
        <f t="shared" ca="1" si="24"/>
        <v>3.730948912628806</v>
      </c>
      <c r="D34" s="47">
        <f t="shared" ca="1" si="25"/>
        <v>-3.9085661237454206</v>
      </c>
      <c r="E34" s="47">
        <f t="shared" ca="1" si="26"/>
        <v>26.856518177494795</v>
      </c>
      <c r="F34" s="47">
        <v>8</v>
      </c>
      <c r="G34" s="47">
        <f t="shared" ca="1" si="22"/>
        <v>19.636363636363637</v>
      </c>
      <c r="H34" s="47">
        <f t="shared" ca="1" si="23"/>
        <v>-25.856518177494795</v>
      </c>
      <c r="I34" s="47">
        <f t="shared" ca="1" si="27"/>
        <v>0.94545454545454566</v>
      </c>
      <c r="J34" s="47">
        <f t="shared" ca="1" si="28"/>
        <v>340.36363636363637</v>
      </c>
      <c r="Z34" s="47">
        <f t="shared" ca="1" si="18"/>
        <v>-5</v>
      </c>
      <c r="AA34" s="47">
        <f t="shared" ca="1" si="19"/>
        <v>1.3492063492063489</v>
      </c>
      <c r="AB34" s="53">
        <f t="shared" ca="1" si="20"/>
        <v>7.450239355001262</v>
      </c>
      <c r="AD34" s="47">
        <f ca="1"/>
        <v>4.2063492063492056</v>
      </c>
      <c r="AE34" s="47">
        <f ca="1"/>
        <v>0.71428571428571352</v>
      </c>
      <c r="AF34" s="47">
        <f ca="1"/>
        <v>27.500629881582245</v>
      </c>
      <c r="AH34" s="47">
        <f ca="1"/>
        <v>1.825396825396826</v>
      </c>
      <c r="AI34" s="47">
        <f ca="1"/>
        <v>5.0390526581000294E-2</v>
      </c>
    </row>
    <row r="35" spans="1:35">
      <c r="A35" s="125"/>
      <c r="B35" s="47" t="str">
        <f t="shared" ca="1" si="21"/>
        <v>P7</v>
      </c>
      <c r="C35" s="47">
        <f t="shared" ca="1" si="24"/>
        <v>3.523107707953816</v>
      </c>
      <c r="D35" s="47">
        <f t="shared" ca="1" si="25"/>
        <v>-4.6082108342766146</v>
      </c>
      <c r="E35" s="47">
        <f t="shared" ca="1" si="26"/>
        <v>35.15258526440693</v>
      </c>
      <c r="F35" s="47">
        <v>9</v>
      </c>
      <c r="G35" s="47">
        <f t="shared" ca="1" si="22"/>
        <v>13.090909090909092</v>
      </c>
      <c r="H35" s="47">
        <f t="shared" ca="1" si="23"/>
        <v>-34.15258526440693</v>
      </c>
      <c r="I35" s="47">
        <f t="shared" ca="1" si="27"/>
        <v>0.98181818181818203</v>
      </c>
      <c r="J35" s="47">
        <f t="shared" ca="1" si="28"/>
        <v>353.45454545454544</v>
      </c>
    </row>
    <row r="36" spans="1:35">
      <c r="A36" s="125"/>
      <c r="B36" s="47" t="str">
        <f t="shared" ca="1" si="21"/>
        <v>P6</v>
      </c>
      <c r="C36" s="47">
        <f t="shared" ca="1" si="24"/>
        <v>-1.0682171985366651</v>
      </c>
      <c r="D36" s="47">
        <f t="shared" ca="1" si="25"/>
        <v>-3.9023212612378719</v>
      </c>
      <c r="E36" s="47">
        <f t="shared" ca="1" si="26"/>
        <v>46.670789129946044</v>
      </c>
      <c r="F36" s="47">
        <v>10</v>
      </c>
      <c r="G36" s="47">
        <f t="shared" ca="1" si="22"/>
        <v>6.5454545454545459</v>
      </c>
      <c r="H36" s="47">
        <f t="shared" ca="1" si="23"/>
        <v>-45.670789129946044</v>
      </c>
      <c r="I36" s="47">
        <f t="shared" ca="1" si="27"/>
        <v>1.0000000000000002</v>
      </c>
      <c r="J36" s="47">
        <f t="shared" ca="1" si="28"/>
        <v>360</v>
      </c>
    </row>
    <row r="38" spans="1:35" ht="30">
      <c r="B38" s="48" t="s">
        <v>130</v>
      </c>
      <c r="C38" s="47" t="s">
        <v>153</v>
      </c>
      <c r="D38" s="47" t="s">
        <v>131</v>
      </c>
      <c r="E38" s="47" t="s">
        <v>167</v>
      </c>
      <c r="F38" s="47" t="s">
        <v>168</v>
      </c>
      <c r="G38" s="48" t="s">
        <v>132</v>
      </c>
      <c r="H38" s="48" t="s">
        <v>141</v>
      </c>
      <c r="I38" s="48" t="s">
        <v>151</v>
      </c>
      <c r="J38" s="48" t="s">
        <v>167</v>
      </c>
      <c r="K38" s="48" t="s">
        <v>168</v>
      </c>
      <c r="L38" s="48" t="s">
        <v>152</v>
      </c>
    </row>
    <row r="39" spans="1:35">
      <c r="A39" s="125" t="s">
        <v>166</v>
      </c>
      <c r="B39" s="47">
        <f t="shared" ref="B39:B48" ca="1" si="29">RAND()</f>
        <v>0.4476861410238564</v>
      </c>
      <c r="C39" s="47">
        <f t="shared" ref="C39:C48" ca="1" si="30">B39*360</f>
        <v>161.16701076858831</v>
      </c>
      <c r="D39" s="47">
        <f ca="1">IF(C39&lt;=$J$27,1,IF(C39&lt;=$J$28,2,IF(C39&lt;=$J$29,3,IF(C39&lt;=$J$30,4,IF(C39&lt;=$J$31,5,IF(C39&lt;=$J$32,6,IF(C39&lt;=$J$33,7,IF(C39&lt;=$J$34,8,IF(C39&lt;=$J$35,9,IF(C39&lt;=$J$36,10))))))))))</f>
        <v>3</v>
      </c>
      <c r="E39" s="47">
        <f ca="1">INDEX($B$27:$F$36,MATCH(D39,$F$27:$F$36,0),2)</f>
        <v>-3.7573898508751693</v>
      </c>
      <c r="F39" s="47">
        <f ca="1">INDEX($B$27:$F$36,MATCH(D39,$F$27:$F$36,0),3)</f>
        <v>0.38224804589572425</v>
      </c>
      <c r="G39" s="47">
        <f t="shared" ref="G39:G48" ca="1" si="31">INDEX($B$27:$F$36,MATCH(D39,$F$27:$F$36,0),4)</f>
        <v>7.0158098296443887</v>
      </c>
      <c r="H39" s="47" t="str">
        <f t="shared" ref="H39:H48" ca="1" si="32">INDEX($B$27:$F$36,MATCH(D39,$F$27:$F$36,0),1)</f>
        <v>P4</v>
      </c>
      <c r="I39" s="47" t="s">
        <v>155</v>
      </c>
      <c r="J39" s="47">
        <f ca="1">Q91</f>
        <v>-3.8888888888888888</v>
      </c>
      <c r="K39" s="47">
        <f ca="1">R91</f>
        <v>1.5079365079365079</v>
      </c>
      <c r="L39" s="53">
        <f ca="1">$B$4*J39+$B$5*K39+$B$6*J39*K39+$B$7*J39^2+$B$8*K39^2</f>
        <v>1.0380448475686581</v>
      </c>
    </row>
    <row r="40" spans="1:35">
      <c r="A40" s="125"/>
      <c r="B40" s="47">
        <f t="shared" ca="1" si="29"/>
        <v>0.50321440130976003</v>
      </c>
      <c r="C40" s="47">
        <f t="shared" ca="1" si="30"/>
        <v>181.1571844715136</v>
      </c>
      <c r="D40" s="47">
        <f t="shared" ref="D40:D48" ca="1" si="33">IF(C40&lt;=$J$27,1,IF(C40&lt;=$J$28,2,IF(C40&lt;=$J$29,3,IF(C40&lt;=$J$30,4,IF(C40&lt;=$J$31,5,IF(C40&lt;=$J$32,6,IF(C40&lt;=$J$33,7,IF(C40&lt;=$J$34,8,IF(C40&lt;=$J$35,9,IF(C40&lt;=$J$36,10))))))))))</f>
        <v>4</v>
      </c>
      <c r="E40" s="47">
        <f t="shared" ref="E40:E48" ca="1" si="34">INDEX($B$27:$F$36,MATCH(D40,$F$27:$F$36,0),2)</f>
        <v>2.6363244729691377</v>
      </c>
      <c r="F40" s="47">
        <f t="shared" ref="F40" ca="1" si="35">INDEX($B$27:$F$36,MATCH(D40,$F$27:$F$36,0),3)</f>
        <v>-2.1544804909209958E-2</v>
      </c>
      <c r="G40" s="47">
        <f t="shared" ca="1" si="31"/>
        <v>9.5169509739057201</v>
      </c>
      <c r="H40" s="47" t="str">
        <f t="shared" ca="1" si="32"/>
        <v>P10</v>
      </c>
      <c r="I40" s="47" t="s">
        <v>156</v>
      </c>
      <c r="J40" s="47">
        <f ca="1">Q134</f>
        <v>-0.87301587301587347</v>
      </c>
      <c r="K40" s="47">
        <f ca="1">R134</f>
        <v>0.23809523809523814</v>
      </c>
      <c r="L40" s="53">
        <f t="shared" ref="L40:L48" ca="1" si="36">$B$4*J40+$B$5*K40+$B$6*J40*K40+$B$7*J40^2+$B$8*K40^2</f>
        <v>-0.88939279415469885</v>
      </c>
    </row>
    <row r="41" spans="1:35">
      <c r="A41" s="125"/>
      <c r="B41" s="47">
        <f t="shared" ca="1" si="29"/>
        <v>0.19072581886112405</v>
      </c>
      <c r="C41" s="47">
        <f t="shared" ca="1" si="30"/>
        <v>68.661294790004661</v>
      </c>
      <c r="D41" s="47">
        <f t="shared" ca="1" si="33"/>
        <v>2</v>
      </c>
      <c r="E41" s="47">
        <f t="shared" ca="1" si="34"/>
        <v>-4.6614653271641</v>
      </c>
      <c r="F41" s="47">
        <f t="shared" ref="F41:F48" ca="1" si="37">INDEX($B$27:$F$36,MATCH(D41,$F$27:$F$36,0),3)</f>
        <v>1.3761931018881288</v>
      </c>
      <c r="G41" s="47">
        <f t="shared" ca="1" si="31"/>
        <v>5.2730695169138428</v>
      </c>
      <c r="H41" s="47" t="str">
        <f t="shared" ca="1" si="32"/>
        <v>P9</v>
      </c>
      <c r="I41" s="47" t="s">
        <v>157</v>
      </c>
      <c r="J41" s="47">
        <f ca="1">Q177</f>
        <v>7.9365079365079083E-2</v>
      </c>
      <c r="K41" s="47">
        <f ca="1">R177</f>
        <v>1.3492063492063489</v>
      </c>
      <c r="L41" s="53">
        <f t="shared" ca="1" si="36"/>
        <v>1.2421264802217156</v>
      </c>
    </row>
    <row r="42" spans="1:35">
      <c r="A42" s="125"/>
      <c r="B42" s="47">
        <f t="shared" ca="1" si="29"/>
        <v>0.8036040662991043</v>
      </c>
      <c r="C42" s="47">
        <f t="shared" ca="1" si="30"/>
        <v>289.29746386767755</v>
      </c>
      <c r="D42" s="47">
        <f t="shared" ca="1" si="33"/>
        <v>6</v>
      </c>
      <c r="E42" s="47">
        <f t="shared" ca="1" si="34"/>
        <v>1.7263305804259721</v>
      </c>
      <c r="F42" s="47">
        <f t="shared" ca="1" si="37"/>
        <v>2.3180925386828619</v>
      </c>
      <c r="G42" s="47">
        <f t="shared" ca="1" si="31"/>
        <v>18.821056887339434</v>
      </c>
      <c r="H42" s="47" t="str">
        <f t="shared" ca="1" si="32"/>
        <v>P5</v>
      </c>
      <c r="I42" s="47" t="s">
        <v>158</v>
      </c>
      <c r="J42" s="47">
        <f ca="1">Q220</f>
        <v>1.3492063492063489</v>
      </c>
      <c r="K42" s="47">
        <f ca="1">R220</f>
        <v>-2.7777777777777777</v>
      </c>
      <c r="L42" s="53">
        <f t="shared" ca="1" si="36"/>
        <v>16.661627614008566</v>
      </c>
    </row>
    <row r="43" spans="1:35">
      <c r="A43" s="125"/>
      <c r="B43" s="47">
        <f t="shared" ca="1" si="29"/>
        <v>0.39573768546881916</v>
      </c>
      <c r="C43" s="47">
        <f t="shared" ca="1" si="30"/>
        <v>142.46556676877489</v>
      </c>
      <c r="D43" s="47">
        <f t="shared" ca="1" si="33"/>
        <v>3</v>
      </c>
      <c r="E43" s="47">
        <f t="shared" ca="1" si="34"/>
        <v>-3.7573898508751693</v>
      </c>
      <c r="F43" s="47">
        <f t="shared" ca="1" si="37"/>
        <v>0.38224804589572425</v>
      </c>
      <c r="G43" s="47">
        <f t="shared" ca="1" si="31"/>
        <v>7.0158098296443887</v>
      </c>
      <c r="H43" s="47" t="str">
        <f t="shared" ca="1" si="32"/>
        <v>P4</v>
      </c>
      <c r="I43" s="47" t="s">
        <v>159</v>
      </c>
      <c r="J43" s="47">
        <f ca="1">Q263</f>
        <v>0.87301587301587347</v>
      </c>
      <c r="K43" s="47">
        <f ca="1">R263</f>
        <v>-4.8412698412698409</v>
      </c>
      <c r="L43" s="53">
        <f t="shared" ca="1" si="36"/>
        <v>49.740488788107825</v>
      </c>
    </row>
    <row r="44" spans="1:35">
      <c r="A44" s="125"/>
      <c r="B44" s="47">
        <f t="shared" ca="1" si="29"/>
        <v>0.39494422253264094</v>
      </c>
      <c r="C44" s="47">
        <f t="shared" ca="1" si="30"/>
        <v>142.17992011175073</v>
      </c>
      <c r="D44" s="47">
        <f t="shared" ca="1" si="33"/>
        <v>3</v>
      </c>
      <c r="E44" s="47">
        <f t="shared" ca="1" si="34"/>
        <v>-3.7573898508751693</v>
      </c>
      <c r="F44" s="47">
        <f t="shared" ca="1" si="37"/>
        <v>0.38224804589572425</v>
      </c>
      <c r="G44" s="47">
        <f t="shared" ca="1" si="31"/>
        <v>7.0158098296443887</v>
      </c>
      <c r="H44" s="47" t="str">
        <f t="shared" ca="1" si="32"/>
        <v>P4</v>
      </c>
      <c r="I44" s="47" t="s">
        <v>160</v>
      </c>
      <c r="J44" s="47">
        <f ca="1">Q306</f>
        <v>0.23809523809523814</v>
      </c>
      <c r="K44" s="47">
        <f ca="1">R306</f>
        <v>-2.9365079365079367</v>
      </c>
      <c r="L44" s="53">
        <f t="shared" ca="1" si="36"/>
        <v>22.015621063240115</v>
      </c>
    </row>
    <row r="45" spans="1:35">
      <c r="A45" s="125"/>
      <c r="B45" s="47">
        <f t="shared" ca="1" si="29"/>
        <v>0.26017464575222382</v>
      </c>
      <c r="C45" s="47">
        <f t="shared" ca="1" si="30"/>
        <v>93.662872470800579</v>
      </c>
      <c r="D45" s="47">
        <f t="shared" ca="1" si="33"/>
        <v>2</v>
      </c>
      <c r="E45" s="47">
        <f t="shared" ca="1" si="34"/>
        <v>-4.6614653271641</v>
      </c>
      <c r="F45" s="47">
        <f t="shared" ca="1" si="37"/>
        <v>1.3761931018881288</v>
      </c>
      <c r="G45" s="47">
        <f t="shared" ca="1" si="31"/>
        <v>5.2730695169138428</v>
      </c>
      <c r="H45" s="47" t="str">
        <f t="shared" ca="1" si="32"/>
        <v>P9</v>
      </c>
      <c r="I45" s="47" t="s">
        <v>161</v>
      </c>
      <c r="J45" s="47">
        <f ca="1">Q349</f>
        <v>4.2063492063492056</v>
      </c>
      <c r="K45" s="47">
        <f ca="1">R349</f>
        <v>-5</v>
      </c>
      <c r="L45" s="53">
        <f t="shared" ca="1" si="36"/>
        <v>39.836230788611743</v>
      </c>
    </row>
    <row r="46" spans="1:35">
      <c r="A46" s="125"/>
      <c r="B46" s="47">
        <f t="shared" ca="1" si="29"/>
        <v>0.3532214665793475</v>
      </c>
      <c r="C46" s="47">
        <f t="shared" ca="1" si="30"/>
        <v>127.15972796856509</v>
      </c>
      <c r="D46" s="47">
        <f t="shared" ca="1" si="33"/>
        <v>3</v>
      </c>
      <c r="E46" s="47">
        <f t="shared" ca="1" si="34"/>
        <v>-3.7573898508751693</v>
      </c>
      <c r="F46" s="47">
        <f t="shared" ca="1" si="37"/>
        <v>0.38224804589572425</v>
      </c>
      <c r="G46" s="47">
        <f t="shared" ca="1" si="31"/>
        <v>7.0158098296443887</v>
      </c>
      <c r="H46" s="47" t="str">
        <f t="shared" ca="1" si="32"/>
        <v>P4</v>
      </c>
      <c r="I46" s="47" t="s">
        <v>162</v>
      </c>
      <c r="J46" s="47">
        <f ca="1">Q392</f>
        <v>1.825396825396826</v>
      </c>
      <c r="K46" s="47">
        <f ca="1">R392</f>
        <v>0.87301587301587347</v>
      </c>
      <c r="L46" s="53">
        <f t="shared" ca="1" si="36"/>
        <v>8.1229528848576535</v>
      </c>
    </row>
    <row r="47" spans="1:35">
      <c r="A47" s="125"/>
      <c r="B47" s="47">
        <f t="shared" ca="1" si="29"/>
        <v>0.71455008061060565</v>
      </c>
      <c r="C47" s="47">
        <f t="shared" ca="1" si="30"/>
        <v>257.23802901981804</v>
      </c>
      <c r="D47" s="47">
        <f t="shared" ca="1" si="33"/>
        <v>5</v>
      </c>
      <c r="E47" s="47">
        <f t="shared" ca="1" si="34"/>
        <v>3.1943832302450197</v>
      </c>
      <c r="F47" s="47">
        <f t="shared" ca="1" si="37"/>
        <v>0.43886824295215376</v>
      </c>
      <c r="G47" s="47">
        <f t="shared" ca="1" si="31"/>
        <v>15.709768346502056</v>
      </c>
      <c r="H47" s="47" t="str">
        <f t="shared" ca="1" si="32"/>
        <v>P3</v>
      </c>
      <c r="I47" s="47" t="s">
        <v>163</v>
      </c>
      <c r="J47" s="47">
        <f ca="1">Q435</f>
        <v>0.55555555555555536</v>
      </c>
      <c r="K47" s="47">
        <f ca="1">R435</f>
        <v>0.3968253968253963</v>
      </c>
      <c r="L47" s="53">
        <f t="shared" ca="1" si="36"/>
        <v>0.82640463592844449</v>
      </c>
    </row>
    <row r="48" spans="1:35">
      <c r="A48" s="125"/>
      <c r="B48" s="47">
        <f t="shared" ca="1" si="29"/>
        <v>0.35259325032740663</v>
      </c>
      <c r="C48" s="47">
        <f t="shared" ca="1" si="30"/>
        <v>126.93357011786638</v>
      </c>
      <c r="D48" s="47">
        <f t="shared" ca="1" si="33"/>
        <v>3</v>
      </c>
      <c r="E48" s="47">
        <f t="shared" ca="1" si="34"/>
        <v>-3.7573898508751693</v>
      </c>
      <c r="F48" s="47">
        <f t="shared" ca="1" si="37"/>
        <v>0.38224804589572425</v>
      </c>
      <c r="G48" s="47">
        <f t="shared" ca="1" si="31"/>
        <v>7.0158098296443887</v>
      </c>
      <c r="H48" s="47" t="str">
        <f t="shared" ca="1" si="32"/>
        <v>P4</v>
      </c>
      <c r="I48" s="47" t="s">
        <v>164</v>
      </c>
      <c r="J48" s="47">
        <f ca="1">Q478</f>
        <v>0.55555555555555536</v>
      </c>
      <c r="K48" s="47">
        <f ca="1">R478</f>
        <v>-4.2063492063492065</v>
      </c>
      <c r="L48" s="53">
        <f t="shared" ca="1" si="36"/>
        <v>39.989921894683803</v>
      </c>
    </row>
    <row r="49" spans="1:32">
      <c r="M49" s="126"/>
      <c r="N49" s="122" t="s">
        <v>155</v>
      </c>
      <c r="O49" s="123"/>
      <c r="P49" s="123"/>
      <c r="Q49" s="123"/>
      <c r="R49" s="123"/>
      <c r="S49" s="123"/>
      <c r="T49" s="123"/>
      <c r="U49" s="123"/>
      <c r="V49" s="124"/>
      <c r="W49" s="127"/>
      <c r="X49" s="122" t="s">
        <v>155</v>
      </c>
      <c r="Y49" s="123"/>
      <c r="Z49" s="123"/>
      <c r="AA49" s="123"/>
      <c r="AB49" s="123"/>
      <c r="AC49" s="123"/>
      <c r="AD49" s="123"/>
      <c r="AE49" s="123"/>
      <c r="AF49" s="124"/>
    </row>
    <row r="50" spans="1:32">
      <c r="A50" s="125" t="s">
        <v>170</v>
      </c>
      <c r="B50" s="125"/>
      <c r="C50" s="125"/>
      <c r="D50" s="125"/>
      <c r="E50" s="125"/>
      <c r="F50" s="125"/>
      <c r="G50" s="125"/>
      <c r="H50" s="125"/>
      <c r="I50" s="125"/>
      <c r="J50" s="125"/>
      <c r="K50" s="125"/>
      <c r="L50" s="125"/>
      <c r="M50" s="126"/>
      <c r="N50" s="59" t="s">
        <v>100</v>
      </c>
      <c r="O50" s="60">
        <v>6</v>
      </c>
      <c r="P50" s="60"/>
      <c r="Q50" s="60"/>
      <c r="R50" s="60"/>
      <c r="S50" s="60"/>
      <c r="T50" s="60"/>
      <c r="U50" s="60"/>
      <c r="V50" s="61"/>
      <c r="W50" s="127"/>
      <c r="X50" s="59" t="s">
        <v>100</v>
      </c>
      <c r="Y50" s="60">
        <v>6</v>
      </c>
      <c r="Z50" s="60"/>
      <c r="AA50" s="60"/>
      <c r="AB50" s="60"/>
      <c r="AC50" s="60"/>
      <c r="AD50" s="60"/>
      <c r="AE50" s="60"/>
      <c r="AF50" s="61"/>
    </row>
    <row r="51" spans="1:32" ht="30">
      <c r="A51" s="50" t="s">
        <v>169</v>
      </c>
      <c r="B51" s="51">
        <f ca="1">RAND()*($E$10-$C$10)+$C$10</f>
        <v>0.29451516299897307</v>
      </c>
      <c r="C51" s="51"/>
      <c r="D51" s="51"/>
      <c r="E51" s="51"/>
      <c r="F51" s="52"/>
      <c r="G51" s="52"/>
      <c r="M51" s="126"/>
      <c r="N51" s="59" t="s">
        <v>101</v>
      </c>
      <c r="O51" s="60">
        <v>0</v>
      </c>
      <c r="P51" s="60">
        <f>(2^O50)-1</f>
        <v>63</v>
      </c>
      <c r="Q51" s="60"/>
      <c r="R51" s="60"/>
      <c r="S51" s="60"/>
      <c r="T51" s="60"/>
      <c r="U51" s="60"/>
      <c r="V51" s="61"/>
      <c r="W51" s="127"/>
      <c r="X51" s="59" t="s">
        <v>101</v>
      </c>
      <c r="Y51" s="60">
        <v>0</v>
      </c>
      <c r="Z51" s="60">
        <f>(2^Y50)-1</f>
        <v>63</v>
      </c>
      <c r="AA51" s="60"/>
      <c r="AB51" s="60"/>
      <c r="AC51" s="60"/>
      <c r="AD51" s="60"/>
      <c r="AE51" s="60"/>
      <c r="AF51" s="61"/>
    </row>
    <row r="52" spans="1:32" ht="45">
      <c r="A52" s="34" t="s">
        <v>142</v>
      </c>
      <c r="B52" s="34" t="s">
        <v>119</v>
      </c>
      <c r="C52" s="34" t="s">
        <v>171</v>
      </c>
      <c r="D52" s="34" t="s">
        <v>172</v>
      </c>
      <c r="E52" s="34" t="s">
        <v>150</v>
      </c>
      <c r="F52" s="47" t="s">
        <v>121</v>
      </c>
      <c r="G52" s="34" t="s">
        <v>122</v>
      </c>
      <c r="H52" s="34" t="s">
        <v>125</v>
      </c>
      <c r="M52" s="126"/>
      <c r="N52" s="62" t="s">
        <v>72</v>
      </c>
      <c r="O52" s="4" t="s">
        <v>73</v>
      </c>
      <c r="P52" s="4" t="s">
        <v>91</v>
      </c>
      <c r="Q52" s="4" t="s">
        <v>155</v>
      </c>
      <c r="R52" s="4" t="s">
        <v>156</v>
      </c>
      <c r="S52" s="4" t="s">
        <v>94</v>
      </c>
      <c r="T52" s="4" t="s">
        <v>95</v>
      </c>
      <c r="U52" s="4" t="s">
        <v>96</v>
      </c>
      <c r="V52" s="63" t="s">
        <v>97</v>
      </c>
      <c r="W52" s="127"/>
      <c r="X52" s="62" t="s">
        <v>72</v>
      </c>
      <c r="Y52" s="4" t="s">
        <v>73</v>
      </c>
      <c r="Z52" s="4" t="s">
        <v>91</v>
      </c>
      <c r="AA52" s="4" t="s">
        <v>155</v>
      </c>
      <c r="AB52" s="4" t="s">
        <v>156</v>
      </c>
      <c r="AC52" s="4" t="s">
        <v>94</v>
      </c>
      <c r="AD52" s="4" t="s">
        <v>95</v>
      </c>
      <c r="AE52" s="4" t="s">
        <v>96</v>
      </c>
      <c r="AF52" s="63" t="s">
        <v>97</v>
      </c>
    </row>
    <row r="53" spans="1:32">
      <c r="A53" s="125" t="s">
        <v>147</v>
      </c>
      <c r="B53" s="47" t="s">
        <v>92</v>
      </c>
      <c r="C53" s="47">
        <f ca="1">J39</f>
        <v>-3.8888888888888888</v>
      </c>
      <c r="D53" s="47">
        <f ca="1">K39</f>
        <v>1.5079365079365079</v>
      </c>
      <c r="E53" s="53">
        <f t="shared" ref="E53:E62" ca="1" si="38">$B$4*C53+$B$5*D53+$B$6*C53*D53+$B$7*C53^2+$B$8*D53^2</f>
        <v>1.0380448475686581</v>
      </c>
      <c r="F53" s="47">
        <f ca="1">RANK(E53,$E$53:$E$62,1)</f>
        <v>3</v>
      </c>
      <c r="G53" s="47">
        <f ca="1">360*($B$64-F53+1)/$D$64</f>
        <v>52.363636363636367</v>
      </c>
      <c r="H53" s="47">
        <f t="shared" ref="H53:H62" ca="1" si="39">1-C53</f>
        <v>4.8888888888888893</v>
      </c>
      <c r="M53" s="126"/>
      <c r="N53" s="64" t="s">
        <v>1</v>
      </c>
      <c r="O53" s="53"/>
      <c r="P53" s="53">
        <v>-5</v>
      </c>
      <c r="Q53" s="65">
        <f ca="1">E39</f>
        <v>-3.7573898508751693</v>
      </c>
      <c r="R53" s="65">
        <f ca="1">F39</f>
        <v>0.38224804589572425</v>
      </c>
      <c r="S53" s="53">
        <v>5</v>
      </c>
      <c r="T53" s="53">
        <f ca="1">RAND()</f>
        <v>7.053544655149957E-2</v>
      </c>
      <c r="U53" s="53">
        <f t="shared" ref="U53:V53" ca="1" si="40">RAND()</f>
        <v>5.2107853817094596E-2</v>
      </c>
      <c r="V53" s="28">
        <f t="shared" ca="1" si="40"/>
        <v>0.57386420742140654</v>
      </c>
      <c r="W53" s="127"/>
      <c r="X53" s="64" t="s">
        <v>1</v>
      </c>
      <c r="Y53" s="53"/>
      <c r="Z53" s="53">
        <v>-5</v>
      </c>
      <c r="AA53" s="65">
        <f ca="1">E79</f>
        <v>1.825396825396826</v>
      </c>
      <c r="AB53" s="65">
        <f ca="1">F79</f>
        <v>0.87301587301587347</v>
      </c>
      <c r="AC53" s="53">
        <v>5</v>
      </c>
      <c r="AD53" s="53">
        <f ca="1">RAND()</f>
        <v>0.77912258861631545</v>
      </c>
      <c r="AE53" s="53">
        <f t="shared" ref="AE53:AF53" ca="1" si="41">RAND()</f>
        <v>0.18886022669839775</v>
      </c>
      <c r="AF53" s="28">
        <f t="shared" ca="1" si="41"/>
        <v>0.9614247672050007</v>
      </c>
    </row>
    <row r="54" spans="1:32" ht="30">
      <c r="A54" s="125"/>
      <c r="B54" s="47" t="s">
        <v>93</v>
      </c>
      <c r="C54" s="47">
        <f t="shared" ref="C54:C62" ca="1" si="42">J40</f>
        <v>-0.87301587301587347</v>
      </c>
      <c r="D54" s="47">
        <f t="shared" ref="D54:D62" ca="1" si="43">K40</f>
        <v>0.23809523809523814</v>
      </c>
      <c r="E54" s="53">
        <f t="shared" ca="1" si="38"/>
        <v>-0.88939279415469885</v>
      </c>
      <c r="F54" s="47">
        <f ca="1">RANK(E54,$E$53:$E$62,1)</f>
        <v>1</v>
      </c>
      <c r="G54" s="47">
        <f t="shared" ref="G54:G62" ca="1" si="44">360*($B$64-F54+1)/$D$64</f>
        <v>65.454545454545453</v>
      </c>
      <c r="H54" s="47">
        <f t="shared" ca="1" si="39"/>
        <v>1.8730158730158735</v>
      </c>
      <c r="M54" s="126"/>
      <c r="N54" s="59" t="s">
        <v>110</v>
      </c>
      <c r="O54" s="60"/>
      <c r="P54" s="60"/>
      <c r="Q54" s="60">
        <f ca="1">(ABS(Q53-P53)/(S53-P53))*(P51-O51)</f>
        <v>7.8284439394864327</v>
      </c>
      <c r="R54" s="60">
        <f ca="1">(ABS(R53-P53)/(S53-P53))*(P51-O51)</f>
        <v>33.908162689143062</v>
      </c>
      <c r="S54" s="60"/>
      <c r="T54" s="60"/>
      <c r="U54" s="60"/>
      <c r="V54" s="61"/>
      <c r="W54" s="127"/>
      <c r="X54" s="59" t="s">
        <v>110</v>
      </c>
      <c r="Y54" s="60"/>
      <c r="Z54" s="60"/>
      <c r="AA54" s="60">
        <f ca="1">(ABS(AA53-Z53)/(AC53-Z53))*(Z51-Y51)</f>
        <v>43</v>
      </c>
      <c r="AB54" s="60">
        <f ca="1">(ABS(AB53-Z53)/(AC53-Z53))*(Z51-Y51)</f>
        <v>37</v>
      </c>
      <c r="AC54" s="60"/>
      <c r="AD54" s="60"/>
      <c r="AE54" s="60"/>
      <c r="AF54" s="61"/>
    </row>
    <row r="55" spans="1:32">
      <c r="A55" s="125"/>
      <c r="B55" s="47" t="s">
        <v>133</v>
      </c>
      <c r="C55" s="47">
        <f t="shared" ca="1" si="42"/>
        <v>7.9365079365079083E-2</v>
      </c>
      <c r="D55" s="47">
        <f t="shared" ca="1" si="43"/>
        <v>1.3492063492063489</v>
      </c>
      <c r="E55" s="53">
        <f t="shared" ca="1" si="38"/>
        <v>1.2421264802217156</v>
      </c>
      <c r="F55" s="47">
        <f t="shared" ref="F55:F62" ca="1" si="45">RANK(E55,$E$53:$E$62,1)</f>
        <v>4</v>
      </c>
      <c r="G55" s="47">
        <f t="shared" ca="1" si="44"/>
        <v>45.81818181818182</v>
      </c>
      <c r="H55" s="47">
        <f t="shared" ca="1" si="39"/>
        <v>0.92063492063492092</v>
      </c>
      <c r="M55" s="126"/>
      <c r="N55" s="66"/>
      <c r="O55" s="53"/>
      <c r="P55" s="42" t="s">
        <v>103</v>
      </c>
      <c r="Q55" s="42"/>
      <c r="R55" s="42"/>
      <c r="S55" s="42" t="s">
        <v>104</v>
      </c>
      <c r="T55" s="60"/>
      <c r="U55" s="60"/>
      <c r="V55" s="61"/>
      <c r="W55" s="127"/>
      <c r="X55" s="66"/>
      <c r="Y55" s="53"/>
      <c r="Z55" s="42" t="s">
        <v>103</v>
      </c>
      <c r="AA55" s="42"/>
      <c r="AB55" s="42"/>
      <c r="AC55" s="42" t="s">
        <v>104</v>
      </c>
      <c r="AD55" s="60"/>
      <c r="AE55" s="60"/>
      <c r="AF55" s="61"/>
    </row>
    <row r="56" spans="1:32">
      <c r="A56" s="125"/>
      <c r="B56" s="47" t="s">
        <v>134</v>
      </c>
      <c r="C56" s="47">
        <f t="shared" ca="1" si="42"/>
        <v>1.3492063492063489</v>
      </c>
      <c r="D56" s="47">
        <f t="shared" ca="1" si="43"/>
        <v>-2.7777777777777777</v>
      </c>
      <c r="E56" s="53">
        <f t="shared" ca="1" si="38"/>
        <v>16.661627614008566</v>
      </c>
      <c r="F56" s="47">
        <f t="shared" ca="1" si="45"/>
        <v>6</v>
      </c>
      <c r="G56" s="47">
        <f t="shared" ca="1" si="44"/>
        <v>32.727272727272727</v>
      </c>
      <c r="H56" s="47">
        <f t="shared" ca="1" si="39"/>
        <v>-0.34920634920634885</v>
      </c>
      <c r="M56" s="126"/>
      <c r="N56" s="66" t="s">
        <v>102</v>
      </c>
      <c r="O56" s="53"/>
      <c r="P56" s="41">
        <v>5</v>
      </c>
      <c r="Q56" s="40">
        <f ca="1">FLOOR(Q54/2^P56,1)</f>
        <v>0</v>
      </c>
      <c r="R56" s="40">
        <f ca="1">FLOOR(R54/2^P56,1)</f>
        <v>1</v>
      </c>
      <c r="S56" s="41">
        <f>2^P56</f>
        <v>32</v>
      </c>
      <c r="T56" s="60"/>
      <c r="U56" s="60"/>
      <c r="V56" s="61"/>
      <c r="W56" s="127"/>
      <c r="X56" s="66" t="s">
        <v>102</v>
      </c>
      <c r="Y56" s="53"/>
      <c r="Z56" s="41">
        <v>5</v>
      </c>
      <c r="AA56" s="40">
        <f ca="1">FLOOR(AA54/2^Z56,1)</f>
        <v>1</v>
      </c>
      <c r="AB56" s="40">
        <f ca="1">FLOOR(AB54/2^Z56,1)</f>
        <v>1</v>
      </c>
      <c r="AC56" s="41">
        <f>2^Z56</f>
        <v>32</v>
      </c>
      <c r="AD56" s="60"/>
      <c r="AE56" s="60"/>
      <c r="AF56" s="61"/>
    </row>
    <row r="57" spans="1:32">
      <c r="A57" s="125"/>
      <c r="B57" s="47" t="s">
        <v>135</v>
      </c>
      <c r="C57" s="47">
        <f t="shared" ca="1" si="42"/>
        <v>0.87301587301587347</v>
      </c>
      <c r="D57" s="47">
        <f t="shared" ca="1" si="43"/>
        <v>-4.8412698412698409</v>
      </c>
      <c r="E57" s="53">
        <f t="shared" ca="1" si="38"/>
        <v>49.740488788107825</v>
      </c>
      <c r="F57" s="47">
        <f t="shared" ca="1" si="45"/>
        <v>10</v>
      </c>
      <c r="G57" s="47">
        <f t="shared" ca="1" si="44"/>
        <v>6.5454545454545459</v>
      </c>
      <c r="H57" s="47">
        <f t="shared" ca="1" si="39"/>
        <v>0.12698412698412653</v>
      </c>
      <c r="M57" s="126"/>
      <c r="N57" s="66" t="s">
        <v>105</v>
      </c>
      <c r="O57" s="53"/>
      <c r="P57" s="41">
        <v>4</v>
      </c>
      <c r="Q57" s="40">
        <f ca="1">FLOOR((Q54-Q56*2^P56)/(2^P57),1)</f>
        <v>0</v>
      </c>
      <c r="R57" s="40">
        <f ca="1">FLOOR((R54-R56*2^P56)/(2^P57),1)</f>
        <v>0</v>
      </c>
      <c r="S57" s="41">
        <f t="shared" ref="S57:S61" si="46">2^P57</f>
        <v>16</v>
      </c>
      <c r="T57" s="60"/>
      <c r="U57" s="60"/>
      <c r="V57" s="61"/>
      <c r="W57" s="127"/>
      <c r="X57" s="66" t="s">
        <v>105</v>
      </c>
      <c r="Y57" s="53"/>
      <c r="Z57" s="41">
        <v>4</v>
      </c>
      <c r="AA57" s="40">
        <f ca="1">FLOOR((AA54-AA56*2^Z56)/(2^Z57),1)</f>
        <v>0</v>
      </c>
      <c r="AB57" s="40">
        <f ca="1">FLOOR((AB54-AB56*2^Z56)/(2^Z57),1)</f>
        <v>0</v>
      </c>
      <c r="AC57" s="41">
        <f t="shared" ref="AC57:AC61" si="47">2^Z57</f>
        <v>16</v>
      </c>
      <c r="AD57" s="60"/>
      <c r="AE57" s="60"/>
      <c r="AF57" s="61"/>
    </row>
    <row r="58" spans="1:32">
      <c r="A58" s="125"/>
      <c r="B58" s="47" t="s">
        <v>136</v>
      </c>
      <c r="C58" s="47">
        <f t="shared" ca="1" si="42"/>
        <v>0.23809523809523814</v>
      </c>
      <c r="D58" s="47">
        <f t="shared" ca="1" si="43"/>
        <v>-2.9365079365079367</v>
      </c>
      <c r="E58" s="53">
        <f t="shared" ca="1" si="38"/>
        <v>22.015621063240115</v>
      </c>
      <c r="F58" s="47">
        <f t="shared" ca="1" si="45"/>
        <v>7</v>
      </c>
      <c r="G58" s="47">
        <f t="shared" ca="1" si="44"/>
        <v>26.181818181818183</v>
      </c>
      <c r="H58" s="47">
        <f t="shared" ca="1" si="39"/>
        <v>0.76190476190476186</v>
      </c>
      <c r="M58" s="126"/>
      <c r="N58" s="66" t="s">
        <v>106</v>
      </c>
      <c r="O58" s="53"/>
      <c r="P58" s="41">
        <v>3</v>
      </c>
      <c r="Q58" s="40">
        <f ca="1">FLOOR((Q54-Q56*2^P56-Q57*2^P57)/(2^P58),1)</f>
        <v>0</v>
      </c>
      <c r="R58" s="40">
        <f ca="1">FLOOR((R54-R56*2^P56-R57*2^P57)/(2^P58),1)</f>
        <v>0</v>
      </c>
      <c r="S58" s="41">
        <f t="shared" si="46"/>
        <v>8</v>
      </c>
      <c r="T58" s="60"/>
      <c r="U58" s="60"/>
      <c r="V58" s="61"/>
      <c r="W58" s="127"/>
      <c r="X58" s="66" t="s">
        <v>106</v>
      </c>
      <c r="Y58" s="53"/>
      <c r="Z58" s="41">
        <v>3</v>
      </c>
      <c r="AA58" s="40">
        <f ca="1">FLOOR((AA54-AA56*2^Z56-AA57*2^Z57)/(2^Z58),1)</f>
        <v>1</v>
      </c>
      <c r="AB58" s="40">
        <f ca="1">FLOOR((AB54-AB56*2^Z56-AB57*2^Z57)/(2^Z58),1)</f>
        <v>0</v>
      </c>
      <c r="AC58" s="41">
        <f t="shared" si="47"/>
        <v>8</v>
      </c>
      <c r="AD58" s="60"/>
      <c r="AE58" s="60"/>
      <c r="AF58" s="61"/>
    </row>
    <row r="59" spans="1:32">
      <c r="A59" s="125"/>
      <c r="B59" s="47" t="s">
        <v>137</v>
      </c>
      <c r="C59" s="47">
        <f t="shared" ca="1" si="42"/>
        <v>4.2063492063492056</v>
      </c>
      <c r="D59" s="47">
        <f t="shared" ca="1" si="43"/>
        <v>-5</v>
      </c>
      <c r="E59" s="53">
        <f t="shared" ca="1" si="38"/>
        <v>39.836230788611743</v>
      </c>
      <c r="F59" s="47">
        <f t="shared" ca="1" si="45"/>
        <v>8</v>
      </c>
      <c r="G59" s="47">
        <f t="shared" ca="1" si="44"/>
        <v>19.636363636363637</v>
      </c>
      <c r="H59" s="47">
        <f t="shared" ca="1" si="39"/>
        <v>-3.2063492063492056</v>
      </c>
      <c r="M59" s="126"/>
      <c r="N59" s="66" t="s">
        <v>107</v>
      </c>
      <c r="O59" s="53"/>
      <c r="P59" s="41">
        <v>2</v>
      </c>
      <c r="Q59" s="40">
        <f ca="1">FLOOR((Q54-Q56*2^P56-Q57*2^P57-Q58*2^P58)/(2^P59),1)</f>
        <v>1</v>
      </c>
      <c r="R59" s="40">
        <f ca="1">FLOOR((R54-R56*2^P56-R57*2^P57-R58*2^P58)/(2^P59),1)</f>
        <v>0</v>
      </c>
      <c r="S59" s="41">
        <f t="shared" si="46"/>
        <v>4</v>
      </c>
      <c r="T59" s="60"/>
      <c r="U59" s="60"/>
      <c r="V59" s="61"/>
      <c r="W59" s="127"/>
      <c r="X59" s="66" t="s">
        <v>107</v>
      </c>
      <c r="Y59" s="53"/>
      <c r="Z59" s="41">
        <v>2</v>
      </c>
      <c r="AA59" s="40">
        <f ca="1">FLOOR((AA54-AA56*2^Z56-AA57*2^Z57-AA58*2^Z58)/(2^Z59),1)</f>
        <v>0</v>
      </c>
      <c r="AB59" s="40">
        <f ca="1">FLOOR((AB54-AB56*2^Z56-AB57*2^Z57-AB58*2^Z58)/(2^Z59),1)</f>
        <v>1</v>
      </c>
      <c r="AC59" s="41">
        <f t="shared" si="47"/>
        <v>4</v>
      </c>
      <c r="AD59" s="60"/>
      <c r="AE59" s="60"/>
      <c r="AF59" s="61"/>
    </row>
    <row r="60" spans="1:32">
      <c r="A60" s="125"/>
      <c r="B60" s="47" t="s">
        <v>138</v>
      </c>
      <c r="C60" s="47">
        <f t="shared" ca="1" si="42"/>
        <v>1.825396825396826</v>
      </c>
      <c r="D60" s="47">
        <f t="shared" ca="1" si="43"/>
        <v>0.87301587301587347</v>
      </c>
      <c r="E60" s="53">
        <f t="shared" ca="1" si="38"/>
        <v>8.1229528848576535</v>
      </c>
      <c r="F60" s="47">
        <f t="shared" ca="1" si="45"/>
        <v>5</v>
      </c>
      <c r="G60" s="47">
        <f t="shared" ca="1" si="44"/>
        <v>39.272727272727273</v>
      </c>
      <c r="H60" s="47">
        <f t="shared" ca="1" si="39"/>
        <v>-0.82539682539682602</v>
      </c>
      <c r="M60" s="126"/>
      <c r="N60" s="66"/>
      <c r="O60" s="53"/>
      <c r="P60" s="41">
        <v>1</v>
      </c>
      <c r="Q60" s="40">
        <f ca="1">FLOOR((Q54-Q56*2^P56-Q57*2^P57-Q58*2^P58-Q59*2^P59)/(2^P60),1)</f>
        <v>1</v>
      </c>
      <c r="R60" s="40">
        <f ca="1">FLOOR((R54-R56*2^P56-R57*2^P57-R58*2^P58-R59*2^P59)/(2^P60),1)</f>
        <v>0</v>
      </c>
      <c r="S60" s="41">
        <f t="shared" si="46"/>
        <v>2</v>
      </c>
      <c r="T60" s="60"/>
      <c r="U60" s="60"/>
      <c r="V60" s="61"/>
      <c r="W60" s="127"/>
      <c r="X60" s="66"/>
      <c r="Y60" s="53"/>
      <c r="Z60" s="41">
        <v>1</v>
      </c>
      <c r="AA60" s="40">
        <f ca="1">FLOOR((AA54-AA56*2^Z56-AA57*2^Z57-AA58*2^Z58-AA59*2^Z59)/(2^Z60),1)</f>
        <v>1</v>
      </c>
      <c r="AB60" s="40">
        <f ca="1">FLOOR((AB54-AB56*2^Z56-AB57*2^Z57-AB58*2^Z58-AB59*2^Z59)/(2^Z60),1)</f>
        <v>0</v>
      </c>
      <c r="AC60" s="41">
        <f t="shared" si="47"/>
        <v>2</v>
      </c>
      <c r="AD60" s="60"/>
      <c r="AE60" s="60"/>
      <c r="AF60" s="61"/>
    </row>
    <row r="61" spans="1:32">
      <c r="A61" s="125"/>
      <c r="B61" s="47" t="s">
        <v>139</v>
      </c>
      <c r="C61" s="47">
        <f t="shared" ca="1" si="42"/>
        <v>0.55555555555555536</v>
      </c>
      <c r="D61" s="47">
        <f t="shared" ca="1" si="43"/>
        <v>0.3968253968253963</v>
      </c>
      <c r="E61" s="53">
        <f t="shared" ca="1" si="38"/>
        <v>0.82640463592844449</v>
      </c>
      <c r="F61" s="47">
        <f t="shared" ca="1" si="45"/>
        <v>2</v>
      </c>
      <c r="G61" s="47">
        <f t="shared" ca="1" si="44"/>
        <v>58.909090909090907</v>
      </c>
      <c r="H61" s="47">
        <f t="shared" ca="1" si="39"/>
        <v>0.44444444444444464</v>
      </c>
      <c r="M61" s="126"/>
      <c r="N61" s="66"/>
      <c r="O61" s="53"/>
      <c r="P61" s="41">
        <v>0</v>
      </c>
      <c r="Q61" s="40">
        <f ca="1">FLOOR((Q54-Q56*2^P56-Q57*2^P57-Q58*2^P58-Q59*2^P59-Q60*2^P60)/(2^P61),1)</f>
        <v>1</v>
      </c>
      <c r="R61" s="40">
        <f ca="1">FLOOR((R54-R56*2^P56-R57*2^P57-R58*2^P58-R59*2^P59-R60*2^P60)/(2^P61),1)</f>
        <v>1</v>
      </c>
      <c r="S61" s="41">
        <f t="shared" si="46"/>
        <v>1</v>
      </c>
      <c r="T61" s="60"/>
      <c r="U61" s="60"/>
      <c r="V61" s="61"/>
      <c r="W61" s="127"/>
      <c r="X61" s="66"/>
      <c r="Y61" s="53"/>
      <c r="Z61" s="41">
        <v>0</v>
      </c>
      <c r="AA61" s="40">
        <f ca="1">FLOOR((AA54-AA56*2^Z56-AA57*2^Z57-AA58*2^Z58-AA59*2^Z59-AA60*2^Z60)/(2^Z61),1)</f>
        <v>1</v>
      </c>
      <c r="AB61" s="40">
        <f ca="1">FLOOR((AB54-AB56*2^Z56-AB57*2^Z57-AB58*2^Z58-AB59*2^Z59-AB60*2^Z60)/(2^Z61),1)</f>
        <v>1</v>
      </c>
      <c r="AC61" s="41">
        <f t="shared" si="47"/>
        <v>1</v>
      </c>
      <c r="AD61" s="60"/>
      <c r="AE61" s="60"/>
      <c r="AF61" s="61"/>
    </row>
    <row r="62" spans="1:32">
      <c r="A62" s="125"/>
      <c r="B62" s="47" t="s">
        <v>140</v>
      </c>
      <c r="C62" s="47">
        <f t="shared" ca="1" si="42"/>
        <v>0.55555555555555536</v>
      </c>
      <c r="D62" s="47">
        <f t="shared" ca="1" si="43"/>
        <v>-4.2063492063492065</v>
      </c>
      <c r="E62" s="53">
        <f t="shared" ca="1" si="38"/>
        <v>39.989921894683803</v>
      </c>
      <c r="F62" s="47">
        <f t="shared" ca="1" si="45"/>
        <v>9</v>
      </c>
      <c r="G62" s="47">
        <f t="shared" ca="1" si="44"/>
        <v>13.090909090909092</v>
      </c>
      <c r="H62" s="47">
        <f t="shared" ca="1" si="39"/>
        <v>0.44444444444444464</v>
      </c>
      <c r="M62" s="126"/>
      <c r="N62" s="66"/>
      <c r="O62" s="53"/>
      <c r="P62" s="41"/>
      <c r="Q62" s="42" t="s">
        <v>108</v>
      </c>
      <c r="R62" s="42" t="s">
        <v>109</v>
      </c>
      <c r="S62" s="41"/>
      <c r="T62" s="60"/>
      <c r="U62" s="60"/>
      <c r="V62" s="61"/>
      <c r="W62" s="127"/>
      <c r="X62" s="66"/>
      <c r="Y62" s="53"/>
      <c r="Z62" s="41"/>
      <c r="AA62" s="42" t="s">
        <v>108</v>
      </c>
      <c r="AB62" s="42" t="s">
        <v>109</v>
      </c>
      <c r="AC62" s="41"/>
      <c r="AD62" s="60"/>
      <c r="AE62" s="60"/>
      <c r="AF62" s="61"/>
    </row>
    <row r="63" spans="1:32">
      <c r="M63" s="126"/>
      <c r="N63" s="66" t="s">
        <v>114</v>
      </c>
      <c r="O63" s="53"/>
      <c r="P63" s="41"/>
      <c r="Q63" s="44">
        <f ca="1">Q56*2^P56+Q57*2^P57+Q58*2^P58+Q59*2^P59+Q60*2^P60+Q61*2^P61</f>
        <v>7</v>
      </c>
      <c r="R63" s="44">
        <f ca="1">R56*2^P56+R57*2^P57+R58*2^P58+R59*2^P59+R60*2^P60+R61*2^P61</f>
        <v>33</v>
      </c>
      <c r="S63" s="41"/>
      <c r="T63" s="60"/>
      <c r="U63" s="60"/>
      <c r="V63" s="61"/>
      <c r="W63" s="127"/>
      <c r="X63" s="66" t="s">
        <v>114</v>
      </c>
      <c r="Y63" s="53"/>
      <c r="Z63" s="41"/>
      <c r="AA63" s="44">
        <f ca="1">AA56*2^Z56+AA57*2^Z57+AA58*2^Z58+AA59*2^Z59+AA60*2^Z60+AA61*2^Z61</f>
        <v>43</v>
      </c>
      <c r="AB63" s="44">
        <f ca="1">AB56*2^Z56+AB57*2^Z57+AB58*2^Z58+AB59*2^Z59+AB60*2^Z60+AB61*2^Z61</f>
        <v>37</v>
      </c>
      <c r="AC63" s="41"/>
      <c r="AD63" s="60"/>
      <c r="AE63" s="60"/>
      <c r="AF63" s="61"/>
    </row>
    <row r="64" spans="1:32">
      <c r="A64" s="47" t="s">
        <v>123</v>
      </c>
      <c r="B64" s="47">
        <f ca="1">MAX(F53:F62)</f>
        <v>10</v>
      </c>
      <c r="C64" s="47" t="s">
        <v>124</v>
      </c>
      <c r="D64" s="47">
        <f ca="1">SUM(F53:F62)</f>
        <v>55</v>
      </c>
      <c r="M64" s="126"/>
      <c r="N64" s="67"/>
      <c r="O64" s="60"/>
      <c r="P64" s="60"/>
      <c r="Q64" s="60"/>
      <c r="R64" s="60"/>
      <c r="S64" s="60"/>
      <c r="T64" s="60"/>
      <c r="U64" s="60"/>
      <c r="V64" s="61"/>
      <c r="W64" s="127"/>
      <c r="X64" s="67"/>
      <c r="Y64" s="60"/>
      <c r="Z64" s="60"/>
      <c r="AA64" s="60"/>
      <c r="AB64" s="60"/>
      <c r="AC64" s="60"/>
      <c r="AD64" s="60"/>
      <c r="AE64" s="60"/>
      <c r="AF64" s="61"/>
    </row>
    <row r="65" spans="1:32">
      <c r="M65" s="126"/>
      <c r="N65" s="68" t="s">
        <v>111</v>
      </c>
      <c r="O65" s="69"/>
      <c r="P65" s="69"/>
      <c r="Q65" s="69"/>
      <c r="R65" s="69"/>
      <c r="S65" s="69"/>
      <c r="T65" s="70">
        <f ca="1">FLOOR(O50*T53,1)</f>
        <v>0</v>
      </c>
      <c r="U65" s="60"/>
      <c r="V65" s="61"/>
      <c r="W65" s="127"/>
      <c r="X65" s="68" t="s">
        <v>111</v>
      </c>
      <c r="Y65" s="69"/>
      <c r="Z65" s="69"/>
      <c r="AA65" s="69"/>
      <c r="AB65" s="69"/>
      <c r="AC65" s="69"/>
      <c r="AD65" s="70">
        <f ca="1">FLOOR(Y50*AD53,1)</f>
        <v>4</v>
      </c>
      <c r="AE65" s="60"/>
      <c r="AF65" s="61"/>
    </row>
    <row r="66" spans="1:32">
      <c r="I66" s="47" t="s">
        <v>128</v>
      </c>
      <c r="J66" s="47" t="s">
        <v>154</v>
      </c>
      <c r="M66" s="126"/>
      <c r="N66" s="67" t="s">
        <v>112</v>
      </c>
      <c r="O66" s="60"/>
      <c r="P66" s="60"/>
      <c r="Q66" s="60"/>
      <c r="R66" s="60"/>
      <c r="S66" s="60"/>
      <c r="T66" s="60"/>
      <c r="U66" s="60"/>
      <c r="V66" s="61"/>
      <c r="W66" s="127"/>
      <c r="X66" s="67" t="s">
        <v>112</v>
      </c>
      <c r="Y66" s="60"/>
      <c r="Z66" s="60"/>
      <c r="AA66" s="60"/>
      <c r="AB66" s="60"/>
      <c r="AC66" s="60"/>
      <c r="AD66" s="60"/>
      <c r="AE66" s="60"/>
      <c r="AF66" s="61"/>
    </row>
    <row r="67" spans="1:32">
      <c r="A67" s="125" t="s">
        <v>165</v>
      </c>
      <c r="B67" s="47" t="str">
        <f t="shared" ref="B67:B76" ca="1" si="48">INDEX($B$13:$F$22,MATCH(F67,$F$13:$F$22,0),1)</f>
        <v>P1</v>
      </c>
      <c r="C67" s="47">
        <f ca="1">INDEX($B$53:$F$62,MATCH(F67,$F$53:$F$62,0),2)</f>
        <v>-0.87301587301587347</v>
      </c>
      <c r="D67" s="47">
        <f ca="1">INDEX($B$53:$F$62,MATCH(F67,$F$53:$F$62,0),3)</f>
        <v>0.23809523809523814</v>
      </c>
      <c r="E67" s="47">
        <f ca="1">INDEX($B$53:$F$62,MATCH(F67,$F$53:$F$62,0),4)</f>
        <v>-0.88939279415469885</v>
      </c>
      <c r="F67" s="47">
        <v>1</v>
      </c>
      <c r="G67" s="47">
        <f t="shared" ref="G67:G76" ca="1" si="49">360*($B$24-F67+1)/$D$24</f>
        <v>65.454545454545453</v>
      </c>
      <c r="H67" s="47">
        <f t="shared" ref="H67:H76" ca="1" si="50">1-E67</f>
        <v>1.8893927941546989</v>
      </c>
      <c r="I67" s="47">
        <f ca="1">(G67/360)</f>
        <v>0.18181818181818182</v>
      </c>
      <c r="J67" s="47">
        <f ca="1">G67</f>
        <v>65.454545454545453</v>
      </c>
      <c r="M67" s="126"/>
      <c r="N67" s="67"/>
      <c r="O67" s="60"/>
      <c r="P67" s="60"/>
      <c r="Q67" s="60"/>
      <c r="R67" s="60"/>
      <c r="S67" s="60"/>
      <c r="T67" s="60"/>
      <c r="U67" s="60"/>
      <c r="V67" s="61"/>
      <c r="W67" s="127"/>
      <c r="X67" s="67"/>
      <c r="Y67" s="60"/>
      <c r="Z67" s="60"/>
      <c r="AA67" s="60"/>
      <c r="AB67" s="60"/>
      <c r="AC67" s="60"/>
      <c r="AD67" s="60"/>
      <c r="AE67" s="60"/>
      <c r="AF67" s="61"/>
    </row>
    <row r="68" spans="1:32">
      <c r="A68" s="125"/>
      <c r="B68" s="47" t="str">
        <f t="shared" ca="1" si="48"/>
        <v>P9</v>
      </c>
      <c r="C68" s="47">
        <f t="shared" ref="C68:C75" ca="1" si="51">INDEX($B$53:$F$62,MATCH(F68,$F$53:$F$62,0),2)</f>
        <v>0.55555555555555536</v>
      </c>
      <c r="D68" s="47">
        <f t="shared" ref="D68:D76" ca="1" si="52">INDEX($B$53:$F$62,MATCH(F68,$F$53:$F$62,0),3)</f>
        <v>0.3968253968253963</v>
      </c>
      <c r="E68" s="47">
        <f t="shared" ref="E68:E76" ca="1" si="53">INDEX($B$53:$F$62,MATCH(F68,$F$53:$F$62,0),4)</f>
        <v>0.82640463592844449</v>
      </c>
      <c r="F68" s="47">
        <v>2</v>
      </c>
      <c r="G68" s="47">
        <f t="shared" ca="1" si="49"/>
        <v>58.909090909090907</v>
      </c>
      <c r="H68" s="47">
        <f t="shared" ca="1" si="50"/>
        <v>0.17359536407155551</v>
      </c>
      <c r="I68" s="47">
        <f t="shared" ref="I68:I76" ca="1" si="54">(G68/360)+I67</f>
        <v>0.34545454545454546</v>
      </c>
      <c r="J68" s="47">
        <f ca="1">G68+J67</f>
        <v>124.36363636363636</v>
      </c>
      <c r="M68" s="126"/>
      <c r="N68" s="66" t="s">
        <v>113</v>
      </c>
      <c r="O68" s="53"/>
      <c r="P68" s="42" t="s">
        <v>103</v>
      </c>
      <c r="Q68" s="42"/>
      <c r="R68" s="42"/>
      <c r="S68" s="42" t="s">
        <v>104</v>
      </c>
      <c r="T68" s="60"/>
      <c r="U68" s="60"/>
      <c r="V68" s="61"/>
      <c r="W68" s="127"/>
      <c r="X68" s="66" t="s">
        <v>113</v>
      </c>
      <c r="Y68" s="53"/>
      <c r="Z68" s="42" t="s">
        <v>103</v>
      </c>
      <c r="AA68" s="42"/>
      <c r="AB68" s="42"/>
      <c r="AC68" s="42" t="s">
        <v>104</v>
      </c>
      <c r="AD68" s="60"/>
      <c r="AE68" s="60"/>
      <c r="AF68" s="61"/>
    </row>
    <row r="69" spans="1:32">
      <c r="A69" s="125"/>
      <c r="B69" s="47" t="str">
        <f t="shared" ca="1" si="48"/>
        <v>P4</v>
      </c>
      <c r="C69" s="47">
        <f ca="1">INDEX($B$53:$F$62,MATCH(F69,$F$53:$F$62,0),2)</f>
        <v>-3.8888888888888888</v>
      </c>
      <c r="D69" s="47">
        <f t="shared" ca="1" si="52"/>
        <v>1.5079365079365079</v>
      </c>
      <c r="E69" s="47">
        <f t="shared" ca="1" si="53"/>
        <v>1.0380448475686581</v>
      </c>
      <c r="F69" s="47">
        <v>3</v>
      </c>
      <c r="G69" s="47">
        <f t="shared" ca="1" si="49"/>
        <v>52.363636363636367</v>
      </c>
      <c r="H69" s="47">
        <f t="shared" ca="1" si="50"/>
        <v>-3.8044847568658113E-2</v>
      </c>
      <c r="I69" s="47">
        <f t="shared" ca="1" si="54"/>
        <v>0.49090909090909096</v>
      </c>
      <c r="J69" s="47">
        <f t="shared" ref="J69:J76" ca="1" si="55">G69+J68</f>
        <v>176.72727272727272</v>
      </c>
      <c r="M69" s="126"/>
      <c r="N69" s="66"/>
      <c r="O69" s="53"/>
      <c r="P69" s="41">
        <v>5</v>
      </c>
      <c r="Q69" s="40">
        <f ca="1">IF(T65&gt;=1,R56,Q56)</f>
        <v>0</v>
      </c>
      <c r="R69" s="40">
        <f ca="1">IF(T65&gt;=1,Q56,R56)</f>
        <v>1</v>
      </c>
      <c r="S69" s="41">
        <f>2^P69</f>
        <v>32</v>
      </c>
      <c r="T69" s="60"/>
      <c r="U69" s="60"/>
      <c r="V69" s="61"/>
      <c r="W69" s="127"/>
      <c r="X69" s="66"/>
      <c r="Y69" s="53"/>
      <c r="Z69" s="41">
        <v>5</v>
      </c>
      <c r="AA69" s="40">
        <f ca="1">IF(AD65&gt;=1,AB56,AA56)</f>
        <v>1</v>
      </c>
      <c r="AB69" s="40">
        <f ca="1">IF(AD65&gt;=1,AA56,AB56)</f>
        <v>1</v>
      </c>
      <c r="AC69" s="41">
        <f>2^Z69</f>
        <v>32</v>
      </c>
      <c r="AD69" s="60"/>
      <c r="AE69" s="60"/>
      <c r="AF69" s="61"/>
    </row>
    <row r="70" spans="1:32">
      <c r="A70" s="125"/>
      <c r="B70" s="47" t="str">
        <f t="shared" ca="1" si="48"/>
        <v>P10</v>
      </c>
      <c r="C70" s="47">
        <f t="shared" ca="1" si="51"/>
        <v>7.9365079365079083E-2</v>
      </c>
      <c r="D70" s="47">
        <f t="shared" ca="1" si="52"/>
        <v>1.3492063492063489</v>
      </c>
      <c r="E70" s="47">
        <f t="shared" ca="1" si="53"/>
        <v>1.2421264802217156</v>
      </c>
      <c r="F70" s="47">
        <v>4</v>
      </c>
      <c r="G70" s="47">
        <f t="shared" ca="1" si="49"/>
        <v>45.81818181818182</v>
      </c>
      <c r="H70" s="47">
        <f t="shared" ca="1" si="50"/>
        <v>-0.24212648022171557</v>
      </c>
      <c r="I70" s="47">
        <f t="shared" ca="1" si="54"/>
        <v>0.61818181818181828</v>
      </c>
      <c r="J70" s="47">
        <f t="shared" ca="1" si="55"/>
        <v>222.54545454545453</v>
      </c>
      <c r="M70" s="126"/>
      <c r="N70" s="66"/>
      <c r="O70" s="53"/>
      <c r="P70" s="41">
        <v>4</v>
      </c>
      <c r="Q70" s="40">
        <f ca="1">IF(T65&gt;=2,R57,Q57)</f>
        <v>0</v>
      </c>
      <c r="R70" s="40">
        <f ca="1">IF(T65&gt;=2,Q57,R57)</f>
        <v>0</v>
      </c>
      <c r="S70" s="41">
        <f t="shared" ref="S70:S74" si="56">2^P70</f>
        <v>16</v>
      </c>
      <c r="T70" s="60"/>
      <c r="U70" s="60"/>
      <c r="V70" s="61"/>
      <c r="W70" s="127"/>
      <c r="X70" s="66"/>
      <c r="Y70" s="53"/>
      <c r="Z70" s="41">
        <v>4</v>
      </c>
      <c r="AA70" s="40">
        <f ca="1">IF(AD65&gt;=2,AB57,AA57)</f>
        <v>0</v>
      </c>
      <c r="AB70" s="40">
        <f ca="1">IF(AD65&gt;=2,AA57,AB57)</f>
        <v>0</v>
      </c>
      <c r="AC70" s="41">
        <f t="shared" ref="AC70:AC74" si="57">2^Z70</f>
        <v>16</v>
      </c>
      <c r="AD70" s="60"/>
      <c r="AE70" s="60"/>
      <c r="AF70" s="61"/>
    </row>
    <row r="71" spans="1:32">
      <c r="A71" s="125"/>
      <c r="B71" s="47" t="str">
        <f t="shared" ca="1" si="48"/>
        <v>P3</v>
      </c>
      <c r="C71" s="47">
        <f t="shared" ca="1" si="51"/>
        <v>1.825396825396826</v>
      </c>
      <c r="D71" s="47">
        <f t="shared" ca="1" si="52"/>
        <v>0.87301587301587347</v>
      </c>
      <c r="E71" s="47">
        <f t="shared" ca="1" si="53"/>
        <v>8.1229528848576535</v>
      </c>
      <c r="F71" s="47">
        <v>5</v>
      </c>
      <c r="G71" s="47">
        <f t="shared" ca="1" si="49"/>
        <v>39.272727272727273</v>
      </c>
      <c r="H71" s="47">
        <f t="shared" ca="1" si="50"/>
        <v>-7.1229528848576535</v>
      </c>
      <c r="I71" s="47">
        <f t="shared" ca="1" si="54"/>
        <v>0.7272727272727274</v>
      </c>
      <c r="J71" s="47">
        <f t="shared" ca="1" si="55"/>
        <v>261.81818181818181</v>
      </c>
      <c r="M71" s="126"/>
      <c r="N71" s="66"/>
      <c r="O71" s="53"/>
      <c r="P71" s="41">
        <v>3</v>
      </c>
      <c r="Q71" s="40">
        <f ca="1">IF(T65&gt;=3,R58,Q58)</f>
        <v>0</v>
      </c>
      <c r="R71" s="40">
        <f ca="1">IF(T65&gt;=3,Q58,R58)</f>
        <v>0</v>
      </c>
      <c r="S71" s="41">
        <f t="shared" si="56"/>
        <v>8</v>
      </c>
      <c r="T71" s="60"/>
      <c r="U71" s="60"/>
      <c r="V71" s="61"/>
      <c r="W71" s="127"/>
      <c r="X71" s="66"/>
      <c r="Y71" s="53"/>
      <c r="Z71" s="41">
        <v>3</v>
      </c>
      <c r="AA71" s="40">
        <f ca="1">IF(AD65&gt;=3,AB58,AA58)</f>
        <v>0</v>
      </c>
      <c r="AB71" s="40">
        <f ca="1">IF(AD65&gt;=3,AA58,AB58)</f>
        <v>1</v>
      </c>
      <c r="AC71" s="41">
        <f t="shared" si="57"/>
        <v>8</v>
      </c>
      <c r="AD71" s="60"/>
      <c r="AE71" s="60"/>
      <c r="AF71" s="61"/>
    </row>
    <row r="72" spans="1:32">
      <c r="A72" s="125"/>
      <c r="B72" s="47" t="str">
        <f t="shared" ca="1" si="48"/>
        <v>P5</v>
      </c>
      <c r="C72" s="47">
        <f ca="1">INDEX($B$53:$F$62,MATCH(F72,$F$53:$F$62,0),2)</f>
        <v>1.3492063492063489</v>
      </c>
      <c r="D72" s="47">
        <f t="shared" ca="1" si="52"/>
        <v>-2.7777777777777777</v>
      </c>
      <c r="E72" s="47">
        <f t="shared" ca="1" si="53"/>
        <v>16.661627614008566</v>
      </c>
      <c r="F72" s="47">
        <v>6</v>
      </c>
      <c r="G72" s="47">
        <f t="shared" ca="1" si="49"/>
        <v>32.727272727272727</v>
      </c>
      <c r="H72" s="47">
        <f t="shared" ca="1" si="50"/>
        <v>-15.661627614008566</v>
      </c>
      <c r="I72" s="47">
        <f t="shared" ca="1" si="54"/>
        <v>0.81818181818181834</v>
      </c>
      <c r="J72" s="47">
        <f t="shared" ca="1" si="55"/>
        <v>294.54545454545456</v>
      </c>
      <c r="M72" s="126"/>
      <c r="N72" s="66"/>
      <c r="O72" s="53"/>
      <c r="P72" s="41">
        <v>2</v>
      </c>
      <c r="Q72" s="40">
        <f ca="1">IF(T65&gt;=4,R59,Q59)</f>
        <v>1</v>
      </c>
      <c r="R72" s="40">
        <f ca="1">IF(T65&gt;=4,Q59,R59)</f>
        <v>0</v>
      </c>
      <c r="S72" s="41">
        <f t="shared" si="56"/>
        <v>4</v>
      </c>
      <c r="T72" s="60"/>
      <c r="U72" s="60"/>
      <c r="V72" s="61"/>
      <c r="W72" s="127"/>
      <c r="X72" s="66"/>
      <c r="Y72" s="53"/>
      <c r="Z72" s="41">
        <v>2</v>
      </c>
      <c r="AA72" s="40">
        <f ca="1">IF(AD65&gt;=4,AB59,AA59)</f>
        <v>1</v>
      </c>
      <c r="AB72" s="40">
        <f ca="1">IF(AD65&gt;=4,AA59,AB59)</f>
        <v>0</v>
      </c>
      <c r="AC72" s="41">
        <f t="shared" si="57"/>
        <v>4</v>
      </c>
      <c r="AD72" s="60"/>
      <c r="AE72" s="60"/>
      <c r="AF72" s="61"/>
    </row>
    <row r="73" spans="1:32">
      <c r="A73" s="125"/>
      <c r="B73" s="47" t="str">
        <f t="shared" ca="1" si="48"/>
        <v>P2</v>
      </c>
      <c r="C73" s="47">
        <f t="shared" ca="1" si="51"/>
        <v>0.23809523809523814</v>
      </c>
      <c r="D73" s="47">
        <f t="shared" ca="1" si="52"/>
        <v>-2.9365079365079367</v>
      </c>
      <c r="E73" s="47">
        <f t="shared" ca="1" si="53"/>
        <v>22.015621063240115</v>
      </c>
      <c r="F73" s="47">
        <v>7</v>
      </c>
      <c r="G73" s="47">
        <f t="shared" ca="1" si="49"/>
        <v>26.181818181818183</v>
      </c>
      <c r="H73" s="47">
        <f t="shared" ca="1" si="50"/>
        <v>-21.015621063240115</v>
      </c>
      <c r="I73" s="47">
        <f t="shared" ca="1" si="54"/>
        <v>0.89090909090909109</v>
      </c>
      <c r="J73" s="47">
        <f t="shared" ca="1" si="55"/>
        <v>320.72727272727275</v>
      </c>
      <c r="M73" s="126"/>
      <c r="N73" s="66"/>
      <c r="O73" s="53"/>
      <c r="P73" s="41">
        <v>1</v>
      </c>
      <c r="Q73" s="40">
        <f ca="1">IF(T65&gt;=5,R60,Q60)</f>
        <v>1</v>
      </c>
      <c r="R73" s="40">
        <f ca="1">IF(T65&gt;=5,Q60,R60)</f>
        <v>0</v>
      </c>
      <c r="S73" s="41">
        <f t="shared" si="56"/>
        <v>2</v>
      </c>
      <c r="T73" s="60"/>
      <c r="U73" s="60"/>
      <c r="V73" s="61"/>
      <c r="W73" s="127"/>
      <c r="X73" s="66"/>
      <c r="Y73" s="53"/>
      <c r="Z73" s="41">
        <v>1</v>
      </c>
      <c r="AA73" s="40">
        <f ca="1">IF(AD65&gt;=5,AB60,AA60)</f>
        <v>1</v>
      </c>
      <c r="AB73" s="40">
        <f ca="1">IF(AD65&gt;=5,AA60,AB60)</f>
        <v>0</v>
      </c>
      <c r="AC73" s="41">
        <f t="shared" si="57"/>
        <v>2</v>
      </c>
      <c r="AD73" s="60"/>
      <c r="AE73" s="60"/>
      <c r="AF73" s="61"/>
    </row>
    <row r="74" spans="1:32">
      <c r="A74" s="125"/>
      <c r="B74" s="47" t="str">
        <f t="shared" ca="1" si="48"/>
        <v>P8</v>
      </c>
      <c r="C74" s="47">
        <f t="shared" ca="1" si="51"/>
        <v>4.2063492063492056</v>
      </c>
      <c r="D74" s="47">
        <f t="shared" ca="1" si="52"/>
        <v>-5</v>
      </c>
      <c r="E74" s="47">
        <f t="shared" ca="1" si="53"/>
        <v>39.836230788611743</v>
      </c>
      <c r="F74" s="47">
        <v>8</v>
      </c>
      <c r="G74" s="47">
        <f t="shared" ca="1" si="49"/>
        <v>19.636363636363637</v>
      </c>
      <c r="H74" s="47">
        <f t="shared" ca="1" si="50"/>
        <v>-38.836230788611743</v>
      </c>
      <c r="I74" s="47">
        <f t="shared" ca="1" si="54"/>
        <v>0.94545454545454566</v>
      </c>
      <c r="J74" s="47">
        <f t="shared" ca="1" si="55"/>
        <v>340.36363636363637</v>
      </c>
      <c r="M74" s="126"/>
      <c r="N74" s="66"/>
      <c r="O74" s="53"/>
      <c r="P74" s="41">
        <v>0</v>
      </c>
      <c r="Q74" s="40">
        <f ca="1">IF(T65&gt;=6,R61,Q61)</f>
        <v>1</v>
      </c>
      <c r="R74" s="40">
        <f ca="1">IF(T65&gt;=6,Q61,R61)</f>
        <v>1</v>
      </c>
      <c r="S74" s="41">
        <f t="shared" si="56"/>
        <v>1</v>
      </c>
      <c r="T74" s="60"/>
      <c r="U74" s="60"/>
      <c r="V74" s="61"/>
      <c r="W74" s="127"/>
      <c r="X74" s="66"/>
      <c r="Y74" s="53"/>
      <c r="Z74" s="41">
        <v>0</v>
      </c>
      <c r="AA74" s="40">
        <f ca="1">IF(AD65&gt;=6,AB61,AA61)</f>
        <v>1</v>
      </c>
      <c r="AB74" s="40">
        <f ca="1">IF(AD65&gt;=6,AA61,AB61)</f>
        <v>1</v>
      </c>
      <c r="AC74" s="41">
        <f t="shared" si="57"/>
        <v>1</v>
      </c>
      <c r="AD74" s="60"/>
      <c r="AE74" s="60"/>
      <c r="AF74" s="61"/>
    </row>
    <row r="75" spans="1:32">
      <c r="A75" s="125"/>
      <c r="B75" s="47" t="str">
        <f t="shared" ca="1" si="48"/>
        <v>P7</v>
      </c>
      <c r="C75" s="47">
        <f t="shared" ca="1" si="51"/>
        <v>0.55555555555555536</v>
      </c>
      <c r="D75" s="47">
        <f t="shared" ca="1" si="52"/>
        <v>-4.2063492063492065</v>
      </c>
      <c r="E75" s="47">
        <f t="shared" ca="1" si="53"/>
        <v>39.989921894683803</v>
      </c>
      <c r="F75" s="47">
        <v>9</v>
      </c>
      <c r="G75" s="47">
        <f t="shared" ca="1" si="49"/>
        <v>13.090909090909092</v>
      </c>
      <c r="H75" s="47">
        <f t="shared" ca="1" si="50"/>
        <v>-38.989921894683803</v>
      </c>
      <c r="I75" s="47">
        <f t="shared" ca="1" si="54"/>
        <v>0.98181818181818203</v>
      </c>
      <c r="J75" s="47">
        <f t="shared" ca="1" si="55"/>
        <v>353.45454545454544</v>
      </c>
      <c r="M75" s="126"/>
      <c r="N75" s="66"/>
      <c r="O75" s="53"/>
      <c r="P75" s="41"/>
      <c r="Q75" s="42" t="s">
        <v>108</v>
      </c>
      <c r="R75" s="42" t="s">
        <v>109</v>
      </c>
      <c r="S75" s="41"/>
      <c r="T75" s="60"/>
      <c r="U75" s="60"/>
      <c r="V75" s="61"/>
      <c r="W75" s="127"/>
      <c r="X75" s="66"/>
      <c r="Y75" s="53"/>
      <c r="Z75" s="41"/>
      <c r="AA75" s="42" t="s">
        <v>108</v>
      </c>
      <c r="AB75" s="42" t="s">
        <v>109</v>
      </c>
      <c r="AC75" s="41"/>
      <c r="AD75" s="60"/>
      <c r="AE75" s="60"/>
      <c r="AF75" s="61"/>
    </row>
    <row r="76" spans="1:32">
      <c r="A76" s="125"/>
      <c r="B76" s="47" t="str">
        <f t="shared" ca="1" si="48"/>
        <v>P6</v>
      </c>
      <c r="C76" s="47">
        <f ca="1">INDEX($B$53:$F$62,MATCH(F76,$F$53:$F$62,0),2)</f>
        <v>0.87301587301587347</v>
      </c>
      <c r="D76" s="47">
        <f t="shared" ca="1" si="52"/>
        <v>-4.8412698412698409</v>
      </c>
      <c r="E76" s="47">
        <f t="shared" ca="1" si="53"/>
        <v>49.740488788107825</v>
      </c>
      <c r="F76" s="47">
        <v>10</v>
      </c>
      <c r="G76" s="47">
        <f t="shared" ca="1" si="49"/>
        <v>6.5454545454545459</v>
      </c>
      <c r="H76" s="47">
        <f t="shared" ca="1" si="50"/>
        <v>-48.740488788107825</v>
      </c>
      <c r="I76" s="47">
        <f t="shared" ca="1" si="54"/>
        <v>1.0000000000000002</v>
      </c>
      <c r="J76" s="47">
        <f t="shared" ca="1" si="55"/>
        <v>360</v>
      </c>
      <c r="M76" s="126"/>
      <c r="N76" s="66" t="s">
        <v>114</v>
      </c>
      <c r="O76" s="53"/>
      <c r="P76" s="41"/>
      <c r="Q76" s="44">
        <f ca="1">Q69*2^P69+Q70*2^P70+Q71*2^P71+Q72*2^P72+Q73*2^P73+Q74*2^P74</f>
        <v>7</v>
      </c>
      <c r="R76" s="44">
        <f ca="1">R69*2^P69+R70*2^P70+R71*2^P71+R72*2^P72+R73*2^P73+R74*2^P74</f>
        <v>33</v>
      </c>
      <c r="S76" s="41"/>
      <c r="T76" s="60"/>
      <c r="U76" s="60"/>
      <c r="V76" s="61"/>
      <c r="W76" s="127"/>
      <c r="X76" s="66" t="s">
        <v>114</v>
      </c>
      <c r="Y76" s="53"/>
      <c r="Z76" s="41"/>
      <c r="AA76" s="44">
        <f ca="1">AA69*2^Z69+AA70*2^Z70+AA71*2^Z71+AA72*2^Z72+AA73*2^Z73+AA74*2^Z74</f>
        <v>39</v>
      </c>
      <c r="AB76" s="44">
        <f ca="1">AB69*2^Z69+AB70*2^Z70+AB71*2^Z71+AB72*2^Z72+AB73*2^Z73+AB74*2^Z74</f>
        <v>41</v>
      </c>
      <c r="AC76" s="41"/>
      <c r="AD76" s="60"/>
      <c r="AE76" s="60"/>
      <c r="AF76" s="61"/>
    </row>
    <row r="77" spans="1:32">
      <c r="M77" s="126"/>
      <c r="N77" s="67"/>
      <c r="O77" s="60"/>
      <c r="P77" s="60"/>
      <c r="Q77" s="60"/>
      <c r="R77" s="60"/>
      <c r="S77" s="60"/>
      <c r="T77" s="60"/>
      <c r="U77" s="60"/>
      <c r="V77" s="61"/>
      <c r="W77" s="127"/>
      <c r="X77" s="67"/>
      <c r="Y77" s="60"/>
      <c r="Z77" s="60"/>
      <c r="AA77" s="60"/>
      <c r="AB77" s="60"/>
      <c r="AC77" s="60"/>
      <c r="AD77" s="60"/>
      <c r="AE77" s="60"/>
      <c r="AF77" s="61"/>
    </row>
    <row r="78" spans="1:32" ht="30">
      <c r="B78" s="48" t="s">
        <v>130</v>
      </c>
      <c r="C78" s="47" t="s">
        <v>153</v>
      </c>
      <c r="D78" s="47" t="s">
        <v>131</v>
      </c>
      <c r="E78" s="47" t="s">
        <v>167</v>
      </c>
      <c r="F78" s="47" t="s">
        <v>168</v>
      </c>
      <c r="G78" s="48" t="s">
        <v>132</v>
      </c>
      <c r="H78" s="48" t="s">
        <v>141</v>
      </c>
      <c r="I78" s="48" t="s">
        <v>151</v>
      </c>
      <c r="J78" s="48" t="s">
        <v>167</v>
      </c>
      <c r="K78" s="48" t="s">
        <v>168</v>
      </c>
      <c r="L78" s="48" t="s">
        <v>152</v>
      </c>
      <c r="M78" s="126"/>
      <c r="N78" s="68" t="s">
        <v>115</v>
      </c>
      <c r="O78" s="69"/>
      <c r="P78" s="69"/>
      <c r="Q78" s="69"/>
      <c r="R78" s="69"/>
      <c r="S78" s="69"/>
      <c r="T78" s="69"/>
      <c r="U78" s="70">
        <f ca="1">FLOOR(O50*U53,1)</f>
        <v>0</v>
      </c>
      <c r="V78" s="71">
        <f ca="1">FLOOR(O50*V53,1)</f>
        <v>3</v>
      </c>
      <c r="W78" s="127"/>
      <c r="X78" s="68" t="s">
        <v>115</v>
      </c>
      <c r="Y78" s="69"/>
      <c r="Z78" s="69"/>
      <c r="AA78" s="69"/>
      <c r="AB78" s="69"/>
      <c r="AC78" s="69"/>
      <c r="AD78" s="69"/>
      <c r="AE78" s="70">
        <f ca="1">FLOOR(Y50*AE53,1)</f>
        <v>1</v>
      </c>
      <c r="AF78" s="71">
        <f ca="1">FLOOR(Y50*AF53,1)</f>
        <v>5</v>
      </c>
    </row>
    <row r="79" spans="1:32">
      <c r="A79" s="125" t="s">
        <v>166</v>
      </c>
      <c r="B79" s="47">
        <f t="shared" ref="B79:B88" ca="1" si="58">RAND()</f>
        <v>0.70281026634850563</v>
      </c>
      <c r="C79" s="47">
        <f t="shared" ref="C79:C88" ca="1" si="59">B79*360</f>
        <v>253.01169588546202</v>
      </c>
      <c r="D79" s="47">
        <f t="shared" ref="D79:D88" ca="1" si="60">IF(C79&lt;=$J$27,1,IF(C79&lt;=$J$28,2,IF(C79&lt;=$J$29,3,IF(C79&lt;=$J$30,4,IF(C79&lt;=$J$31,5,IF(C79&lt;=$J$32,6,IF(C79&lt;=$J$33,7,IF(C79&lt;=$J$34,8,IF(C79&lt;=$J$35,9,IF(C79&lt;=$J$36,10))))))))))</f>
        <v>5</v>
      </c>
      <c r="E79" s="47">
        <f ca="1">INDEX($B$67:$F$76,MATCH(D79,$F$67:$F$76,0),2)</f>
        <v>1.825396825396826</v>
      </c>
      <c r="F79" s="47">
        <f ca="1">INDEX($B$67:$F$76,MATCH(D79,$F$67:$F$76,0),3)</f>
        <v>0.87301587301587347</v>
      </c>
      <c r="G79" s="47">
        <f ca="1">INDEX($B$67:$F$76,MATCH(D79,$F$67:$F$76,0),4)</f>
        <v>8.1229528848576535</v>
      </c>
      <c r="H79" s="47" t="str">
        <f ca="1">INDEX($B$67:$F$76,MATCH(D79,$F$67:$F$76,0),1)</f>
        <v>P3</v>
      </c>
      <c r="I79" s="47" t="s">
        <v>155</v>
      </c>
      <c r="J79" s="47">
        <f ca="1">AA91</f>
        <v>-3.8888888888888888</v>
      </c>
      <c r="K79" s="47">
        <f ca="1">AB91</f>
        <v>1.825396825396826</v>
      </c>
      <c r="L79" s="53">
        <f ca="1">$B$4*J79+$B$5*K79+$B$6*J79*K79+$B$7*J79^2+$B$8*K79^2</f>
        <v>5.0390526581000294E-2</v>
      </c>
      <c r="M79" s="126"/>
      <c r="N79" s="67"/>
      <c r="O79" s="60"/>
      <c r="P79" s="60"/>
      <c r="Q79" s="60"/>
      <c r="R79" s="60"/>
      <c r="S79" s="60"/>
      <c r="T79" s="60"/>
      <c r="U79" s="60"/>
      <c r="V79" s="61"/>
      <c r="W79" s="127"/>
      <c r="X79" s="67"/>
      <c r="Y79" s="60"/>
      <c r="Z79" s="60"/>
      <c r="AA79" s="60"/>
      <c r="AB79" s="60"/>
      <c r="AC79" s="60"/>
      <c r="AD79" s="60"/>
      <c r="AE79" s="60"/>
      <c r="AF79" s="61"/>
    </row>
    <row r="80" spans="1:32">
      <c r="A80" s="125"/>
      <c r="B80" s="47">
        <f t="shared" ca="1" si="58"/>
        <v>0.17026564847371228</v>
      </c>
      <c r="C80" s="47">
        <f t="shared" ca="1" si="59"/>
        <v>61.295633450536421</v>
      </c>
      <c r="D80" s="47">
        <f t="shared" ca="1" si="60"/>
        <v>1</v>
      </c>
      <c r="E80" s="47">
        <f t="shared" ref="E80:E88" ca="1" si="61">INDEX($B$67:$F$76,MATCH(D80,$F$67:$F$76,0),2)</f>
        <v>-0.87301587301587347</v>
      </c>
      <c r="F80" s="47">
        <f t="shared" ref="F80:F88" ca="1" si="62">INDEX($B$67:$F$76,MATCH(D80,$F$67:$F$76,0),3)</f>
        <v>0.23809523809523814</v>
      </c>
      <c r="G80" s="47">
        <f t="shared" ref="G80:G88" ca="1" si="63">INDEX($B$67:$F$76,MATCH(D80,$F$67:$F$76,0),4)</f>
        <v>-0.88939279415469885</v>
      </c>
      <c r="H80" s="47" t="str">
        <f t="shared" ref="H80:H88" ca="1" si="64">INDEX($B$67:$F$76,MATCH(D80,$F$67:$F$76,0),1)</f>
        <v>P1</v>
      </c>
      <c r="I80" s="47" t="s">
        <v>156</v>
      </c>
      <c r="J80" s="47">
        <f ca="1">AA134</f>
        <v>-5</v>
      </c>
      <c r="K80" s="47">
        <f ca="1">AB134</f>
        <v>-0.71428571428571441</v>
      </c>
      <c r="L80" s="53">
        <f t="shared" ref="L80:L88" ca="1" si="65">$B$4*J80+$B$5*K80+$B$6*J80*K80+$B$7*J80^2+$B$8*K80^2</f>
        <v>29.591836734693878</v>
      </c>
      <c r="M80" s="126"/>
      <c r="N80" s="67"/>
      <c r="O80" s="60"/>
      <c r="P80" s="60"/>
      <c r="Q80" s="60"/>
      <c r="R80" s="60"/>
      <c r="S80" s="60"/>
      <c r="T80" s="60"/>
      <c r="U80" s="60"/>
      <c r="V80" s="61"/>
      <c r="W80" s="127"/>
      <c r="X80" s="67"/>
      <c r="Y80" s="60"/>
      <c r="Z80" s="60"/>
      <c r="AA80" s="60"/>
      <c r="AB80" s="60"/>
      <c r="AC80" s="60"/>
      <c r="AD80" s="60"/>
      <c r="AE80" s="60"/>
      <c r="AF80" s="61"/>
    </row>
    <row r="81" spans="1:32">
      <c r="A81" s="125"/>
      <c r="B81" s="47">
        <f t="shared" ca="1" si="58"/>
        <v>0.81009726776325175</v>
      </c>
      <c r="C81" s="47">
        <f t="shared" ca="1" si="59"/>
        <v>291.63501639477062</v>
      </c>
      <c r="D81" s="47">
        <f t="shared" ca="1" si="60"/>
        <v>6</v>
      </c>
      <c r="E81" s="47">
        <f t="shared" ca="1" si="61"/>
        <v>1.3492063492063489</v>
      </c>
      <c r="F81" s="47">
        <f t="shared" ca="1" si="62"/>
        <v>-2.7777777777777777</v>
      </c>
      <c r="G81" s="47">
        <f t="shared" ca="1" si="63"/>
        <v>16.661627614008566</v>
      </c>
      <c r="H81" s="47" t="str">
        <f t="shared" ca="1" si="64"/>
        <v>P5</v>
      </c>
      <c r="I81" s="47" t="s">
        <v>157</v>
      </c>
      <c r="J81" s="47">
        <f ca="1">AA177</f>
        <v>-3.412698412698413</v>
      </c>
      <c r="K81" s="47">
        <f ca="1">AB177</f>
        <v>1.0317460317460316</v>
      </c>
      <c r="L81" s="53">
        <f t="shared" ca="1" si="65"/>
        <v>1.2572436381960195</v>
      </c>
      <c r="M81" s="126"/>
      <c r="N81" s="67"/>
      <c r="O81" s="60"/>
      <c r="P81" s="42" t="s">
        <v>103</v>
      </c>
      <c r="Q81" s="42"/>
      <c r="R81" s="42"/>
      <c r="S81" s="42" t="s">
        <v>104</v>
      </c>
      <c r="T81" s="60"/>
      <c r="U81" s="60"/>
      <c r="V81" s="61"/>
      <c r="W81" s="127"/>
      <c r="X81" s="67"/>
      <c r="Y81" s="60"/>
      <c r="Z81" s="42" t="s">
        <v>103</v>
      </c>
      <c r="AA81" s="42"/>
      <c r="AB81" s="42"/>
      <c r="AC81" s="42" t="s">
        <v>104</v>
      </c>
      <c r="AD81" s="60"/>
      <c r="AE81" s="60"/>
      <c r="AF81" s="61"/>
    </row>
    <row r="82" spans="1:32">
      <c r="A82" s="125"/>
      <c r="B82" s="47">
        <f t="shared" ca="1" si="58"/>
        <v>0.53851688775273943</v>
      </c>
      <c r="C82" s="47">
        <f t="shared" ca="1" si="59"/>
        <v>193.8660795909862</v>
      </c>
      <c r="D82" s="47">
        <f t="shared" ca="1" si="60"/>
        <v>4</v>
      </c>
      <c r="E82" s="47">
        <f t="shared" ca="1" si="61"/>
        <v>7.9365079365079083E-2</v>
      </c>
      <c r="F82" s="47">
        <f t="shared" ca="1" si="62"/>
        <v>1.3492063492063489</v>
      </c>
      <c r="G82" s="47">
        <f t="shared" ca="1" si="63"/>
        <v>1.2421264802217156</v>
      </c>
      <c r="H82" s="47" t="str">
        <f t="shared" ca="1" si="64"/>
        <v>P10</v>
      </c>
      <c r="I82" s="47" t="s">
        <v>158</v>
      </c>
      <c r="J82" s="47">
        <f ca="1">AA220</f>
        <v>1.6666666666666661</v>
      </c>
      <c r="K82" s="47">
        <f ca="1">AB220</f>
        <v>1.3492063492063489</v>
      </c>
      <c r="L82" s="53">
        <f t="shared" ca="1" si="65"/>
        <v>9.8841017888636884</v>
      </c>
      <c r="M82" s="126"/>
      <c r="N82" s="67"/>
      <c r="O82" s="60"/>
      <c r="P82" s="41">
        <v>5</v>
      </c>
      <c r="Q82" s="40">
        <f ca="1">IF(U78=1,IF(Q69=1,0,1),Q69)</f>
        <v>0</v>
      </c>
      <c r="R82" s="40">
        <f ca="1">IF(V78=1,IF(R69=1,0,1),R69)</f>
        <v>1</v>
      </c>
      <c r="S82" s="41">
        <f>2^P82</f>
        <v>32</v>
      </c>
      <c r="T82" s="60"/>
      <c r="U82" s="60"/>
      <c r="V82" s="61"/>
      <c r="W82" s="127"/>
      <c r="X82" s="67"/>
      <c r="Y82" s="60"/>
      <c r="Z82" s="41">
        <v>5</v>
      </c>
      <c r="AA82" s="40">
        <f ca="1">IF(AE78=1,IF(AA69=1,0,1),AA69)</f>
        <v>0</v>
      </c>
      <c r="AB82" s="40">
        <f ca="1">IF(AF78=1,IF(AB69=1,0,1),AB69)</f>
        <v>1</v>
      </c>
      <c r="AC82" s="41">
        <f>2^Z82</f>
        <v>32</v>
      </c>
      <c r="AD82" s="60"/>
      <c r="AE82" s="60"/>
      <c r="AF82" s="61"/>
    </row>
    <row r="83" spans="1:32">
      <c r="A83" s="125"/>
      <c r="B83" s="47">
        <f t="shared" ca="1" si="58"/>
        <v>7.0973298738959967E-3</v>
      </c>
      <c r="C83" s="47">
        <f t="shared" ca="1" si="59"/>
        <v>2.5550387546025588</v>
      </c>
      <c r="D83" s="47">
        <f t="shared" ca="1" si="60"/>
        <v>1</v>
      </c>
      <c r="E83" s="47">
        <f t="shared" ca="1" si="61"/>
        <v>-0.87301587301587347</v>
      </c>
      <c r="F83" s="47">
        <f t="shared" ca="1" si="62"/>
        <v>0.23809523809523814</v>
      </c>
      <c r="G83" s="47">
        <f t="shared" ca="1" si="63"/>
        <v>-0.88939279415469885</v>
      </c>
      <c r="H83" s="47" t="str">
        <f t="shared" ca="1" si="64"/>
        <v>P1</v>
      </c>
      <c r="I83" s="47" t="s">
        <v>159</v>
      </c>
      <c r="J83" s="47">
        <f ca="1">AA263</f>
        <v>0.71428571428571352</v>
      </c>
      <c r="K83" s="47">
        <f ca="1">AB263</f>
        <v>7.9365079365079083E-2</v>
      </c>
      <c r="L83" s="53">
        <f t="shared" ca="1" si="65"/>
        <v>1.1917359536407137</v>
      </c>
      <c r="M83" s="126"/>
      <c r="N83" s="67"/>
      <c r="O83" s="60"/>
      <c r="P83" s="41">
        <v>4</v>
      </c>
      <c r="Q83" s="40">
        <f ca="1">IF(U78=2,IF(Q70=1,0,1),Q70)</f>
        <v>0</v>
      </c>
      <c r="R83" s="40">
        <f ca="1">IF(V78=2,IF(R70=1,0,1),R70)</f>
        <v>0</v>
      </c>
      <c r="S83" s="41">
        <f t="shared" ref="S83:S87" si="66">2^P83</f>
        <v>16</v>
      </c>
      <c r="T83" s="60"/>
      <c r="U83" s="60"/>
      <c r="V83" s="61"/>
      <c r="W83" s="127"/>
      <c r="X83" s="67"/>
      <c r="Y83" s="60"/>
      <c r="Z83" s="41">
        <v>4</v>
      </c>
      <c r="AA83" s="40">
        <f ca="1">IF(AE78=2,IF(AA70=1,0,1),AA70)</f>
        <v>0</v>
      </c>
      <c r="AB83" s="40">
        <f ca="1">IF(AF78=2,IF(AB70=1,0,1),AB70)</f>
        <v>0</v>
      </c>
      <c r="AC83" s="41">
        <f t="shared" ref="AC83:AC87" si="67">2^Z83</f>
        <v>16</v>
      </c>
      <c r="AD83" s="60"/>
      <c r="AE83" s="60"/>
      <c r="AF83" s="61"/>
    </row>
    <row r="84" spans="1:32">
      <c r="A84" s="125"/>
      <c r="B84" s="47">
        <f t="shared" ca="1" si="58"/>
        <v>0.55306828929129059</v>
      </c>
      <c r="C84" s="47">
        <f t="shared" ca="1" si="59"/>
        <v>199.10458414486462</v>
      </c>
      <c r="D84" s="47">
        <f t="shared" ca="1" si="60"/>
        <v>4</v>
      </c>
      <c r="E84" s="47">
        <f t="shared" ca="1" si="61"/>
        <v>7.9365079365079083E-2</v>
      </c>
      <c r="F84" s="47">
        <f t="shared" ca="1" si="62"/>
        <v>1.3492063492063489</v>
      </c>
      <c r="G84" s="47">
        <f t="shared" ca="1" si="63"/>
        <v>1.2421264802217156</v>
      </c>
      <c r="H84" s="47" t="str">
        <f t="shared" ca="1" si="64"/>
        <v>P10</v>
      </c>
      <c r="I84" s="47" t="s">
        <v>160</v>
      </c>
      <c r="J84" s="47">
        <f ca="1">AA306</f>
        <v>1.6666666666666661</v>
      </c>
      <c r="K84" s="47">
        <f ca="1">AB306</f>
        <v>-4.5238095238095237</v>
      </c>
      <c r="L84" s="53">
        <f t="shared" ca="1" si="65"/>
        <v>39.342403628117921</v>
      </c>
      <c r="M84" s="126"/>
      <c r="N84" s="67"/>
      <c r="O84" s="60"/>
      <c r="P84" s="41">
        <v>3</v>
      </c>
      <c r="Q84" s="40">
        <f ca="1">IF(U78=3,IF(Q71=1,0,1),Q71)</f>
        <v>0</v>
      </c>
      <c r="R84" s="40">
        <f ca="1">IF(V78=3,IF(R71=1,0,1),R71)</f>
        <v>1</v>
      </c>
      <c r="S84" s="41">
        <f t="shared" si="66"/>
        <v>8</v>
      </c>
      <c r="T84" s="60"/>
      <c r="U84" s="60"/>
      <c r="V84" s="61"/>
      <c r="W84" s="127"/>
      <c r="X84" s="67"/>
      <c r="Y84" s="60"/>
      <c r="Z84" s="41">
        <v>3</v>
      </c>
      <c r="AA84" s="40">
        <f ca="1">IF(AE78=3,IF(AA71=1,0,1),AA71)</f>
        <v>0</v>
      </c>
      <c r="AB84" s="40">
        <f ca="1">IF(AF78=3,IF(AB71=1,0,1),AB71)</f>
        <v>1</v>
      </c>
      <c r="AC84" s="41">
        <f t="shared" si="67"/>
        <v>8</v>
      </c>
      <c r="AD84" s="60"/>
      <c r="AE84" s="60"/>
      <c r="AF84" s="61"/>
    </row>
    <row r="85" spans="1:32">
      <c r="A85" s="125"/>
      <c r="B85" s="47">
        <f t="shared" ca="1" si="58"/>
        <v>0.1295756660596562</v>
      </c>
      <c r="C85" s="47">
        <f t="shared" ca="1" si="59"/>
        <v>46.64723978147623</v>
      </c>
      <c r="D85" s="47">
        <f t="shared" ca="1" si="60"/>
        <v>1</v>
      </c>
      <c r="E85" s="47">
        <f t="shared" ca="1" si="61"/>
        <v>-0.87301587301587347</v>
      </c>
      <c r="F85" s="47">
        <f t="shared" ca="1" si="62"/>
        <v>0.23809523809523814</v>
      </c>
      <c r="G85" s="47">
        <f t="shared" ca="1" si="63"/>
        <v>-0.88939279415469885</v>
      </c>
      <c r="H85" s="47" t="str">
        <f t="shared" ca="1" si="64"/>
        <v>P1</v>
      </c>
      <c r="I85" s="47" t="s">
        <v>161</v>
      </c>
      <c r="J85" s="47">
        <f ca="1">AA349</f>
        <v>-5</v>
      </c>
      <c r="K85" s="47">
        <f ca="1">AB349</f>
        <v>1.3492063492063489</v>
      </c>
      <c r="L85" s="53">
        <f t="shared" ca="1" si="65"/>
        <v>7.450239355001262</v>
      </c>
      <c r="M85" s="126"/>
      <c r="N85" s="67"/>
      <c r="O85" s="60"/>
      <c r="P85" s="41">
        <v>2</v>
      </c>
      <c r="Q85" s="40">
        <f ca="1">IF(U78=4,IF(Q72=1,0,1),Q72)</f>
        <v>1</v>
      </c>
      <c r="R85" s="40">
        <f ca="1">IF(V78=4,IF(R72=1,0,1),R72)</f>
        <v>0</v>
      </c>
      <c r="S85" s="41">
        <f t="shared" si="66"/>
        <v>4</v>
      </c>
      <c r="T85" s="60"/>
      <c r="U85" s="60"/>
      <c r="V85" s="61"/>
      <c r="W85" s="127"/>
      <c r="X85" s="67"/>
      <c r="Y85" s="60"/>
      <c r="Z85" s="41">
        <v>2</v>
      </c>
      <c r="AA85" s="40">
        <f ca="1">IF(AE78=4,IF(AA72=1,0,1),AA72)</f>
        <v>1</v>
      </c>
      <c r="AB85" s="40">
        <f ca="1">IF(AF78=4,IF(AB72=1,0,1),AB72)</f>
        <v>0</v>
      </c>
      <c r="AC85" s="41">
        <f t="shared" si="67"/>
        <v>4</v>
      </c>
      <c r="AD85" s="60"/>
      <c r="AE85" s="60"/>
      <c r="AF85" s="61"/>
    </row>
    <row r="86" spans="1:32">
      <c r="A86" s="125"/>
      <c r="B86" s="47">
        <f t="shared" ca="1" si="58"/>
        <v>0.92380893121659247</v>
      </c>
      <c r="C86" s="47">
        <f t="shared" ca="1" si="59"/>
        <v>332.57121523797326</v>
      </c>
      <c r="D86" s="47">
        <f t="shared" ca="1" si="60"/>
        <v>8</v>
      </c>
      <c r="E86" s="47">
        <f t="shared" ca="1" si="61"/>
        <v>4.2063492063492056</v>
      </c>
      <c r="F86" s="47">
        <f t="shared" ca="1" si="62"/>
        <v>-5</v>
      </c>
      <c r="G86" s="47">
        <f t="shared" ca="1" si="63"/>
        <v>39.836230788611743</v>
      </c>
      <c r="H86" s="47" t="str">
        <f t="shared" ca="1" si="64"/>
        <v>P8</v>
      </c>
      <c r="I86" s="47" t="s">
        <v>162</v>
      </c>
      <c r="J86" s="47">
        <f ca="1">AA392</f>
        <v>0.71428571428571352</v>
      </c>
      <c r="K86" s="47">
        <f ca="1">AB392</f>
        <v>-7.9365079365079971E-2</v>
      </c>
      <c r="L86" s="53">
        <f t="shared" ca="1" si="65"/>
        <v>1.2824389014865194</v>
      </c>
      <c r="M86" s="126"/>
      <c r="N86" s="67"/>
      <c r="O86" s="60"/>
      <c r="P86" s="41">
        <v>1</v>
      </c>
      <c r="Q86" s="40">
        <f ca="1">IF(U78=5,IF(Q73=1,0,1),Q73)</f>
        <v>1</v>
      </c>
      <c r="R86" s="40">
        <f ca="1">IF(V78=5,IF(R73=1,0,1),R73)</f>
        <v>0</v>
      </c>
      <c r="S86" s="41">
        <f t="shared" si="66"/>
        <v>2</v>
      </c>
      <c r="T86" s="60"/>
      <c r="U86" s="60"/>
      <c r="V86" s="61"/>
      <c r="W86" s="127"/>
      <c r="X86" s="67"/>
      <c r="Y86" s="60"/>
      <c r="Z86" s="41">
        <v>1</v>
      </c>
      <c r="AA86" s="40">
        <f ca="1">IF(AE78=5,IF(AA73=1,0,1),AA73)</f>
        <v>1</v>
      </c>
      <c r="AB86" s="40">
        <f ca="1">IF(AF78=5,IF(AB73=1,0,1),AB73)</f>
        <v>1</v>
      </c>
      <c r="AC86" s="41">
        <f t="shared" si="67"/>
        <v>2</v>
      </c>
      <c r="AD86" s="60"/>
      <c r="AE86" s="60"/>
      <c r="AF86" s="61"/>
    </row>
    <row r="87" spans="1:32">
      <c r="A87" s="125"/>
      <c r="B87" s="47">
        <f t="shared" ca="1" si="58"/>
        <v>0.5329964553683777</v>
      </c>
      <c r="C87" s="47">
        <f t="shared" ca="1" si="59"/>
        <v>191.87872393261597</v>
      </c>
      <c r="D87" s="47">
        <f t="shared" ca="1" si="60"/>
        <v>4</v>
      </c>
      <c r="E87" s="47">
        <f t="shared" ca="1" si="61"/>
        <v>7.9365079365079083E-2</v>
      </c>
      <c r="F87" s="47">
        <f t="shared" ca="1" si="62"/>
        <v>1.3492063492063489</v>
      </c>
      <c r="G87" s="47">
        <f t="shared" ca="1" si="63"/>
        <v>1.2421264802217156</v>
      </c>
      <c r="H87" s="47" t="str">
        <f t="shared" ca="1" si="64"/>
        <v>P10</v>
      </c>
      <c r="I87" s="47" t="s">
        <v>163</v>
      </c>
      <c r="J87" s="47">
        <f ca="1">AA435</f>
        <v>4.2063492063492056</v>
      </c>
      <c r="K87" s="47">
        <f ca="1">AB435</f>
        <v>0.71428571428571352</v>
      </c>
      <c r="L87" s="53">
        <f t="shared" ca="1" si="65"/>
        <v>27.500629881582245</v>
      </c>
      <c r="M87" s="126"/>
      <c r="N87" s="67"/>
      <c r="O87" s="60"/>
      <c r="P87" s="41">
        <v>0</v>
      </c>
      <c r="Q87" s="40">
        <f ca="1">IF(U78=6,IF(Q74=1,0,1),Q74)</f>
        <v>1</v>
      </c>
      <c r="R87" s="40">
        <f ca="1">IF(V78=6,IF(R74=1,0,1),R74)</f>
        <v>1</v>
      </c>
      <c r="S87" s="41">
        <f t="shared" si="66"/>
        <v>1</v>
      </c>
      <c r="T87" s="60"/>
      <c r="U87" s="60"/>
      <c r="V87" s="61"/>
      <c r="W87" s="127"/>
      <c r="X87" s="67"/>
      <c r="Y87" s="60"/>
      <c r="Z87" s="41">
        <v>0</v>
      </c>
      <c r="AA87" s="40">
        <f ca="1">IF(AE78=6,IF(AA74=1,0,1),AA74)</f>
        <v>1</v>
      </c>
      <c r="AB87" s="40">
        <f ca="1">IF(AF78=6,IF(AB74=1,0,1),AB74)</f>
        <v>1</v>
      </c>
      <c r="AC87" s="41">
        <f t="shared" si="67"/>
        <v>1</v>
      </c>
      <c r="AD87" s="60"/>
      <c r="AE87" s="60"/>
      <c r="AF87" s="61"/>
    </row>
    <row r="88" spans="1:32">
      <c r="A88" s="125"/>
      <c r="B88" s="47">
        <f t="shared" ca="1" si="58"/>
        <v>0.49867309049976383</v>
      </c>
      <c r="C88" s="47">
        <f t="shared" ca="1" si="59"/>
        <v>179.52231257991497</v>
      </c>
      <c r="D88" s="47">
        <f t="shared" ca="1" si="60"/>
        <v>4</v>
      </c>
      <c r="E88" s="47">
        <f t="shared" ca="1" si="61"/>
        <v>7.9365079365079083E-2</v>
      </c>
      <c r="F88" s="47">
        <f t="shared" ca="1" si="62"/>
        <v>1.3492063492063489</v>
      </c>
      <c r="G88" s="47">
        <f t="shared" ca="1" si="63"/>
        <v>1.2421264802217156</v>
      </c>
      <c r="H88" s="47" t="str">
        <f t="shared" ca="1" si="64"/>
        <v>P10</v>
      </c>
      <c r="I88" s="47" t="s">
        <v>164</v>
      </c>
      <c r="J88" s="47">
        <f ca="1">AA478</f>
        <v>-5</v>
      </c>
      <c r="K88" s="47">
        <f ca="1">AB478</f>
        <v>1.3492063492063489</v>
      </c>
      <c r="L88" s="53">
        <f t="shared" ca="1" si="65"/>
        <v>7.450239355001262</v>
      </c>
      <c r="M88" s="126"/>
      <c r="N88" s="67"/>
      <c r="O88" s="60"/>
      <c r="P88" s="41"/>
      <c r="Q88" s="42" t="s">
        <v>108</v>
      </c>
      <c r="R88" s="42" t="s">
        <v>109</v>
      </c>
      <c r="S88" s="41"/>
      <c r="T88" s="60"/>
      <c r="U88" s="60"/>
      <c r="V88" s="61"/>
      <c r="W88" s="127"/>
      <c r="X88" s="67"/>
      <c r="Y88" s="60"/>
      <c r="Z88" s="41"/>
      <c r="AA88" s="42" t="s">
        <v>108</v>
      </c>
      <c r="AB88" s="42" t="s">
        <v>109</v>
      </c>
      <c r="AC88" s="41"/>
      <c r="AD88" s="60"/>
      <c r="AE88" s="60"/>
      <c r="AF88" s="61"/>
    </row>
    <row r="89" spans="1:32">
      <c r="M89" s="126"/>
      <c r="N89" s="67"/>
      <c r="O89" s="60"/>
      <c r="P89" s="41"/>
      <c r="Q89" s="44">
        <f ca="1">Q82*2^P82+Q83*2^P83+Q84*2^P84+Q85*2^P85+Q86*2^P86+Q87*2^P87</f>
        <v>7</v>
      </c>
      <c r="R89" s="44">
        <f ca="1">R82*2^P82+R83*2^P83+R84*2^P84+R85*2^P85+R86*2^P86+R87*2^P87</f>
        <v>41</v>
      </c>
      <c r="S89" s="41"/>
      <c r="T89" s="60"/>
      <c r="U89" s="60"/>
      <c r="V89" s="61"/>
      <c r="W89" s="127"/>
      <c r="X89" s="67"/>
      <c r="Y89" s="60"/>
      <c r="Z89" s="41"/>
      <c r="AA89" s="44">
        <f ca="1">AA82*2^Z82+AA83*2^Z83+AA84*2^Z84+AA85*2^Z85+AA86*2^Z86+AA87*2^Z87</f>
        <v>7</v>
      </c>
      <c r="AB89" s="44">
        <f ca="1">AB82*2^Z82+AB83*2^Z83+AB84*2^Z84+AB85*2^Z85+AB86*2^Z86+AB87*2^Z87</f>
        <v>43</v>
      </c>
      <c r="AC89" s="41"/>
      <c r="AD89" s="60"/>
      <c r="AE89" s="60"/>
      <c r="AF89" s="61"/>
    </row>
    <row r="90" spans="1:32">
      <c r="M90" s="126"/>
      <c r="N90" s="67"/>
      <c r="O90" s="60"/>
      <c r="P90" s="60"/>
      <c r="Q90" s="60"/>
      <c r="R90" s="60"/>
      <c r="S90" s="60"/>
      <c r="T90" s="60"/>
      <c r="U90" s="60"/>
      <c r="V90" s="61"/>
      <c r="W90" s="127"/>
      <c r="X90" s="67"/>
      <c r="Y90" s="60"/>
      <c r="Z90" s="60"/>
      <c r="AA90" s="60"/>
      <c r="AB90" s="60"/>
      <c r="AC90" s="60"/>
      <c r="AD90" s="60"/>
      <c r="AE90" s="60"/>
      <c r="AF90" s="61"/>
    </row>
    <row r="91" spans="1:32">
      <c r="M91" s="126"/>
      <c r="N91" s="72" t="s">
        <v>116</v>
      </c>
      <c r="O91" s="73"/>
      <c r="P91" s="73"/>
      <c r="Q91" s="74">
        <f ca="1">(Q89/P51)*(S53-P53)+P53</f>
        <v>-3.8888888888888888</v>
      </c>
      <c r="R91" s="74">
        <f ca="1">(R89/P51)*(S53-P53)+P53</f>
        <v>1.5079365079365079</v>
      </c>
      <c r="S91" s="75"/>
      <c r="T91" s="75"/>
      <c r="U91" s="75"/>
      <c r="V91" s="76"/>
      <c r="W91" s="127"/>
      <c r="X91" s="72" t="s">
        <v>116</v>
      </c>
      <c r="Y91" s="73"/>
      <c r="Z91" s="73"/>
      <c r="AA91" s="74">
        <f ca="1">(AA89/Z51)*(AC53-Z53)+Z53</f>
        <v>-3.8888888888888888</v>
      </c>
      <c r="AB91" s="74">
        <f ca="1">(AB89/Z51)*(AC53-Z53)+Z53</f>
        <v>1.825396825396826</v>
      </c>
      <c r="AC91" s="75"/>
      <c r="AD91" s="75"/>
      <c r="AE91" s="75"/>
      <c r="AF91" s="76"/>
    </row>
    <row r="92" spans="1:32">
      <c r="M92" s="126"/>
      <c r="N92" s="122" t="s">
        <v>156</v>
      </c>
      <c r="O92" s="123"/>
      <c r="P92" s="123"/>
      <c r="Q92" s="123"/>
      <c r="R92" s="123"/>
      <c r="S92" s="123"/>
      <c r="T92" s="123"/>
      <c r="U92" s="123"/>
      <c r="V92" s="124"/>
      <c r="W92" s="127"/>
      <c r="X92" s="122" t="s">
        <v>156</v>
      </c>
      <c r="Y92" s="123"/>
      <c r="Z92" s="123"/>
      <c r="AA92" s="123"/>
      <c r="AB92" s="123"/>
      <c r="AC92" s="123"/>
      <c r="AD92" s="123"/>
      <c r="AE92" s="123"/>
      <c r="AF92" s="124"/>
    </row>
    <row r="93" spans="1:32">
      <c r="M93" s="126"/>
      <c r="N93" s="59" t="s">
        <v>100</v>
      </c>
      <c r="O93" s="60">
        <v>6</v>
      </c>
      <c r="P93" s="60"/>
      <c r="Q93" s="60"/>
      <c r="R93" s="60"/>
      <c r="S93" s="60"/>
      <c r="T93" s="60"/>
      <c r="U93" s="60"/>
      <c r="V93" s="61"/>
      <c r="W93" s="127"/>
      <c r="X93" s="59" t="s">
        <v>100</v>
      </c>
      <c r="Y93" s="60">
        <v>6</v>
      </c>
      <c r="Z93" s="60"/>
      <c r="AA93" s="60"/>
      <c r="AB93" s="60"/>
      <c r="AC93" s="60"/>
      <c r="AD93" s="60"/>
      <c r="AE93" s="60"/>
      <c r="AF93" s="61"/>
    </row>
    <row r="94" spans="1:32" ht="30">
      <c r="M94" s="126"/>
      <c r="N94" s="59" t="s">
        <v>101</v>
      </c>
      <c r="O94" s="60">
        <v>0</v>
      </c>
      <c r="P94" s="60">
        <f>(2^O93)-1</f>
        <v>63</v>
      </c>
      <c r="Q94" s="60"/>
      <c r="R94" s="60"/>
      <c r="S94" s="60"/>
      <c r="T94" s="60"/>
      <c r="U94" s="60"/>
      <c r="V94" s="61"/>
      <c r="W94" s="127"/>
      <c r="X94" s="59" t="s">
        <v>101</v>
      </c>
      <c r="Y94" s="60">
        <v>0</v>
      </c>
      <c r="Z94" s="60">
        <f>(2^Y93)-1</f>
        <v>63</v>
      </c>
      <c r="AA94" s="60"/>
      <c r="AB94" s="60"/>
      <c r="AC94" s="60"/>
      <c r="AD94" s="60"/>
      <c r="AE94" s="60"/>
      <c r="AF94" s="61"/>
    </row>
    <row r="95" spans="1:32">
      <c r="M95" s="126"/>
      <c r="N95" s="62" t="s">
        <v>72</v>
      </c>
      <c r="O95" s="4" t="s">
        <v>73</v>
      </c>
      <c r="P95" s="4" t="s">
        <v>91</v>
      </c>
      <c r="Q95" s="4" t="s">
        <v>155</v>
      </c>
      <c r="R95" s="4" t="s">
        <v>156</v>
      </c>
      <c r="S95" s="4" t="s">
        <v>94</v>
      </c>
      <c r="T95" s="4" t="s">
        <v>95</v>
      </c>
      <c r="U95" s="4" t="s">
        <v>96</v>
      </c>
      <c r="V95" s="63" t="s">
        <v>97</v>
      </c>
      <c r="W95" s="127"/>
      <c r="X95" s="62" t="s">
        <v>72</v>
      </c>
      <c r="Y95" s="4" t="s">
        <v>73</v>
      </c>
      <c r="Z95" s="4" t="s">
        <v>91</v>
      </c>
      <c r="AA95" s="4" t="s">
        <v>155</v>
      </c>
      <c r="AB95" s="4" t="s">
        <v>156</v>
      </c>
      <c r="AC95" s="4" t="s">
        <v>94</v>
      </c>
      <c r="AD95" s="4" t="s">
        <v>95</v>
      </c>
      <c r="AE95" s="4" t="s">
        <v>96</v>
      </c>
      <c r="AF95" s="63" t="s">
        <v>97</v>
      </c>
    </row>
    <row r="96" spans="1:32">
      <c r="M96" s="126"/>
      <c r="N96" s="64" t="s">
        <v>1</v>
      </c>
      <c r="O96" s="53"/>
      <c r="P96" s="53">
        <v>-5</v>
      </c>
      <c r="Q96" s="65">
        <f ca="1">E40</f>
        <v>2.6363244729691377</v>
      </c>
      <c r="R96" s="65">
        <f ca="1">F40</f>
        <v>-2.1544804909209958E-2</v>
      </c>
      <c r="S96" s="53">
        <v>5</v>
      </c>
      <c r="T96" s="53">
        <f ca="1">RAND()</f>
        <v>0.92519636572245734</v>
      </c>
      <c r="U96" s="53">
        <f t="shared" ref="U96:V96" ca="1" si="68">RAND()</f>
        <v>0.81414927788906932</v>
      </c>
      <c r="V96" s="28">
        <f t="shared" ca="1" si="68"/>
        <v>0.36610630204460082</v>
      </c>
      <c r="W96" s="127"/>
      <c r="X96" s="64" t="s">
        <v>1</v>
      </c>
      <c r="Y96" s="53"/>
      <c r="Z96" s="53">
        <v>-5</v>
      </c>
      <c r="AA96" s="65">
        <f ca="1">E80</f>
        <v>-0.87301587301587347</v>
      </c>
      <c r="AB96" s="65">
        <f ca="1">F80</f>
        <v>0.23809523809523814</v>
      </c>
      <c r="AC96" s="53">
        <v>5</v>
      </c>
      <c r="AD96" s="53">
        <f ca="1">RAND()</f>
        <v>0.98147276419009588</v>
      </c>
      <c r="AE96" s="53">
        <f t="shared" ref="AE96:AF96" ca="1" si="69">RAND()</f>
        <v>0.20952254562890882</v>
      </c>
      <c r="AF96" s="28">
        <f t="shared" ca="1" si="69"/>
        <v>6.9913390134669906E-2</v>
      </c>
    </row>
    <row r="97" spans="13:32" ht="30">
      <c r="M97" s="126"/>
      <c r="N97" s="59" t="s">
        <v>110</v>
      </c>
      <c r="O97" s="60"/>
      <c r="P97" s="60"/>
      <c r="Q97" s="60">
        <f ca="1">(ABS(Q96-P96)/(S96-P96))*(P94-O94)</f>
        <v>48.108844179705571</v>
      </c>
      <c r="R97" s="60">
        <f ca="1">(ABS(R96-P96)/(S96-P96))*(P94-O94)</f>
        <v>31.36426772907198</v>
      </c>
      <c r="S97" s="60"/>
      <c r="T97" s="60"/>
      <c r="U97" s="60"/>
      <c r="V97" s="61"/>
      <c r="W97" s="127"/>
      <c r="X97" s="59" t="s">
        <v>110</v>
      </c>
      <c r="Y97" s="60"/>
      <c r="Z97" s="60"/>
      <c r="AA97" s="60">
        <f ca="1">(ABS(AA96-Z96)/(AC96-Z96))*(Z94-Y94)</f>
        <v>26</v>
      </c>
      <c r="AB97" s="60">
        <f ca="1">(ABS(AB96-Z96)/(AC96-Z96))*(Z94-Y94)</f>
        <v>33</v>
      </c>
      <c r="AC97" s="60"/>
      <c r="AD97" s="60"/>
      <c r="AE97" s="60"/>
      <c r="AF97" s="61"/>
    </row>
    <row r="98" spans="13:32">
      <c r="M98" s="126"/>
      <c r="N98" s="66"/>
      <c r="O98" s="53"/>
      <c r="P98" s="42" t="s">
        <v>103</v>
      </c>
      <c r="Q98" s="42"/>
      <c r="R98" s="42"/>
      <c r="S98" s="42" t="s">
        <v>104</v>
      </c>
      <c r="T98" s="60"/>
      <c r="U98" s="60"/>
      <c r="V98" s="61"/>
      <c r="W98" s="127"/>
      <c r="X98" s="66"/>
      <c r="Y98" s="53"/>
      <c r="Z98" s="42" t="s">
        <v>103</v>
      </c>
      <c r="AA98" s="42"/>
      <c r="AB98" s="42"/>
      <c r="AC98" s="42" t="s">
        <v>104</v>
      </c>
      <c r="AD98" s="60"/>
      <c r="AE98" s="60"/>
      <c r="AF98" s="61"/>
    </row>
    <row r="99" spans="13:32">
      <c r="M99" s="126"/>
      <c r="N99" s="66" t="s">
        <v>102</v>
      </c>
      <c r="O99" s="53"/>
      <c r="P99" s="41">
        <v>5</v>
      </c>
      <c r="Q99" s="40">
        <f ca="1">FLOOR(Q97/2^P99,1)</f>
        <v>1</v>
      </c>
      <c r="R99" s="40">
        <f ca="1">FLOOR(R97/2^P99,1)</f>
        <v>0</v>
      </c>
      <c r="S99" s="41">
        <f>2^P99</f>
        <v>32</v>
      </c>
      <c r="T99" s="60"/>
      <c r="U99" s="60"/>
      <c r="V99" s="61"/>
      <c r="W99" s="127"/>
      <c r="X99" s="66" t="s">
        <v>102</v>
      </c>
      <c r="Y99" s="53"/>
      <c r="Z99" s="41">
        <v>5</v>
      </c>
      <c r="AA99" s="40">
        <f ca="1">FLOOR(AA97/2^Z99,1)</f>
        <v>0</v>
      </c>
      <c r="AB99" s="40">
        <f ca="1">FLOOR(AB97/2^Z99,1)</f>
        <v>1</v>
      </c>
      <c r="AC99" s="41">
        <f>2^Z99</f>
        <v>32</v>
      </c>
      <c r="AD99" s="60"/>
      <c r="AE99" s="60"/>
      <c r="AF99" s="61"/>
    </row>
    <row r="100" spans="13:32">
      <c r="M100" s="126"/>
      <c r="N100" s="66" t="s">
        <v>105</v>
      </c>
      <c r="O100" s="53"/>
      <c r="P100" s="41">
        <v>4</v>
      </c>
      <c r="Q100" s="40">
        <f ca="1">FLOOR((Q97-Q99*2^P99)/(2^P100),1)</f>
        <v>1</v>
      </c>
      <c r="R100" s="40">
        <f ca="1">FLOOR((R97-R99*2^P99)/(2^P100),1)</f>
        <v>1</v>
      </c>
      <c r="S100" s="41">
        <f t="shared" ref="S100:S104" si="70">2^P100</f>
        <v>16</v>
      </c>
      <c r="T100" s="60"/>
      <c r="U100" s="60"/>
      <c r="V100" s="61"/>
      <c r="W100" s="127"/>
      <c r="X100" s="66" t="s">
        <v>105</v>
      </c>
      <c r="Y100" s="53"/>
      <c r="Z100" s="41">
        <v>4</v>
      </c>
      <c r="AA100" s="40">
        <f ca="1">FLOOR((AA97-AA99*2^Z99)/(2^Z100),1)</f>
        <v>1</v>
      </c>
      <c r="AB100" s="40">
        <f ca="1">FLOOR((AB97-AB99*2^Z99)/(2^Z100),1)</f>
        <v>0</v>
      </c>
      <c r="AC100" s="41">
        <f t="shared" ref="AC100:AC104" si="71">2^Z100</f>
        <v>16</v>
      </c>
      <c r="AD100" s="60"/>
      <c r="AE100" s="60"/>
      <c r="AF100" s="61"/>
    </row>
    <row r="101" spans="13:32">
      <c r="M101" s="126"/>
      <c r="N101" s="66" t="s">
        <v>106</v>
      </c>
      <c r="O101" s="53"/>
      <c r="P101" s="41">
        <v>3</v>
      </c>
      <c r="Q101" s="40">
        <f ca="1">FLOOR((Q97-Q99*2^P99-Q100*2^P100)/(2^P101),1)</f>
        <v>0</v>
      </c>
      <c r="R101" s="40">
        <f ca="1">FLOOR((R97-R99*2^P99-R100*2^P100)/(2^P101),1)</f>
        <v>1</v>
      </c>
      <c r="S101" s="41">
        <f t="shared" si="70"/>
        <v>8</v>
      </c>
      <c r="T101" s="60"/>
      <c r="U101" s="60"/>
      <c r="V101" s="61"/>
      <c r="W101" s="127"/>
      <c r="X101" s="66" t="s">
        <v>106</v>
      </c>
      <c r="Y101" s="53"/>
      <c r="Z101" s="41">
        <v>3</v>
      </c>
      <c r="AA101" s="40">
        <f ca="1">FLOOR((AA97-AA99*2^Z99-AA100*2^Z100)/(2^Z101),1)</f>
        <v>1</v>
      </c>
      <c r="AB101" s="40">
        <f ca="1">FLOOR((AB97-AB99*2^Z99-AB100*2^Z100)/(2^Z101),1)</f>
        <v>0</v>
      </c>
      <c r="AC101" s="41">
        <f t="shared" si="71"/>
        <v>8</v>
      </c>
      <c r="AD101" s="60"/>
      <c r="AE101" s="60"/>
      <c r="AF101" s="61"/>
    </row>
    <row r="102" spans="13:32">
      <c r="M102" s="126"/>
      <c r="N102" s="66" t="s">
        <v>107</v>
      </c>
      <c r="O102" s="53"/>
      <c r="P102" s="41">
        <v>2</v>
      </c>
      <c r="Q102" s="40">
        <f ca="1">FLOOR((Q97-Q99*2^P99-Q100*2^P100-Q101*2^P101)/(2^P102),1)</f>
        <v>0</v>
      </c>
      <c r="R102" s="40">
        <f ca="1">FLOOR((R97-R99*2^P99-R100*2^P100-R101*2^P101)/(2^P102),1)</f>
        <v>1</v>
      </c>
      <c r="S102" s="41">
        <f t="shared" si="70"/>
        <v>4</v>
      </c>
      <c r="T102" s="60"/>
      <c r="U102" s="60"/>
      <c r="V102" s="61"/>
      <c r="W102" s="127"/>
      <c r="X102" s="66" t="s">
        <v>107</v>
      </c>
      <c r="Y102" s="53"/>
      <c r="Z102" s="41">
        <v>2</v>
      </c>
      <c r="AA102" s="40">
        <f ca="1">FLOOR((AA97-AA99*2^Z99-AA100*2^Z100-AA101*2^Z101)/(2^Z102),1)</f>
        <v>0</v>
      </c>
      <c r="AB102" s="40">
        <f ca="1">FLOOR((AB97-AB99*2^Z99-AB100*2^Z100-AB101*2^Z101)/(2^Z102),1)</f>
        <v>0</v>
      </c>
      <c r="AC102" s="41">
        <f t="shared" si="71"/>
        <v>4</v>
      </c>
      <c r="AD102" s="60"/>
      <c r="AE102" s="60"/>
      <c r="AF102" s="61"/>
    </row>
    <row r="103" spans="13:32">
      <c r="M103" s="126"/>
      <c r="N103" s="66"/>
      <c r="O103" s="53"/>
      <c r="P103" s="41">
        <v>1</v>
      </c>
      <c r="Q103" s="40">
        <f ca="1">FLOOR((Q97-Q99*2^P99-Q100*2^P100-Q101*2^P101-Q102*2^P102)/(2^P103),1)</f>
        <v>0</v>
      </c>
      <c r="R103" s="40">
        <f ca="1">FLOOR((R97-R99*2^P99-R100*2^P100-R101*2^P101-R102*2^P102)/(2^P103),1)</f>
        <v>1</v>
      </c>
      <c r="S103" s="41">
        <f t="shared" si="70"/>
        <v>2</v>
      </c>
      <c r="T103" s="60"/>
      <c r="U103" s="60"/>
      <c r="V103" s="61"/>
      <c r="W103" s="127"/>
      <c r="X103" s="66"/>
      <c r="Y103" s="53"/>
      <c r="Z103" s="41">
        <v>1</v>
      </c>
      <c r="AA103" s="40">
        <f ca="1">FLOOR((AA97-AA99*2^Z99-AA100*2^Z100-AA101*2^Z101-AA102*2^Z102)/(2^Z103),1)</f>
        <v>1</v>
      </c>
      <c r="AB103" s="40">
        <f ca="1">FLOOR((AB97-AB99*2^Z99-AB100*2^Z100-AB101*2^Z101-AB102*2^Z102)/(2^Z103),1)</f>
        <v>0</v>
      </c>
      <c r="AC103" s="41">
        <f t="shared" si="71"/>
        <v>2</v>
      </c>
      <c r="AD103" s="60"/>
      <c r="AE103" s="60"/>
      <c r="AF103" s="61"/>
    </row>
    <row r="104" spans="13:32">
      <c r="M104" s="126"/>
      <c r="N104" s="66"/>
      <c r="O104" s="53"/>
      <c r="P104" s="41">
        <v>0</v>
      </c>
      <c r="Q104" s="40">
        <f ca="1">FLOOR((Q97-Q99*2^P99-Q100*2^P100-Q101*2^P101-Q102*2^P102-Q103*2^P103)/(2^P104),1)</f>
        <v>0</v>
      </c>
      <c r="R104" s="40">
        <f ca="1">FLOOR((R97-R99*2^P99-R100*2^P100-R101*2^P101-R102*2^P102-R103*2^P103)/(2^P104),1)</f>
        <v>1</v>
      </c>
      <c r="S104" s="41">
        <f t="shared" si="70"/>
        <v>1</v>
      </c>
      <c r="T104" s="60"/>
      <c r="U104" s="60"/>
      <c r="V104" s="61"/>
      <c r="W104" s="127"/>
      <c r="X104" s="66"/>
      <c r="Y104" s="53"/>
      <c r="Z104" s="41">
        <v>0</v>
      </c>
      <c r="AA104" s="40">
        <f ca="1">FLOOR((AA97-AA99*2^Z99-AA100*2^Z100-AA101*2^Z101-AA102*2^Z102-AA103*2^Z103)/(2^Z104),1)</f>
        <v>0</v>
      </c>
      <c r="AB104" s="40">
        <f ca="1">FLOOR((AB97-AB99*2^Z99-AB100*2^Z100-AB101*2^Z101-AB102*2^Z102-AB103*2^Z103)/(2^Z104),1)</f>
        <v>1</v>
      </c>
      <c r="AC104" s="41">
        <f t="shared" si="71"/>
        <v>1</v>
      </c>
      <c r="AD104" s="60"/>
      <c r="AE104" s="60"/>
      <c r="AF104" s="61"/>
    </row>
    <row r="105" spans="13:32">
      <c r="M105" s="126"/>
      <c r="N105" s="66"/>
      <c r="O105" s="53"/>
      <c r="P105" s="41"/>
      <c r="Q105" s="42" t="s">
        <v>108</v>
      </c>
      <c r="R105" s="42" t="s">
        <v>109</v>
      </c>
      <c r="S105" s="41"/>
      <c r="T105" s="60"/>
      <c r="U105" s="60"/>
      <c r="V105" s="61"/>
      <c r="W105" s="127"/>
      <c r="X105" s="66"/>
      <c r="Y105" s="53"/>
      <c r="Z105" s="41"/>
      <c r="AA105" s="42" t="s">
        <v>108</v>
      </c>
      <c r="AB105" s="42" t="s">
        <v>109</v>
      </c>
      <c r="AC105" s="41"/>
      <c r="AD105" s="60"/>
      <c r="AE105" s="60"/>
      <c r="AF105" s="61"/>
    </row>
    <row r="106" spans="13:32">
      <c r="M106" s="126"/>
      <c r="N106" s="66" t="s">
        <v>114</v>
      </c>
      <c r="O106" s="53"/>
      <c r="P106" s="41"/>
      <c r="Q106" s="44">
        <f ca="1">Q99*2^P99+Q100*2^P100+Q101*2^P101+Q102*2^P102+Q103*2^P103+Q104*2^P104</f>
        <v>48</v>
      </c>
      <c r="R106" s="44">
        <f ca="1">R99*2^P99+R100*2^P100+R101*2^P101+R102*2^P102+R103*2^P103+R104*2^P104</f>
        <v>31</v>
      </c>
      <c r="S106" s="41"/>
      <c r="T106" s="60"/>
      <c r="U106" s="60"/>
      <c r="V106" s="61"/>
      <c r="W106" s="127"/>
      <c r="X106" s="66" t="s">
        <v>114</v>
      </c>
      <c r="Y106" s="53"/>
      <c r="Z106" s="41"/>
      <c r="AA106" s="44">
        <f ca="1">AA99*2^Z99+AA100*2^Z100+AA101*2^Z101+AA102*2^Z102+AA103*2^Z103+AA104*2^Z104</f>
        <v>26</v>
      </c>
      <c r="AB106" s="44">
        <f ca="1">AB99*2^Z99+AB100*2^Z100+AB101*2^Z101+AB102*2^Z102+AB103*2^Z103+AB104*2^Z104</f>
        <v>33</v>
      </c>
      <c r="AC106" s="41"/>
      <c r="AD106" s="60"/>
      <c r="AE106" s="60"/>
      <c r="AF106" s="61"/>
    </row>
    <row r="107" spans="13:32">
      <c r="M107" s="126"/>
      <c r="N107" s="67"/>
      <c r="O107" s="60"/>
      <c r="P107" s="60"/>
      <c r="Q107" s="60"/>
      <c r="R107" s="60"/>
      <c r="S107" s="60"/>
      <c r="T107" s="60"/>
      <c r="U107" s="60"/>
      <c r="V107" s="61"/>
      <c r="W107" s="127"/>
      <c r="X107" s="67"/>
      <c r="Y107" s="60"/>
      <c r="Z107" s="60"/>
      <c r="AA107" s="60"/>
      <c r="AB107" s="60"/>
      <c r="AC107" s="60"/>
      <c r="AD107" s="60"/>
      <c r="AE107" s="60"/>
      <c r="AF107" s="61"/>
    </row>
    <row r="108" spans="13:32">
      <c r="M108" s="126"/>
      <c r="N108" s="68" t="s">
        <v>111</v>
      </c>
      <c r="O108" s="69"/>
      <c r="P108" s="69"/>
      <c r="Q108" s="69"/>
      <c r="R108" s="69"/>
      <c r="S108" s="69"/>
      <c r="T108" s="70">
        <f ca="1">FLOOR(O93*T96,1)</f>
        <v>5</v>
      </c>
      <c r="U108" s="60"/>
      <c r="V108" s="61"/>
      <c r="W108" s="127"/>
      <c r="X108" s="68" t="s">
        <v>111</v>
      </c>
      <c r="Y108" s="69"/>
      <c r="Z108" s="69"/>
      <c r="AA108" s="69"/>
      <c r="AB108" s="69"/>
      <c r="AC108" s="69"/>
      <c r="AD108" s="70">
        <f ca="1">FLOOR(Y93*AD96,1)</f>
        <v>5</v>
      </c>
      <c r="AE108" s="60"/>
      <c r="AF108" s="61"/>
    </row>
    <row r="109" spans="13:32">
      <c r="M109" s="126"/>
      <c r="N109" s="67" t="s">
        <v>112</v>
      </c>
      <c r="O109" s="60"/>
      <c r="P109" s="60"/>
      <c r="Q109" s="60"/>
      <c r="R109" s="60"/>
      <c r="S109" s="60"/>
      <c r="T109" s="60"/>
      <c r="U109" s="60"/>
      <c r="V109" s="61"/>
      <c r="W109" s="127"/>
      <c r="X109" s="67" t="s">
        <v>112</v>
      </c>
      <c r="Y109" s="60"/>
      <c r="Z109" s="60"/>
      <c r="AA109" s="60"/>
      <c r="AB109" s="60"/>
      <c r="AC109" s="60"/>
      <c r="AD109" s="60"/>
      <c r="AE109" s="60"/>
      <c r="AF109" s="61"/>
    </row>
    <row r="110" spans="13:32">
      <c r="M110" s="126"/>
      <c r="N110" s="67"/>
      <c r="O110" s="60"/>
      <c r="P110" s="60"/>
      <c r="Q110" s="60"/>
      <c r="R110" s="60"/>
      <c r="S110" s="60"/>
      <c r="T110" s="60"/>
      <c r="U110" s="60"/>
      <c r="V110" s="61"/>
      <c r="W110" s="127"/>
      <c r="X110" s="67"/>
      <c r="Y110" s="60"/>
      <c r="Z110" s="60"/>
      <c r="AA110" s="60"/>
      <c r="AB110" s="60"/>
      <c r="AC110" s="60"/>
      <c r="AD110" s="60"/>
      <c r="AE110" s="60"/>
      <c r="AF110" s="61"/>
    </row>
    <row r="111" spans="13:32">
      <c r="M111" s="126"/>
      <c r="N111" s="66" t="s">
        <v>113</v>
      </c>
      <c r="O111" s="53"/>
      <c r="P111" s="42" t="s">
        <v>103</v>
      </c>
      <c r="Q111" s="42"/>
      <c r="R111" s="42"/>
      <c r="S111" s="42" t="s">
        <v>104</v>
      </c>
      <c r="T111" s="60"/>
      <c r="U111" s="60"/>
      <c r="V111" s="61"/>
      <c r="W111" s="127"/>
      <c r="X111" s="66" t="s">
        <v>113</v>
      </c>
      <c r="Y111" s="53"/>
      <c r="Z111" s="42" t="s">
        <v>103</v>
      </c>
      <c r="AA111" s="42"/>
      <c r="AB111" s="42"/>
      <c r="AC111" s="42" t="s">
        <v>104</v>
      </c>
      <c r="AD111" s="60"/>
      <c r="AE111" s="60"/>
      <c r="AF111" s="61"/>
    </row>
    <row r="112" spans="13:32">
      <c r="M112" s="126"/>
      <c r="N112" s="66"/>
      <c r="O112" s="53"/>
      <c r="P112" s="41">
        <v>5</v>
      </c>
      <c r="Q112" s="40">
        <f ca="1">IF(T108&gt;=1,R99,Q99)</f>
        <v>0</v>
      </c>
      <c r="R112" s="40">
        <f ca="1">IF(T108&gt;=1,Q99,R99)</f>
        <v>1</v>
      </c>
      <c r="S112" s="41">
        <f>2^P112</f>
        <v>32</v>
      </c>
      <c r="T112" s="60"/>
      <c r="U112" s="60"/>
      <c r="V112" s="61"/>
      <c r="W112" s="127"/>
      <c r="X112" s="66"/>
      <c r="Y112" s="53"/>
      <c r="Z112" s="41">
        <v>5</v>
      </c>
      <c r="AA112" s="40">
        <f ca="1">IF(AD108&gt;=1,AB99,AA99)</f>
        <v>1</v>
      </c>
      <c r="AB112" s="40">
        <f ca="1">IF(AD108&gt;=1,AA99,AB99)</f>
        <v>0</v>
      </c>
      <c r="AC112" s="41">
        <f>2^Z112</f>
        <v>32</v>
      </c>
      <c r="AD112" s="60"/>
      <c r="AE112" s="60"/>
      <c r="AF112" s="61"/>
    </row>
    <row r="113" spans="13:32">
      <c r="M113" s="126"/>
      <c r="N113" s="66"/>
      <c r="O113" s="53"/>
      <c r="P113" s="41">
        <v>4</v>
      </c>
      <c r="Q113" s="40">
        <f ca="1">IF(T108&gt;=2,R100,Q100)</f>
        <v>1</v>
      </c>
      <c r="R113" s="40">
        <f ca="1">IF(T108&gt;=2,Q100,R100)</f>
        <v>1</v>
      </c>
      <c r="S113" s="41">
        <f t="shared" ref="S113:S117" si="72">2^P113</f>
        <v>16</v>
      </c>
      <c r="T113" s="60"/>
      <c r="U113" s="60"/>
      <c r="V113" s="61"/>
      <c r="W113" s="127"/>
      <c r="X113" s="66"/>
      <c r="Y113" s="53"/>
      <c r="Z113" s="41">
        <v>4</v>
      </c>
      <c r="AA113" s="40">
        <f ca="1">IF(AD108&gt;=2,AB100,AA100)</f>
        <v>0</v>
      </c>
      <c r="AB113" s="40">
        <f ca="1">IF(AD108&gt;=2,AA100,AB100)</f>
        <v>1</v>
      </c>
      <c r="AC113" s="41">
        <f t="shared" ref="AC113:AC117" si="73">2^Z113</f>
        <v>16</v>
      </c>
      <c r="AD113" s="60"/>
      <c r="AE113" s="60"/>
      <c r="AF113" s="61"/>
    </row>
    <row r="114" spans="13:32">
      <c r="M114" s="126"/>
      <c r="N114" s="66"/>
      <c r="O114" s="53"/>
      <c r="P114" s="41">
        <v>3</v>
      </c>
      <c r="Q114" s="40">
        <f ca="1">IF(T108&gt;=3,R101,Q101)</f>
        <v>1</v>
      </c>
      <c r="R114" s="40">
        <f ca="1">IF(T108&gt;=3,Q101,R101)</f>
        <v>0</v>
      </c>
      <c r="S114" s="41">
        <f t="shared" si="72"/>
        <v>8</v>
      </c>
      <c r="T114" s="60"/>
      <c r="U114" s="60"/>
      <c r="V114" s="61"/>
      <c r="W114" s="127"/>
      <c r="X114" s="66"/>
      <c r="Y114" s="53"/>
      <c r="Z114" s="41">
        <v>3</v>
      </c>
      <c r="AA114" s="40">
        <f ca="1">IF(AD108&gt;=3,AB101,AA101)</f>
        <v>0</v>
      </c>
      <c r="AB114" s="40">
        <f ca="1">IF(AD108&gt;=3,AA101,AB101)</f>
        <v>1</v>
      </c>
      <c r="AC114" s="41">
        <f t="shared" si="73"/>
        <v>8</v>
      </c>
      <c r="AD114" s="60"/>
      <c r="AE114" s="60"/>
      <c r="AF114" s="61"/>
    </row>
    <row r="115" spans="13:32">
      <c r="M115" s="126"/>
      <c r="N115" s="66"/>
      <c r="O115" s="53"/>
      <c r="P115" s="41">
        <v>2</v>
      </c>
      <c r="Q115" s="40">
        <f ca="1">IF(T108&gt;=4,R102,Q102)</f>
        <v>1</v>
      </c>
      <c r="R115" s="40">
        <f ca="1">IF(T108&gt;=4,Q102,R102)</f>
        <v>0</v>
      </c>
      <c r="S115" s="41">
        <f t="shared" si="72"/>
        <v>4</v>
      </c>
      <c r="T115" s="60"/>
      <c r="U115" s="60"/>
      <c r="V115" s="61"/>
      <c r="W115" s="127"/>
      <c r="X115" s="66"/>
      <c r="Y115" s="53"/>
      <c r="Z115" s="41">
        <v>2</v>
      </c>
      <c r="AA115" s="40">
        <f ca="1">IF(AD108&gt;=4,AB102,AA102)</f>
        <v>0</v>
      </c>
      <c r="AB115" s="40">
        <f ca="1">IF(AD108&gt;=4,AA102,AB102)</f>
        <v>0</v>
      </c>
      <c r="AC115" s="41">
        <f t="shared" si="73"/>
        <v>4</v>
      </c>
      <c r="AD115" s="60"/>
      <c r="AE115" s="60"/>
      <c r="AF115" s="61"/>
    </row>
    <row r="116" spans="13:32">
      <c r="M116" s="126"/>
      <c r="N116" s="66"/>
      <c r="O116" s="53"/>
      <c r="P116" s="41">
        <v>1</v>
      </c>
      <c r="Q116" s="40">
        <f ca="1">IF(T108&gt;=5,R103,Q103)</f>
        <v>1</v>
      </c>
      <c r="R116" s="40">
        <f ca="1">IF(T108&gt;=5,Q103,R103)</f>
        <v>0</v>
      </c>
      <c r="S116" s="41">
        <f t="shared" si="72"/>
        <v>2</v>
      </c>
      <c r="T116" s="60"/>
      <c r="U116" s="60"/>
      <c r="V116" s="61"/>
      <c r="W116" s="127"/>
      <c r="X116" s="66"/>
      <c r="Y116" s="53"/>
      <c r="Z116" s="41">
        <v>1</v>
      </c>
      <c r="AA116" s="40">
        <f ca="1">IF(AD108&gt;=5,AB103,AA103)</f>
        <v>0</v>
      </c>
      <c r="AB116" s="40">
        <f ca="1">IF(AD108&gt;=5,AA103,AB103)</f>
        <v>1</v>
      </c>
      <c r="AC116" s="41">
        <f t="shared" si="73"/>
        <v>2</v>
      </c>
      <c r="AD116" s="60"/>
      <c r="AE116" s="60"/>
      <c r="AF116" s="61"/>
    </row>
    <row r="117" spans="13:32">
      <c r="M117" s="126"/>
      <c r="N117" s="66"/>
      <c r="O117" s="53"/>
      <c r="P117" s="41">
        <v>0</v>
      </c>
      <c r="Q117" s="40">
        <f ca="1">IF(T108&gt;=6,R104,Q104)</f>
        <v>0</v>
      </c>
      <c r="R117" s="40">
        <f ca="1">IF(T108&gt;=6,Q104,R104)</f>
        <v>1</v>
      </c>
      <c r="S117" s="41">
        <f t="shared" si="72"/>
        <v>1</v>
      </c>
      <c r="T117" s="60"/>
      <c r="U117" s="60"/>
      <c r="V117" s="61"/>
      <c r="W117" s="127"/>
      <c r="X117" s="66"/>
      <c r="Y117" s="53"/>
      <c r="Z117" s="41">
        <v>0</v>
      </c>
      <c r="AA117" s="40">
        <f ca="1">IF(AD108&gt;=6,AB104,AA104)</f>
        <v>0</v>
      </c>
      <c r="AB117" s="40">
        <f ca="1">IF(AD108&gt;=6,AA104,AB104)</f>
        <v>1</v>
      </c>
      <c r="AC117" s="41">
        <f t="shared" si="73"/>
        <v>1</v>
      </c>
      <c r="AD117" s="60"/>
      <c r="AE117" s="60"/>
      <c r="AF117" s="61"/>
    </row>
    <row r="118" spans="13:32">
      <c r="M118" s="126"/>
      <c r="N118" s="66"/>
      <c r="O118" s="53"/>
      <c r="P118" s="41"/>
      <c r="Q118" s="42" t="s">
        <v>108</v>
      </c>
      <c r="R118" s="42" t="s">
        <v>109</v>
      </c>
      <c r="S118" s="41"/>
      <c r="T118" s="60"/>
      <c r="U118" s="60"/>
      <c r="V118" s="61"/>
      <c r="W118" s="127"/>
      <c r="X118" s="66"/>
      <c r="Y118" s="53"/>
      <c r="Z118" s="41"/>
      <c r="AA118" s="42" t="s">
        <v>108</v>
      </c>
      <c r="AB118" s="42" t="s">
        <v>109</v>
      </c>
      <c r="AC118" s="41"/>
      <c r="AD118" s="60"/>
      <c r="AE118" s="60"/>
      <c r="AF118" s="61"/>
    </row>
    <row r="119" spans="13:32">
      <c r="M119" s="126"/>
      <c r="N119" s="66" t="s">
        <v>114</v>
      </c>
      <c r="O119" s="53"/>
      <c r="P119" s="41"/>
      <c r="Q119" s="44">
        <f ca="1">Q112*2^P112+Q113*2^P113+Q114*2^P114+Q115*2^P115+Q116*2^P116+Q117*2^P117</f>
        <v>30</v>
      </c>
      <c r="R119" s="44">
        <f ca="1">R112*2^P112+R113*2^P113+R114*2^P114+R115*2^P115+R116*2^P116+R117*2^P117</f>
        <v>49</v>
      </c>
      <c r="S119" s="41"/>
      <c r="T119" s="60"/>
      <c r="U119" s="60"/>
      <c r="V119" s="61"/>
      <c r="W119" s="127"/>
      <c r="X119" s="66" t="s">
        <v>114</v>
      </c>
      <c r="Y119" s="53"/>
      <c r="Z119" s="41"/>
      <c r="AA119" s="44">
        <f ca="1">AA112*2^Z112+AA113*2^Z113+AA114*2^Z114+AA115*2^Z115+AA116*2^Z116+AA117*2^Z117</f>
        <v>32</v>
      </c>
      <c r="AB119" s="44">
        <f ca="1">AB112*2^Z112+AB113*2^Z113+AB114*2^Z114+AB115*2^Z115+AB116*2^Z116+AB117*2^Z117</f>
        <v>27</v>
      </c>
      <c r="AC119" s="41"/>
      <c r="AD119" s="60"/>
      <c r="AE119" s="60"/>
      <c r="AF119" s="61"/>
    </row>
    <row r="120" spans="13:32">
      <c r="M120" s="126"/>
      <c r="N120" s="67"/>
      <c r="O120" s="60"/>
      <c r="P120" s="60"/>
      <c r="Q120" s="60"/>
      <c r="R120" s="60"/>
      <c r="S120" s="60"/>
      <c r="T120" s="60"/>
      <c r="U120" s="60"/>
      <c r="V120" s="61"/>
      <c r="W120" s="127"/>
      <c r="X120" s="67"/>
      <c r="Y120" s="60"/>
      <c r="Z120" s="60"/>
      <c r="AA120" s="60"/>
      <c r="AB120" s="60"/>
      <c r="AC120" s="60"/>
      <c r="AD120" s="60"/>
      <c r="AE120" s="60"/>
      <c r="AF120" s="61"/>
    </row>
    <row r="121" spans="13:32">
      <c r="M121" s="126"/>
      <c r="N121" s="68" t="s">
        <v>115</v>
      </c>
      <c r="O121" s="69"/>
      <c r="P121" s="69"/>
      <c r="Q121" s="69"/>
      <c r="R121" s="69"/>
      <c r="S121" s="69"/>
      <c r="T121" s="69"/>
      <c r="U121" s="70">
        <f ca="1">FLOOR(O93*U96,1)</f>
        <v>4</v>
      </c>
      <c r="V121" s="71">
        <f ca="1">FLOOR(O93*V96,1)</f>
        <v>2</v>
      </c>
      <c r="W121" s="127"/>
      <c r="X121" s="68" t="s">
        <v>115</v>
      </c>
      <c r="Y121" s="69"/>
      <c r="Z121" s="69"/>
      <c r="AA121" s="69"/>
      <c r="AB121" s="69"/>
      <c r="AC121" s="69"/>
      <c r="AD121" s="69"/>
      <c r="AE121" s="70">
        <f ca="1">FLOOR(Y93*AE96,1)</f>
        <v>1</v>
      </c>
      <c r="AF121" s="71">
        <f ca="1">FLOOR(Y93*AF96,1)</f>
        <v>0</v>
      </c>
    </row>
    <row r="122" spans="13:32">
      <c r="M122" s="126"/>
      <c r="N122" s="67"/>
      <c r="O122" s="60"/>
      <c r="P122" s="60"/>
      <c r="Q122" s="60"/>
      <c r="R122" s="60"/>
      <c r="S122" s="60"/>
      <c r="T122" s="60"/>
      <c r="U122" s="60"/>
      <c r="V122" s="61"/>
      <c r="W122" s="127"/>
      <c r="X122" s="67"/>
      <c r="Y122" s="60"/>
      <c r="Z122" s="60"/>
      <c r="AA122" s="60"/>
      <c r="AB122" s="60"/>
      <c r="AC122" s="60"/>
      <c r="AD122" s="60"/>
      <c r="AE122" s="60"/>
      <c r="AF122" s="61"/>
    </row>
    <row r="123" spans="13:32">
      <c r="M123" s="126"/>
      <c r="N123" s="67"/>
      <c r="O123" s="60"/>
      <c r="P123" s="60"/>
      <c r="Q123" s="60"/>
      <c r="R123" s="60"/>
      <c r="S123" s="60"/>
      <c r="T123" s="60"/>
      <c r="U123" s="60"/>
      <c r="V123" s="61"/>
      <c r="W123" s="127"/>
      <c r="X123" s="67"/>
      <c r="Y123" s="60"/>
      <c r="Z123" s="60"/>
      <c r="AA123" s="60"/>
      <c r="AB123" s="60"/>
      <c r="AC123" s="60"/>
      <c r="AD123" s="60"/>
      <c r="AE123" s="60"/>
      <c r="AF123" s="61"/>
    </row>
    <row r="124" spans="13:32">
      <c r="M124" s="126"/>
      <c r="N124" s="67"/>
      <c r="O124" s="60"/>
      <c r="P124" s="42" t="s">
        <v>103</v>
      </c>
      <c r="Q124" s="42"/>
      <c r="R124" s="42"/>
      <c r="S124" s="42" t="s">
        <v>104</v>
      </c>
      <c r="T124" s="60"/>
      <c r="U124" s="60"/>
      <c r="V124" s="61"/>
      <c r="W124" s="127"/>
      <c r="X124" s="67"/>
      <c r="Y124" s="60"/>
      <c r="Z124" s="42" t="s">
        <v>103</v>
      </c>
      <c r="AA124" s="42"/>
      <c r="AB124" s="42"/>
      <c r="AC124" s="42" t="s">
        <v>104</v>
      </c>
      <c r="AD124" s="60"/>
      <c r="AE124" s="60"/>
      <c r="AF124" s="61"/>
    </row>
    <row r="125" spans="13:32">
      <c r="M125" s="126"/>
      <c r="N125" s="67"/>
      <c r="O125" s="60"/>
      <c r="P125" s="41">
        <v>5</v>
      </c>
      <c r="Q125" s="40">
        <f ca="1">IF(U121=1,IF(Q112=1,0,1),Q112)</f>
        <v>0</v>
      </c>
      <c r="R125" s="40">
        <f ca="1">IF(V121=1,IF(R112=1,0,1),R112)</f>
        <v>1</v>
      </c>
      <c r="S125" s="41">
        <f>2^P125</f>
        <v>32</v>
      </c>
      <c r="T125" s="60"/>
      <c r="U125" s="60"/>
      <c r="V125" s="61"/>
      <c r="W125" s="127"/>
      <c r="X125" s="67"/>
      <c r="Y125" s="60"/>
      <c r="Z125" s="41">
        <v>5</v>
      </c>
      <c r="AA125" s="40">
        <f ca="1">IF(AE121=1,IF(AA112=1,0,1),AA112)</f>
        <v>0</v>
      </c>
      <c r="AB125" s="40">
        <f ca="1">IF(AF121=1,IF(AB112=1,0,1),AB112)</f>
        <v>0</v>
      </c>
      <c r="AC125" s="41">
        <f>2^Z125</f>
        <v>32</v>
      </c>
      <c r="AD125" s="60"/>
      <c r="AE125" s="60"/>
      <c r="AF125" s="61"/>
    </row>
    <row r="126" spans="13:32">
      <c r="M126" s="126"/>
      <c r="N126" s="67"/>
      <c r="O126" s="60"/>
      <c r="P126" s="41">
        <v>4</v>
      </c>
      <c r="Q126" s="40">
        <f ca="1">IF(U121=2,IF(Q113=1,0,1),Q113)</f>
        <v>1</v>
      </c>
      <c r="R126" s="40">
        <f ca="1">IF(V121=2,IF(R113=1,0,1),R113)</f>
        <v>0</v>
      </c>
      <c r="S126" s="41">
        <f t="shared" ref="S126:S130" si="74">2^P126</f>
        <v>16</v>
      </c>
      <c r="T126" s="60"/>
      <c r="U126" s="60"/>
      <c r="V126" s="61"/>
      <c r="W126" s="127"/>
      <c r="X126" s="67"/>
      <c r="Y126" s="60"/>
      <c r="Z126" s="41">
        <v>4</v>
      </c>
      <c r="AA126" s="40">
        <f ca="1">IF(AE121=2,IF(AA113=1,0,1),AA113)</f>
        <v>0</v>
      </c>
      <c r="AB126" s="40">
        <f ca="1">IF(AF121=2,IF(AB113=1,0,1),AB113)</f>
        <v>1</v>
      </c>
      <c r="AC126" s="41">
        <f t="shared" ref="AC126:AC130" si="75">2^Z126</f>
        <v>16</v>
      </c>
      <c r="AD126" s="60"/>
      <c r="AE126" s="60"/>
      <c r="AF126" s="61"/>
    </row>
    <row r="127" spans="13:32">
      <c r="M127" s="126"/>
      <c r="N127" s="67"/>
      <c r="O127" s="60"/>
      <c r="P127" s="41">
        <v>3</v>
      </c>
      <c r="Q127" s="40">
        <f ca="1">IF(U121=3,IF(Q114=1,0,1),Q114)</f>
        <v>1</v>
      </c>
      <c r="R127" s="40">
        <f ca="1">IF(V121=3,IF(R114=1,0,1),R114)</f>
        <v>0</v>
      </c>
      <c r="S127" s="41">
        <f t="shared" si="74"/>
        <v>8</v>
      </c>
      <c r="T127" s="60"/>
      <c r="U127" s="60"/>
      <c r="V127" s="61"/>
      <c r="W127" s="127"/>
      <c r="X127" s="67"/>
      <c r="Y127" s="60"/>
      <c r="Z127" s="41">
        <v>3</v>
      </c>
      <c r="AA127" s="40">
        <f ca="1">IF(AE121=3,IF(AA114=1,0,1),AA114)</f>
        <v>0</v>
      </c>
      <c r="AB127" s="40">
        <f ca="1">IF(AF121=3,IF(AB114=1,0,1),AB114)</f>
        <v>1</v>
      </c>
      <c r="AC127" s="41">
        <f t="shared" si="75"/>
        <v>8</v>
      </c>
      <c r="AD127" s="60"/>
      <c r="AE127" s="60"/>
      <c r="AF127" s="61"/>
    </row>
    <row r="128" spans="13:32">
      <c r="M128" s="126"/>
      <c r="N128" s="67"/>
      <c r="O128" s="60"/>
      <c r="P128" s="41">
        <v>2</v>
      </c>
      <c r="Q128" s="40">
        <f ca="1">IF(U121=4,IF(Q115=1,0,1),Q115)</f>
        <v>0</v>
      </c>
      <c r="R128" s="40">
        <f ca="1">IF(V121=4,IF(R115=1,0,1),R115)</f>
        <v>0</v>
      </c>
      <c r="S128" s="41">
        <f t="shared" si="74"/>
        <v>4</v>
      </c>
      <c r="T128" s="60"/>
      <c r="U128" s="60"/>
      <c r="V128" s="61"/>
      <c r="W128" s="127"/>
      <c r="X128" s="67"/>
      <c r="Y128" s="60"/>
      <c r="Z128" s="41">
        <v>2</v>
      </c>
      <c r="AA128" s="40">
        <f ca="1">IF(AE121=4,IF(AA115=1,0,1),AA115)</f>
        <v>0</v>
      </c>
      <c r="AB128" s="40">
        <f ca="1">IF(AF121=4,IF(AB115=1,0,1),AB115)</f>
        <v>0</v>
      </c>
      <c r="AC128" s="41">
        <f t="shared" si="75"/>
        <v>4</v>
      </c>
      <c r="AD128" s="60"/>
      <c r="AE128" s="60"/>
      <c r="AF128" s="61"/>
    </row>
    <row r="129" spans="13:32">
      <c r="M129" s="126"/>
      <c r="N129" s="67"/>
      <c r="O129" s="60"/>
      <c r="P129" s="41">
        <v>1</v>
      </c>
      <c r="Q129" s="40">
        <f ca="1">IF(U121=5,IF(Q116=1,0,1),Q116)</f>
        <v>1</v>
      </c>
      <c r="R129" s="40">
        <f ca="1">IF(V121=5,IF(R116=1,0,1),R116)</f>
        <v>0</v>
      </c>
      <c r="S129" s="41">
        <f t="shared" si="74"/>
        <v>2</v>
      </c>
      <c r="T129" s="60"/>
      <c r="U129" s="60"/>
      <c r="V129" s="61"/>
      <c r="W129" s="127"/>
      <c r="X129" s="67"/>
      <c r="Y129" s="60"/>
      <c r="Z129" s="41">
        <v>1</v>
      </c>
      <c r="AA129" s="40">
        <f ca="1">IF(AE121=5,IF(AA116=1,0,1),AA116)</f>
        <v>0</v>
      </c>
      <c r="AB129" s="40">
        <f ca="1">IF(AF121=5,IF(AB116=1,0,1),AB116)</f>
        <v>1</v>
      </c>
      <c r="AC129" s="41">
        <f t="shared" si="75"/>
        <v>2</v>
      </c>
      <c r="AD129" s="60"/>
      <c r="AE129" s="60"/>
      <c r="AF129" s="61"/>
    </row>
    <row r="130" spans="13:32">
      <c r="M130" s="126"/>
      <c r="N130" s="67"/>
      <c r="O130" s="60"/>
      <c r="P130" s="41">
        <v>0</v>
      </c>
      <c r="Q130" s="40">
        <f ca="1">IF(U121=6,IF(Q117=1,0,1),Q117)</f>
        <v>0</v>
      </c>
      <c r="R130" s="40">
        <f ca="1">IF(V121=6,IF(R117=1,0,1),R117)</f>
        <v>1</v>
      </c>
      <c r="S130" s="41">
        <f t="shared" si="74"/>
        <v>1</v>
      </c>
      <c r="T130" s="60"/>
      <c r="U130" s="60"/>
      <c r="V130" s="61"/>
      <c r="W130" s="127"/>
      <c r="X130" s="67"/>
      <c r="Y130" s="60"/>
      <c r="Z130" s="41">
        <v>0</v>
      </c>
      <c r="AA130" s="40">
        <f ca="1">IF(AE121=6,IF(AA117=1,0,1),AA117)</f>
        <v>0</v>
      </c>
      <c r="AB130" s="40">
        <f ca="1">IF(AF121=6,IF(AB117=1,0,1),AB117)</f>
        <v>1</v>
      </c>
      <c r="AC130" s="41">
        <f t="shared" si="75"/>
        <v>1</v>
      </c>
      <c r="AD130" s="60"/>
      <c r="AE130" s="60"/>
      <c r="AF130" s="61"/>
    </row>
    <row r="131" spans="13:32">
      <c r="M131" s="126"/>
      <c r="N131" s="67"/>
      <c r="O131" s="60"/>
      <c r="P131" s="41"/>
      <c r="Q131" s="42" t="s">
        <v>108</v>
      </c>
      <c r="R131" s="42" t="s">
        <v>109</v>
      </c>
      <c r="S131" s="41"/>
      <c r="T131" s="60"/>
      <c r="U131" s="60"/>
      <c r="V131" s="61"/>
      <c r="W131" s="127"/>
      <c r="X131" s="67"/>
      <c r="Y131" s="60"/>
      <c r="Z131" s="41"/>
      <c r="AA131" s="42" t="s">
        <v>108</v>
      </c>
      <c r="AB131" s="42" t="s">
        <v>109</v>
      </c>
      <c r="AC131" s="41"/>
      <c r="AD131" s="60"/>
      <c r="AE131" s="60"/>
      <c r="AF131" s="61"/>
    </row>
    <row r="132" spans="13:32">
      <c r="M132" s="126"/>
      <c r="N132" s="67"/>
      <c r="O132" s="60"/>
      <c r="P132" s="41"/>
      <c r="Q132" s="44">
        <f ca="1">Q125*2^P125+Q126*2^P126+Q127*2^P127+Q128*2^P128+Q129*2^P129+Q130*2^P130</f>
        <v>26</v>
      </c>
      <c r="R132" s="44">
        <f ca="1">R125*2^P125+R126*2^P126+R127*2^P127+R128*2^P128+R129*2^P129+R130*2^P130</f>
        <v>33</v>
      </c>
      <c r="S132" s="41"/>
      <c r="T132" s="60"/>
      <c r="U132" s="60"/>
      <c r="V132" s="61"/>
      <c r="W132" s="127"/>
      <c r="X132" s="67"/>
      <c r="Y132" s="60"/>
      <c r="Z132" s="41"/>
      <c r="AA132" s="44">
        <f ca="1">AA125*2^Z125+AA126*2^Z126+AA127*2^Z127+AA128*2^Z128+AA129*2^Z129+AA130*2^Z130</f>
        <v>0</v>
      </c>
      <c r="AB132" s="44">
        <f ca="1">AB125*2^Z125+AB126*2^Z126+AB127*2^Z127+AB128*2^Z128+AB129*2^Z129+AB130*2^Z130</f>
        <v>27</v>
      </c>
      <c r="AC132" s="41"/>
      <c r="AD132" s="60"/>
      <c r="AE132" s="60"/>
      <c r="AF132" s="61"/>
    </row>
    <row r="133" spans="13:32">
      <c r="M133" s="126"/>
      <c r="N133" s="67"/>
      <c r="O133" s="60"/>
      <c r="P133" s="60"/>
      <c r="Q133" s="60"/>
      <c r="R133" s="60"/>
      <c r="S133" s="60"/>
      <c r="T133" s="60"/>
      <c r="U133" s="60"/>
      <c r="V133" s="61"/>
      <c r="W133" s="127"/>
      <c r="X133" s="67"/>
      <c r="Y133" s="60"/>
      <c r="Z133" s="60"/>
      <c r="AA133" s="60"/>
      <c r="AB133" s="60"/>
      <c r="AC133" s="60"/>
      <c r="AD133" s="60"/>
      <c r="AE133" s="60"/>
      <c r="AF133" s="61"/>
    </row>
    <row r="134" spans="13:32">
      <c r="M134" s="126"/>
      <c r="N134" s="72" t="s">
        <v>116</v>
      </c>
      <c r="O134" s="73"/>
      <c r="P134" s="73"/>
      <c r="Q134" s="74">
        <f ca="1">(Q132/P94)*(S96-P96)+P96</f>
        <v>-0.87301587301587347</v>
      </c>
      <c r="R134" s="74">
        <f ca="1">(R132/P94)*(S96-P96)+P96</f>
        <v>0.23809523809523814</v>
      </c>
      <c r="S134" s="75"/>
      <c r="T134" s="75"/>
      <c r="U134" s="75"/>
      <c r="V134" s="76"/>
      <c r="W134" s="127"/>
      <c r="X134" s="72" t="s">
        <v>116</v>
      </c>
      <c r="Y134" s="73"/>
      <c r="Z134" s="73"/>
      <c r="AA134" s="74">
        <f ca="1">(AA132/Z94)*(AC96-Z96)+Z96</f>
        <v>-5</v>
      </c>
      <c r="AB134" s="74">
        <f ca="1">(AB132/Z94)*(AC96-Z96)+Z96</f>
        <v>-0.71428571428571441</v>
      </c>
      <c r="AC134" s="75"/>
      <c r="AD134" s="75"/>
      <c r="AE134" s="75"/>
      <c r="AF134" s="76"/>
    </row>
    <row r="135" spans="13:32">
      <c r="M135" s="126"/>
      <c r="N135" s="122" t="s">
        <v>157</v>
      </c>
      <c r="O135" s="123"/>
      <c r="P135" s="123"/>
      <c r="Q135" s="123"/>
      <c r="R135" s="123"/>
      <c r="S135" s="123"/>
      <c r="T135" s="123"/>
      <c r="U135" s="123"/>
      <c r="V135" s="124"/>
      <c r="W135" s="127"/>
      <c r="X135" s="122" t="s">
        <v>157</v>
      </c>
      <c r="Y135" s="123"/>
      <c r="Z135" s="123"/>
      <c r="AA135" s="123"/>
      <c r="AB135" s="123"/>
      <c r="AC135" s="123"/>
      <c r="AD135" s="123"/>
      <c r="AE135" s="123"/>
      <c r="AF135" s="124"/>
    </row>
    <row r="136" spans="13:32">
      <c r="M136" s="126"/>
      <c r="N136" s="59" t="s">
        <v>100</v>
      </c>
      <c r="O136" s="60">
        <v>6</v>
      </c>
      <c r="P136" s="60"/>
      <c r="Q136" s="60"/>
      <c r="R136" s="60"/>
      <c r="S136" s="60"/>
      <c r="T136" s="60"/>
      <c r="U136" s="60"/>
      <c r="V136" s="61"/>
      <c r="W136" s="127"/>
      <c r="X136" s="59" t="s">
        <v>100</v>
      </c>
      <c r="Y136" s="60">
        <v>6</v>
      </c>
      <c r="Z136" s="60"/>
      <c r="AA136" s="60"/>
      <c r="AB136" s="60"/>
      <c r="AC136" s="60"/>
      <c r="AD136" s="60"/>
      <c r="AE136" s="60"/>
      <c r="AF136" s="61"/>
    </row>
    <row r="137" spans="13:32" ht="30">
      <c r="M137" s="126"/>
      <c r="N137" s="59" t="s">
        <v>101</v>
      </c>
      <c r="O137" s="60">
        <v>0</v>
      </c>
      <c r="P137" s="60">
        <f>(2^O136)-1</f>
        <v>63</v>
      </c>
      <c r="Q137" s="60"/>
      <c r="R137" s="60"/>
      <c r="S137" s="60"/>
      <c r="T137" s="60"/>
      <c r="U137" s="60"/>
      <c r="V137" s="61"/>
      <c r="W137" s="127"/>
      <c r="X137" s="59" t="s">
        <v>101</v>
      </c>
      <c r="Y137" s="60">
        <v>0</v>
      </c>
      <c r="Z137" s="60">
        <f>(2^Y136)-1</f>
        <v>63</v>
      </c>
      <c r="AA137" s="60"/>
      <c r="AB137" s="60"/>
      <c r="AC137" s="60"/>
      <c r="AD137" s="60"/>
      <c r="AE137" s="60"/>
      <c r="AF137" s="61"/>
    </row>
    <row r="138" spans="13:32">
      <c r="M138" s="126"/>
      <c r="N138" s="62" t="s">
        <v>72</v>
      </c>
      <c r="O138" s="4" t="s">
        <v>73</v>
      </c>
      <c r="P138" s="4" t="s">
        <v>91</v>
      </c>
      <c r="Q138" s="4" t="s">
        <v>155</v>
      </c>
      <c r="R138" s="4" t="s">
        <v>156</v>
      </c>
      <c r="S138" s="4" t="s">
        <v>94</v>
      </c>
      <c r="T138" s="4" t="s">
        <v>95</v>
      </c>
      <c r="U138" s="4" t="s">
        <v>96</v>
      </c>
      <c r="V138" s="63" t="s">
        <v>97</v>
      </c>
      <c r="W138" s="127"/>
      <c r="X138" s="62" t="s">
        <v>72</v>
      </c>
      <c r="Y138" s="4" t="s">
        <v>73</v>
      </c>
      <c r="Z138" s="4" t="s">
        <v>91</v>
      </c>
      <c r="AA138" s="4" t="s">
        <v>155</v>
      </c>
      <c r="AB138" s="4" t="s">
        <v>156</v>
      </c>
      <c r="AC138" s="4" t="s">
        <v>94</v>
      </c>
      <c r="AD138" s="4" t="s">
        <v>95</v>
      </c>
      <c r="AE138" s="4" t="s">
        <v>96</v>
      </c>
      <c r="AF138" s="63" t="s">
        <v>97</v>
      </c>
    </row>
    <row r="139" spans="13:32">
      <c r="M139" s="126"/>
      <c r="N139" s="64" t="s">
        <v>1</v>
      </c>
      <c r="O139" s="53"/>
      <c r="P139" s="53">
        <v>-5</v>
      </c>
      <c r="Q139" s="65">
        <f ca="1">E41</f>
        <v>-4.6614653271641</v>
      </c>
      <c r="R139" s="65">
        <f ca="1">F41</f>
        <v>1.3761931018881288</v>
      </c>
      <c r="S139" s="53">
        <v>5</v>
      </c>
      <c r="T139" s="53">
        <f ca="1">RAND()</f>
        <v>0.38561744846083235</v>
      </c>
      <c r="U139" s="53">
        <f t="shared" ref="U139:V139" ca="1" si="76">RAND()</f>
        <v>0.92260010261683689</v>
      </c>
      <c r="V139" s="28">
        <f t="shared" ca="1" si="76"/>
        <v>0.31808421682394661</v>
      </c>
      <c r="W139" s="127"/>
      <c r="X139" s="64" t="s">
        <v>1</v>
      </c>
      <c r="Y139" s="53"/>
      <c r="Z139" s="53">
        <v>-5</v>
      </c>
      <c r="AA139" s="65">
        <f ca="1">E81</f>
        <v>1.3492063492063489</v>
      </c>
      <c r="AB139" s="65">
        <f ca="1">F81</f>
        <v>-2.7777777777777777</v>
      </c>
      <c r="AC139" s="53">
        <v>5</v>
      </c>
      <c r="AD139" s="53">
        <f ca="1">RAND()</f>
        <v>0.31306645938905464</v>
      </c>
      <c r="AE139" s="53">
        <f t="shared" ref="AE139:AF139" ca="1" si="77">RAND()</f>
        <v>0.93621358972529145</v>
      </c>
      <c r="AF139" s="28">
        <f t="shared" ca="1" si="77"/>
        <v>0.53577415378465376</v>
      </c>
    </row>
    <row r="140" spans="13:32" ht="30">
      <c r="M140" s="126"/>
      <c r="N140" s="59" t="s">
        <v>110</v>
      </c>
      <c r="O140" s="60"/>
      <c r="P140" s="60"/>
      <c r="Q140" s="60">
        <f ca="1">(ABS(Q139-P139)/(S139-P139))*(P137-O137)</f>
        <v>2.1327684388661696</v>
      </c>
      <c r="R140" s="60">
        <f ca="1">(ABS(R139-P139)/(S139-P139))*(P137-O137)</f>
        <v>40.170016541895215</v>
      </c>
      <c r="S140" s="60"/>
      <c r="T140" s="60"/>
      <c r="U140" s="60"/>
      <c r="V140" s="61"/>
      <c r="W140" s="127"/>
      <c r="X140" s="59" t="s">
        <v>110</v>
      </c>
      <c r="Y140" s="60"/>
      <c r="Z140" s="60"/>
      <c r="AA140" s="60">
        <f ca="1">(ABS(AA139-Z139)/(AC139-Z139))*(Z137-Y137)</f>
        <v>40</v>
      </c>
      <c r="AB140" s="60">
        <f ca="1">(ABS(AB139-Z139)/(AC139-Z139))*(Z137-Y137)</f>
        <v>14.000000000000002</v>
      </c>
      <c r="AC140" s="60"/>
      <c r="AD140" s="60"/>
      <c r="AE140" s="60"/>
      <c r="AF140" s="61"/>
    </row>
    <row r="141" spans="13:32">
      <c r="M141" s="126"/>
      <c r="N141" s="66"/>
      <c r="O141" s="53"/>
      <c r="P141" s="42" t="s">
        <v>103</v>
      </c>
      <c r="Q141" s="42"/>
      <c r="R141" s="42"/>
      <c r="S141" s="42" t="s">
        <v>104</v>
      </c>
      <c r="T141" s="60"/>
      <c r="U141" s="60"/>
      <c r="V141" s="61"/>
      <c r="W141" s="127"/>
      <c r="X141" s="66"/>
      <c r="Y141" s="53"/>
      <c r="Z141" s="42" t="s">
        <v>103</v>
      </c>
      <c r="AA141" s="42"/>
      <c r="AB141" s="42"/>
      <c r="AC141" s="42" t="s">
        <v>104</v>
      </c>
      <c r="AD141" s="60"/>
      <c r="AE141" s="60"/>
      <c r="AF141" s="61"/>
    </row>
    <row r="142" spans="13:32">
      <c r="M142" s="126"/>
      <c r="N142" s="66" t="s">
        <v>102</v>
      </c>
      <c r="O142" s="53"/>
      <c r="P142" s="41">
        <v>5</v>
      </c>
      <c r="Q142" s="40">
        <f ca="1">FLOOR(Q140/2^P142,1)</f>
        <v>0</v>
      </c>
      <c r="R142" s="40">
        <f ca="1">FLOOR(R140/2^P142,1)</f>
        <v>1</v>
      </c>
      <c r="S142" s="41">
        <f>2^P142</f>
        <v>32</v>
      </c>
      <c r="T142" s="60"/>
      <c r="U142" s="60"/>
      <c r="V142" s="61"/>
      <c r="W142" s="127"/>
      <c r="X142" s="66" t="s">
        <v>102</v>
      </c>
      <c r="Y142" s="53"/>
      <c r="Z142" s="41">
        <v>5</v>
      </c>
      <c r="AA142" s="40">
        <f ca="1">FLOOR(AA140/2^Z142,1)</f>
        <v>1</v>
      </c>
      <c r="AB142" s="40">
        <f ca="1">FLOOR(AB140/2^Z142,1)</f>
        <v>0</v>
      </c>
      <c r="AC142" s="41">
        <f>2^Z142</f>
        <v>32</v>
      </c>
      <c r="AD142" s="60"/>
      <c r="AE142" s="60"/>
      <c r="AF142" s="61"/>
    </row>
    <row r="143" spans="13:32">
      <c r="M143" s="126"/>
      <c r="N143" s="66" t="s">
        <v>105</v>
      </c>
      <c r="O143" s="53"/>
      <c r="P143" s="41">
        <v>4</v>
      </c>
      <c r="Q143" s="40">
        <f ca="1">FLOOR((Q140-Q142*2^P142)/(2^P143),1)</f>
        <v>0</v>
      </c>
      <c r="R143" s="40">
        <f ca="1">FLOOR((R140-R142*2^P142)/(2^P143),1)</f>
        <v>0</v>
      </c>
      <c r="S143" s="41">
        <f t="shared" ref="S143:S147" si="78">2^P143</f>
        <v>16</v>
      </c>
      <c r="T143" s="60"/>
      <c r="U143" s="60"/>
      <c r="V143" s="61"/>
      <c r="W143" s="127"/>
      <c r="X143" s="66" t="s">
        <v>105</v>
      </c>
      <c r="Y143" s="53"/>
      <c r="Z143" s="41">
        <v>4</v>
      </c>
      <c r="AA143" s="40">
        <f ca="1">FLOOR((AA140-AA142*2^Z142)/(2^Z143),1)</f>
        <v>0</v>
      </c>
      <c r="AB143" s="40">
        <f ca="1">FLOOR((AB140-AB142*2^Z142)/(2^Z143),1)</f>
        <v>0</v>
      </c>
      <c r="AC143" s="41">
        <f t="shared" ref="AC143:AC147" si="79">2^Z143</f>
        <v>16</v>
      </c>
      <c r="AD143" s="60"/>
      <c r="AE143" s="60"/>
      <c r="AF143" s="61"/>
    </row>
    <row r="144" spans="13:32">
      <c r="M144" s="126"/>
      <c r="N144" s="66" t="s">
        <v>106</v>
      </c>
      <c r="O144" s="53"/>
      <c r="P144" s="41">
        <v>3</v>
      </c>
      <c r="Q144" s="40">
        <f ca="1">FLOOR((Q140-Q142*2^P142-Q143*2^P143)/(2^P144),1)</f>
        <v>0</v>
      </c>
      <c r="R144" s="40">
        <f ca="1">FLOOR((R140-R142*2^P142-R143*2^P143)/(2^P144),1)</f>
        <v>1</v>
      </c>
      <c r="S144" s="41">
        <f t="shared" si="78"/>
        <v>8</v>
      </c>
      <c r="T144" s="60"/>
      <c r="U144" s="60"/>
      <c r="V144" s="61"/>
      <c r="W144" s="127"/>
      <c r="X144" s="66" t="s">
        <v>106</v>
      </c>
      <c r="Y144" s="53"/>
      <c r="Z144" s="41">
        <v>3</v>
      </c>
      <c r="AA144" s="40">
        <f ca="1">FLOOR((AA140-AA142*2^Z142-AA143*2^Z143)/(2^Z144),1)</f>
        <v>1</v>
      </c>
      <c r="AB144" s="40">
        <f ca="1">FLOOR((AB140-AB142*2^Z142-AB143*2^Z143)/(2^Z144),1)</f>
        <v>1</v>
      </c>
      <c r="AC144" s="41">
        <f t="shared" si="79"/>
        <v>8</v>
      </c>
      <c r="AD144" s="60"/>
      <c r="AE144" s="60"/>
      <c r="AF144" s="61"/>
    </row>
    <row r="145" spans="13:32">
      <c r="M145" s="126"/>
      <c r="N145" s="66" t="s">
        <v>107</v>
      </c>
      <c r="O145" s="53"/>
      <c r="P145" s="41">
        <v>2</v>
      </c>
      <c r="Q145" s="40">
        <f ca="1">FLOOR((Q140-Q142*2^P142-Q143*2^P143-Q144*2^P144)/(2^P145),1)</f>
        <v>0</v>
      </c>
      <c r="R145" s="40">
        <f ca="1">FLOOR((R140-R142*2^P142-R143*2^P143-R144*2^P144)/(2^P145),1)</f>
        <v>0</v>
      </c>
      <c r="S145" s="41">
        <f t="shared" si="78"/>
        <v>4</v>
      </c>
      <c r="T145" s="60"/>
      <c r="U145" s="60"/>
      <c r="V145" s="61"/>
      <c r="W145" s="127"/>
      <c r="X145" s="66" t="s">
        <v>107</v>
      </c>
      <c r="Y145" s="53"/>
      <c r="Z145" s="41">
        <v>2</v>
      </c>
      <c r="AA145" s="40">
        <f ca="1">FLOOR((AA140-AA142*2^Z142-AA143*2^Z143-AA144*2^Z144)/(2^Z145),1)</f>
        <v>0</v>
      </c>
      <c r="AB145" s="40">
        <f ca="1">FLOOR((AB140-AB142*2^Z142-AB143*2^Z143-AB144*2^Z144)/(2^Z145),1)</f>
        <v>1</v>
      </c>
      <c r="AC145" s="41">
        <f t="shared" si="79"/>
        <v>4</v>
      </c>
      <c r="AD145" s="60"/>
      <c r="AE145" s="60"/>
      <c r="AF145" s="61"/>
    </row>
    <row r="146" spans="13:32">
      <c r="M146" s="126"/>
      <c r="N146" s="66"/>
      <c r="O146" s="53"/>
      <c r="P146" s="41">
        <v>1</v>
      </c>
      <c r="Q146" s="40">
        <f ca="1">FLOOR((Q140-Q142*2^P142-Q143*2^P143-Q144*2^P144-Q145*2^P145)/(2^P146),1)</f>
        <v>1</v>
      </c>
      <c r="R146" s="40">
        <f ca="1">FLOOR((R140-R142*2^P142-R143*2^P143-R144*2^P144-R145*2^P145)/(2^P146),1)</f>
        <v>0</v>
      </c>
      <c r="S146" s="41">
        <f t="shared" si="78"/>
        <v>2</v>
      </c>
      <c r="T146" s="60"/>
      <c r="U146" s="60"/>
      <c r="V146" s="61"/>
      <c r="W146" s="127"/>
      <c r="X146" s="66"/>
      <c r="Y146" s="53"/>
      <c r="Z146" s="41">
        <v>1</v>
      </c>
      <c r="AA146" s="40">
        <f ca="1">FLOOR((AA140-AA142*2^Z142-AA143*2^Z143-AA144*2^Z144-AA145*2^Z145)/(2^Z146),1)</f>
        <v>0</v>
      </c>
      <c r="AB146" s="40">
        <f ca="1">FLOOR((AB140-AB142*2^Z142-AB143*2^Z143-AB144*2^Z144-AB145*2^Z145)/(2^Z146),1)</f>
        <v>1</v>
      </c>
      <c r="AC146" s="41">
        <f t="shared" si="79"/>
        <v>2</v>
      </c>
      <c r="AD146" s="60"/>
      <c r="AE146" s="60"/>
      <c r="AF146" s="61"/>
    </row>
    <row r="147" spans="13:32">
      <c r="M147" s="126"/>
      <c r="N147" s="66"/>
      <c r="O147" s="53"/>
      <c r="P147" s="41">
        <v>0</v>
      </c>
      <c r="Q147" s="40">
        <f ca="1">FLOOR((Q140-Q142*2^P142-Q143*2^P143-Q144*2^P144-Q145*2^P145-Q146*2^P146)/(2^P147),1)</f>
        <v>0</v>
      </c>
      <c r="R147" s="40">
        <f ca="1">FLOOR((R140-R142*2^P142-R143*2^P143-R144*2^P144-R145*2^P145-R146*2^P146)/(2^P147),1)</f>
        <v>0</v>
      </c>
      <c r="S147" s="41">
        <f t="shared" si="78"/>
        <v>1</v>
      </c>
      <c r="T147" s="60"/>
      <c r="U147" s="60"/>
      <c r="V147" s="61"/>
      <c r="W147" s="127"/>
      <c r="X147" s="66"/>
      <c r="Y147" s="53"/>
      <c r="Z147" s="41">
        <v>0</v>
      </c>
      <c r="AA147" s="40">
        <f ca="1">FLOOR((AA140-AA142*2^Z142-AA143*2^Z143-AA144*2^Z144-AA145*2^Z145-AA146*2^Z146)/(2^Z147),1)</f>
        <v>0</v>
      </c>
      <c r="AB147" s="40">
        <f ca="1">FLOOR((AB140-AB142*2^Z142-AB143*2^Z143-AB144*2^Z144-AB145*2^Z145-AB146*2^Z146)/(2^Z147),1)</f>
        <v>0</v>
      </c>
      <c r="AC147" s="41">
        <f t="shared" si="79"/>
        <v>1</v>
      </c>
      <c r="AD147" s="60"/>
      <c r="AE147" s="60"/>
      <c r="AF147" s="61"/>
    </row>
    <row r="148" spans="13:32">
      <c r="M148" s="126"/>
      <c r="N148" s="66"/>
      <c r="O148" s="53"/>
      <c r="P148" s="41"/>
      <c r="Q148" s="42" t="s">
        <v>108</v>
      </c>
      <c r="R148" s="42" t="s">
        <v>109</v>
      </c>
      <c r="S148" s="41"/>
      <c r="T148" s="60"/>
      <c r="U148" s="60"/>
      <c r="V148" s="61"/>
      <c r="W148" s="127"/>
      <c r="X148" s="66"/>
      <c r="Y148" s="53"/>
      <c r="Z148" s="41"/>
      <c r="AA148" s="42" t="s">
        <v>108</v>
      </c>
      <c r="AB148" s="42" t="s">
        <v>109</v>
      </c>
      <c r="AC148" s="41"/>
      <c r="AD148" s="60"/>
      <c r="AE148" s="60"/>
      <c r="AF148" s="61"/>
    </row>
    <row r="149" spans="13:32">
      <c r="M149" s="126"/>
      <c r="N149" s="66" t="s">
        <v>114</v>
      </c>
      <c r="O149" s="53"/>
      <c r="P149" s="41"/>
      <c r="Q149" s="44">
        <f ca="1">Q142*2^P142+Q143*2^P143+Q144*2^P144+Q145*2^P145+Q146*2^P146+Q147*2^P147</f>
        <v>2</v>
      </c>
      <c r="R149" s="44">
        <f ca="1">R142*2^P142+R143*2^P143+R144*2^P144+R145*2^P145+R146*2^P146+R147*2^P147</f>
        <v>40</v>
      </c>
      <c r="S149" s="41"/>
      <c r="T149" s="60"/>
      <c r="U149" s="60"/>
      <c r="V149" s="61"/>
      <c r="W149" s="127"/>
      <c r="X149" s="66" t="s">
        <v>114</v>
      </c>
      <c r="Y149" s="53"/>
      <c r="Z149" s="41"/>
      <c r="AA149" s="44">
        <f ca="1">AA142*2^Z142+AA143*2^Z143+AA144*2^Z144+AA145*2^Z145+AA146*2^Z146+AA147*2^Z147</f>
        <v>40</v>
      </c>
      <c r="AB149" s="44">
        <f ca="1">AB142*2^Z142+AB143*2^Z143+AB144*2^Z144+AB145*2^Z145+AB146*2^Z146+AB147*2^Z147</f>
        <v>14</v>
      </c>
      <c r="AC149" s="41"/>
      <c r="AD149" s="60"/>
      <c r="AE149" s="60"/>
      <c r="AF149" s="61"/>
    </row>
    <row r="150" spans="13:32">
      <c r="M150" s="126"/>
      <c r="N150" s="67"/>
      <c r="O150" s="60"/>
      <c r="P150" s="60"/>
      <c r="Q150" s="60"/>
      <c r="R150" s="60"/>
      <c r="S150" s="60"/>
      <c r="T150" s="60"/>
      <c r="U150" s="60"/>
      <c r="V150" s="61"/>
      <c r="W150" s="127"/>
      <c r="X150" s="67"/>
      <c r="Y150" s="60"/>
      <c r="Z150" s="60"/>
      <c r="AA150" s="60"/>
      <c r="AB150" s="60"/>
      <c r="AC150" s="60"/>
      <c r="AD150" s="60"/>
      <c r="AE150" s="60"/>
      <c r="AF150" s="61"/>
    </row>
    <row r="151" spans="13:32">
      <c r="M151" s="126"/>
      <c r="N151" s="68" t="s">
        <v>111</v>
      </c>
      <c r="O151" s="69"/>
      <c r="P151" s="69"/>
      <c r="Q151" s="69"/>
      <c r="R151" s="69"/>
      <c r="S151" s="69"/>
      <c r="T151" s="70">
        <f ca="1">FLOOR(O136*T139,1)</f>
        <v>2</v>
      </c>
      <c r="U151" s="60"/>
      <c r="V151" s="61"/>
      <c r="W151" s="127"/>
      <c r="X151" s="68" t="s">
        <v>111</v>
      </c>
      <c r="Y151" s="69"/>
      <c r="Z151" s="69"/>
      <c r="AA151" s="69"/>
      <c r="AB151" s="69"/>
      <c r="AC151" s="69"/>
      <c r="AD151" s="70">
        <f ca="1">FLOOR(Y136*AD139,1)</f>
        <v>1</v>
      </c>
      <c r="AE151" s="60"/>
      <c r="AF151" s="61"/>
    </row>
    <row r="152" spans="13:32">
      <c r="M152" s="126"/>
      <c r="N152" s="67" t="s">
        <v>112</v>
      </c>
      <c r="O152" s="60"/>
      <c r="P152" s="60"/>
      <c r="Q152" s="60"/>
      <c r="R152" s="60"/>
      <c r="S152" s="60"/>
      <c r="T152" s="60"/>
      <c r="U152" s="60"/>
      <c r="V152" s="61"/>
      <c r="W152" s="127"/>
      <c r="X152" s="67" t="s">
        <v>112</v>
      </c>
      <c r="Y152" s="60"/>
      <c r="Z152" s="60"/>
      <c r="AA152" s="60"/>
      <c r="AB152" s="60"/>
      <c r="AC152" s="60"/>
      <c r="AD152" s="60"/>
      <c r="AE152" s="60"/>
      <c r="AF152" s="61"/>
    </row>
    <row r="153" spans="13:32">
      <c r="M153" s="126"/>
      <c r="N153" s="67"/>
      <c r="O153" s="60"/>
      <c r="P153" s="60"/>
      <c r="Q153" s="60"/>
      <c r="R153" s="60"/>
      <c r="S153" s="60"/>
      <c r="T153" s="60"/>
      <c r="U153" s="60"/>
      <c r="V153" s="61"/>
      <c r="W153" s="127"/>
      <c r="X153" s="67"/>
      <c r="Y153" s="60"/>
      <c r="Z153" s="60"/>
      <c r="AA153" s="60"/>
      <c r="AB153" s="60"/>
      <c r="AC153" s="60"/>
      <c r="AD153" s="60"/>
      <c r="AE153" s="60"/>
      <c r="AF153" s="61"/>
    </row>
    <row r="154" spans="13:32">
      <c r="M154" s="126"/>
      <c r="N154" s="66" t="s">
        <v>113</v>
      </c>
      <c r="O154" s="53"/>
      <c r="P154" s="42" t="s">
        <v>103</v>
      </c>
      <c r="Q154" s="42"/>
      <c r="R154" s="42"/>
      <c r="S154" s="42" t="s">
        <v>104</v>
      </c>
      <c r="T154" s="60"/>
      <c r="U154" s="60"/>
      <c r="V154" s="61"/>
      <c r="W154" s="127"/>
      <c r="X154" s="66" t="s">
        <v>113</v>
      </c>
      <c r="Y154" s="53"/>
      <c r="Z154" s="42" t="s">
        <v>103</v>
      </c>
      <c r="AA154" s="42"/>
      <c r="AB154" s="42"/>
      <c r="AC154" s="42" t="s">
        <v>104</v>
      </c>
      <c r="AD154" s="60"/>
      <c r="AE154" s="60"/>
      <c r="AF154" s="61"/>
    </row>
    <row r="155" spans="13:32">
      <c r="M155" s="126"/>
      <c r="N155" s="66"/>
      <c r="O155" s="53"/>
      <c r="P155" s="41">
        <v>5</v>
      </c>
      <c r="Q155" s="40">
        <f ca="1">IF(T151&gt;=1,R142,Q142)</f>
        <v>1</v>
      </c>
      <c r="R155" s="40">
        <f ca="1">IF(T151&gt;=1,Q142,R142)</f>
        <v>0</v>
      </c>
      <c r="S155" s="41">
        <f>2^P155</f>
        <v>32</v>
      </c>
      <c r="T155" s="60"/>
      <c r="U155" s="60"/>
      <c r="V155" s="61"/>
      <c r="W155" s="127"/>
      <c r="X155" s="66"/>
      <c r="Y155" s="53"/>
      <c r="Z155" s="41">
        <v>5</v>
      </c>
      <c r="AA155" s="40">
        <f ca="1">IF(AD151&gt;=1,AB142,AA142)</f>
        <v>0</v>
      </c>
      <c r="AB155" s="40">
        <f ca="1">IF(AD151&gt;=1,AA142,AB142)</f>
        <v>1</v>
      </c>
      <c r="AC155" s="41">
        <f>2^Z155</f>
        <v>32</v>
      </c>
      <c r="AD155" s="60"/>
      <c r="AE155" s="60"/>
      <c r="AF155" s="61"/>
    </row>
    <row r="156" spans="13:32">
      <c r="M156" s="126"/>
      <c r="N156" s="66"/>
      <c r="O156" s="53"/>
      <c r="P156" s="41">
        <v>4</v>
      </c>
      <c r="Q156" s="40">
        <f ca="1">IF(T151&gt;=2,R143,Q143)</f>
        <v>0</v>
      </c>
      <c r="R156" s="40">
        <f ca="1">IF(T151&gt;=2,Q143,R143)</f>
        <v>0</v>
      </c>
      <c r="S156" s="41">
        <f t="shared" ref="S156:S160" si="80">2^P156</f>
        <v>16</v>
      </c>
      <c r="T156" s="60"/>
      <c r="U156" s="60"/>
      <c r="V156" s="61"/>
      <c r="W156" s="127"/>
      <c r="X156" s="66"/>
      <c r="Y156" s="53"/>
      <c r="Z156" s="41">
        <v>4</v>
      </c>
      <c r="AA156" s="40">
        <f ca="1">IF(AD151&gt;=2,AB143,AA143)</f>
        <v>0</v>
      </c>
      <c r="AB156" s="40">
        <f ca="1">IF(AD151&gt;=2,AA143,AB143)</f>
        <v>0</v>
      </c>
      <c r="AC156" s="41">
        <f t="shared" ref="AC156:AC160" si="81">2^Z156</f>
        <v>16</v>
      </c>
      <c r="AD156" s="60"/>
      <c r="AE156" s="60"/>
      <c r="AF156" s="61"/>
    </row>
    <row r="157" spans="13:32">
      <c r="M157" s="126"/>
      <c r="N157" s="66"/>
      <c r="O157" s="53"/>
      <c r="P157" s="41">
        <v>3</v>
      </c>
      <c r="Q157" s="40">
        <f ca="1">IF(T151&gt;=3,R144,Q144)</f>
        <v>0</v>
      </c>
      <c r="R157" s="40">
        <f ca="1">IF(T151&gt;=3,Q144,R144)</f>
        <v>1</v>
      </c>
      <c r="S157" s="41">
        <f t="shared" si="80"/>
        <v>8</v>
      </c>
      <c r="T157" s="60"/>
      <c r="U157" s="60"/>
      <c r="V157" s="61"/>
      <c r="W157" s="127"/>
      <c r="X157" s="66"/>
      <c r="Y157" s="53"/>
      <c r="Z157" s="41">
        <v>3</v>
      </c>
      <c r="AA157" s="40">
        <f ca="1">IF(AD151&gt;=3,AB144,AA144)</f>
        <v>1</v>
      </c>
      <c r="AB157" s="40">
        <f ca="1">IF(AD151&gt;=3,AA144,AB144)</f>
        <v>1</v>
      </c>
      <c r="AC157" s="41">
        <f t="shared" si="81"/>
        <v>8</v>
      </c>
      <c r="AD157" s="60"/>
      <c r="AE157" s="60"/>
      <c r="AF157" s="61"/>
    </row>
    <row r="158" spans="13:32">
      <c r="M158" s="126"/>
      <c r="N158" s="66"/>
      <c r="O158" s="53"/>
      <c r="P158" s="41">
        <v>2</v>
      </c>
      <c r="Q158" s="40">
        <f ca="1">IF(T151&gt;=4,R145,Q145)</f>
        <v>0</v>
      </c>
      <c r="R158" s="40">
        <f ca="1">IF(T151&gt;=4,Q145,R145)</f>
        <v>0</v>
      </c>
      <c r="S158" s="41">
        <f t="shared" si="80"/>
        <v>4</v>
      </c>
      <c r="T158" s="60"/>
      <c r="U158" s="60"/>
      <c r="V158" s="61"/>
      <c r="W158" s="127"/>
      <c r="X158" s="66"/>
      <c r="Y158" s="53"/>
      <c r="Z158" s="41">
        <v>2</v>
      </c>
      <c r="AA158" s="40">
        <f ca="1">IF(AD151&gt;=4,AB145,AA145)</f>
        <v>0</v>
      </c>
      <c r="AB158" s="40">
        <f ca="1">IF(AD151&gt;=4,AA145,AB145)</f>
        <v>1</v>
      </c>
      <c r="AC158" s="41">
        <f t="shared" si="81"/>
        <v>4</v>
      </c>
      <c r="AD158" s="60"/>
      <c r="AE158" s="60"/>
      <c r="AF158" s="61"/>
    </row>
    <row r="159" spans="13:32">
      <c r="M159" s="126"/>
      <c r="N159" s="66"/>
      <c r="O159" s="53"/>
      <c r="P159" s="41">
        <v>1</v>
      </c>
      <c r="Q159" s="40">
        <f ca="1">IF(T151&gt;=5,R146,Q146)</f>
        <v>1</v>
      </c>
      <c r="R159" s="40">
        <f ca="1">IF(T151&gt;=5,Q146,R146)</f>
        <v>0</v>
      </c>
      <c r="S159" s="41">
        <f t="shared" si="80"/>
        <v>2</v>
      </c>
      <c r="T159" s="60"/>
      <c r="U159" s="60"/>
      <c r="V159" s="61"/>
      <c r="W159" s="127"/>
      <c r="X159" s="66"/>
      <c r="Y159" s="53"/>
      <c r="Z159" s="41">
        <v>1</v>
      </c>
      <c r="AA159" s="40">
        <f ca="1">IF(AD151&gt;=5,AB146,AA146)</f>
        <v>0</v>
      </c>
      <c r="AB159" s="40">
        <f ca="1">IF(AD151&gt;=5,AA146,AB146)</f>
        <v>1</v>
      </c>
      <c r="AC159" s="41">
        <f t="shared" si="81"/>
        <v>2</v>
      </c>
      <c r="AD159" s="60"/>
      <c r="AE159" s="60"/>
      <c r="AF159" s="61"/>
    </row>
    <row r="160" spans="13:32">
      <c r="M160" s="126"/>
      <c r="N160" s="66"/>
      <c r="O160" s="53"/>
      <c r="P160" s="41">
        <v>0</v>
      </c>
      <c r="Q160" s="40">
        <f ca="1">IF(T151&gt;=6,R147,Q147)</f>
        <v>0</v>
      </c>
      <c r="R160" s="40">
        <f ca="1">IF(T151&gt;=6,Q147,R147)</f>
        <v>0</v>
      </c>
      <c r="S160" s="41">
        <f t="shared" si="80"/>
        <v>1</v>
      </c>
      <c r="T160" s="60"/>
      <c r="U160" s="60"/>
      <c r="V160" s="61"/>
      <c r="W160" s="127"/>
      <c r="X160" s="66"/>
      <c r="Y160" s="53"/>
      <c r="Z160" s="41">
        <v>0</v>
      </c>
      <c r="AA160" s="40">
        <f ca="1">IF(AD151&gt;=6,AB147,AA147)</f>
        <v>0</v>
      </c>
      <c r="AB160" s="40">
        <f ca="1">IF(AD151&gt;=6,AA147,AB147)</f>
        <v>0</v>
      </c>
      <c r="AC160" s="41">
        <f t="shared" si="81"/>
        <v>1</v>
      </c>
      <c r="AD160" s="60"/>
      <c r="AE160" s="60"/>
      <c r="AF160" s="61"/>
    </row>
    <row r="161" spans="13:32">
      <c r="M161" s="126"/>
      <c r="N161" s="66"/>
      <c r="O161" s="53"/>
      <c r="P161" s="41"/>
      <c r="Q161" s="42" t="s">
        <v>108</v>
      </c>
      <c r="R161" s="42" t="s">
        <v>109</v>
      </c>
      <c r="S161" s="41"/>
      <c r="T161" s="60"/>
      <c r="U161" s="60"/>
      <c r="V161" s="61"/>
      <c r="W161" s="127"/>
      <c r="X161" s="66"/>
      <c r="Y161" s="53"/>
      <c r="Z161" s="41"/>
      <c r="AA161" s="42" t="s">
        <v>108</v>
      </c>
      <c r="AB161" s="42" t="s">
        <v>109</v>
      </c>
      <c r="AC161" s="41"/>
      <c r="AD161" s="60"/>
      <c r="AE161" s="60"/>
      <c r="AF161" s="61"/>
    </row>
    <row r="162" spans="13:32">
      <c r="M162" s="126"/>
      <c r="N162" s="66" t="s">
        <v>114</v>
      </c>
      <c r="O162" s="53"/>
      <c r="P162" s="41"/>
      <c r="Q162" s="44">
        <f ca="1">Q155*2^P155+Q156*2^P156+Q157*2^P157+Q158*2^P158+Q159*2^P159+Q160*2^P160</f>
        <v>34</v>
      </c>
      <c r="R162" s="44">
        <f ca="1">R155*2^P155+R156*2^P156+R157*2^P157+R158*2^P158+R159*2^P159+R160*2^P160</f>
        <v>8</v>
      </c>
      <c r="S162" s="41"/>
      <c r="T162" s="60"/>
      <c r="U162" s="60"/>
      <c r="V162" s="61"/>
      <c r="W162" s="127"/>
      <c r="X162" s="66" t="s">
        <v>114</v>
      </c>
      <c r="Y162" s="53"/>
      <c r="Z162" s="41"/>
      <c r="AA162" s="44">
        <f ca="1">AA155*2^Z155+AA156*2^Z156+AA157*2^Z157+AA158*2^Z158+AA159*2^Z159+AA160*2^Z160</f>
        <v>8</v>
      </c>
      <c r="AB162" s="44">
        <f ca="1">AB155*2^Z155+AB156*2^Z156+AB157*2^Z157+AB158*2^Z158+AB159*2^Z159+AB160*2^Z160</f>
        <v>46</v>
      </c>
      <c r="AC162" s="41"/>
      <c r="AD162" s="60"/>
      <c r="AE162" s="60"/>
      <c r="AF162" s="61"/>
    </row>
    <row r="163" spans="13:32">
      <c r="M163" s="126"/>
      <c r="N163" s="67"/>
      <c r="O163" s="60"/>
      <c r="P163" s="60"/>
      <c r="Q163" s="60"/>
      <c r="R163" s="60"/>
      <c r="S163" s="60"/>
      <c r="T163" s="60"/>
      <c r="U163" s="60"/>
      <c r="V163" s="61"/>
      <c r="W163" s="127"/>
      <c r="X163" s="67"/>
      <c r="Y163" s="60"/>
      <c r="Z163" s="60"/>
      <c r="AA163" s="60"/>
      <c r="AB163" s="60"/>
      <c r="AC163" s="60"/>
      <c r="AD163" s="60"/>
      <c r="AE163" s="60"/>
      <c r="AF163" s="61"/>
    </row>
    <row r="164" spans="13:32">
      <c r="M164" s="126"/>
      <c r="N164" s="68" t="s">
        <v>115</v>
      </c>
      <c r="O164" s="69"/>
      <c r="P164" s="69"/>
      <c r="Q164" s="69"/>
      <c r="R164" s="69"/>
      <c r="S164" s="69"/>
      <c r="T164" s="69"/>
      <c r="U164" s="70">
        <f ca="1">FLOOR(O136*U139,1)</f>
        <v>5</v>
      </c>
      <c r="V164" s="71">
        <f ca="1">FLOOR(O136*V139,1)</f>
        <v>1</v>
      </c>
      <c r="W164" s="127"/>
      <c r="X164" s="68" t="s">
        <v>115</v>
      </c>
      <c r="Y164" s="69"/>
      <c r="Z164" s="69"/>
      <c r="AA164" s="69"/>
      <c r="AB164" s="69"/>
      <c r="AC164" s="69"/>
      <c r="AD164" s="69"/>
      <c r="AE164" s="70">
        <f ca="1">FLOOR(Y136*AE139,1)</f>
        <v>5</v>
      </c>
      <c r="AF164" s="71">
        <f ca="1">FLOOR(Y136*AF139,1)</f>
        <v>3</v>
      </c>
    </row>
    <row r="165" spans="13:32">
      <c r="M165" s="126"/>
      <c r="N165" s="67"/>
      <c r="O165" s="60"/>
      <c r="P165" s="60"/>
      <c r="Q165" s="60"/>
      <c r="R165" s="60"/>
      <c r="S165" s="60"/>
      <c r="T165" s="60"/>
      <c r="U165" s="60"/>
      <c r="V165" s="61"/>
      <c r="W165" s="127"/>
      <c r="X165" s="67"/>
      <c r="Y165" s="60"/>
      <c r="Z165" s="60"/>
      <c r="AA165" s="60"/>
      <c r="AB165" s="60"/>
      <c r="AC165" s="60"/>
      <c r="AD165" s="60"/>
      <c r="AE165" s="60"/>
      <c r="AF165" s="61"/>
    </row>
    <row r="166" spans="13:32">
      <c r="M166" s="126"/>
      <c r="N166" s="67"/>
      <c r="O166" s="60"/>
      <c r="P166" s="60"/>
      <c r="Q166" s="60"/>
      <c r="R166" s="60"/>
      <c r="S166" s="60"/>
      <c r="T166" s="60"/>
      <c r="U166" s="60"/>
      <c r="V166" s="61"/>
      <c r="W166" s="127"/>
      <c r="X166" s="67"/>
      <c r="Y166" s="60"/>
      <c r="Z166" s="60"/>
      <c r="AA166" s="60"/>
      <c r="AB166" s="60"/>
      <c r="AC166" s="60"/>
      <c r="AD166" s="60"/>
      <c r="AE166" s="60"/>
      <c r="AF166" s="61"/>
    </row>
    <row r="167" spans="13:32">
      <c r="M167" s="126"/>
      <c r="N167" s="67"/>
      <c r="O167" s="60"/>
      <c r="P167" s="42" t="s">
        <v>103</v>
      </c>
      <c r="Q167" s="42"/>
      <c r="R167" s="42"/>
      <c r="S167" s="42" t="s">
        <v>104</v>
      </c>
      <c r="T167" s="60"/>
      <c r="U167" s="60"/>
      <c r="V167" s="61"/>
      <c r="W167" s="127"/>
      <c r="X167" s="67"/>
      <c r="Y167" s="60"/>
      <c r="Z167" s="42" t="s">
        <v>103</v>
      </c>
      <c r="AA167" s="42"/>
      <c r="AB167" s="42"/>
      <c r="AC167" s="42" t="s">
        <v>104</v>
      </c>
      <c r="AD167" s="60"/>
      <c r="AE167" s="60"/>
      <c r="AF167" s="61"/>
    </row>
    <row r="168" spans="13:32">
      <c r="M168" s="126"/>
      <c r="N168" s="67"/>
      <c r="O168" s="60"/>
      <c r="P168" s="41">
        <v>5</v>
      </c>
      <c r="Q168" s="40">
        <f ca="1">IF(U164=1,IF(Q155=1,0,1),Q155)</f>
        <v>1</v>
      </c>
      <c r="R168" s="40">
        <f ca="1">IF(V164=1,IF(R155=1,0,1),R155)</f>
        <v>1</v>
      </c>
      <c r="S168" s="41">
        <f>2^P168</f>
        <v>32</v>
      </c>
      <c r="T168" s="60"/>
      <c r="U168" s="60"/>
      <c r="V168" s="61"/>
      <c r="W168" s="127"/>
      <c r="X168" s="67"/>
      <c r="Y168" s="60"/>
      <c r="Z168" s="41">
        <v>5</v>
      </c>
      <c r="AA168" s="40">
        <f ca="1">IF(AE164=1,IF(AA155=1,0,1),AA155)</f>
        <v>0</v>
      </c>
      <c r="AB168" s="40">
        <f ca="1">IF(AF164=1,IF(AB155=1,0,1),AB155)</f>
        <v>1</v>
      </c>
      <c r="AC168" s="41">
        <f>2^Z168</f>
        <v>32</v>
      </c>
      <c r="AD168" s="60"/>
      <c r="AE168" s="60"/>
      <c r="AF168" s="61"/>
    </row>
    <row r="169" spans="13:32">
      <c r="M169" s="126"/>
      <c r="N169" s="67"/>
      <c r="O169" s="60"/>
      <c r="P169" s="41">
        <v>4</v>
      </c>
      <c r="Q169" s="40">
        <f ca="1">IF(U164=2,IF(Q156=1,0,1),Q156)</f>
        <v>0</v>
      </c>
      <c r="R169" s="40">
        <f ca="1">IF(V164=2,IF(R156=1,0,1),R156)</f>
        <v>0</v>
      </c>
      <c r="S169" s="41">
        <f t="shared" ref="S169:S173" si="82">2^P169</f>
        <v>16</v>
      </c>
      <c r="T169" s="60"/>
      <c r="U169" s="60"/>
      <c r="V169" s="61"/>
      <c r="W169" s="127"/>
      <c r="X169" s="67"/>
      <c r="Y169" s="60"/>
      <c r="Z169" s="41">
        <v>4</v>
      </c>
      <c r="AA169" s="40">
        <f ca="1">IF(AE164=2,IF(AA156=1,0,1),AA156)</f>
        <v>0</v>
      </c>
      <c r="AB169" s="40">
        <f ca="1">IF(AF164=2,IF(AB156=1,0,1),AB156)</f>
        <v>0</v>
      </c>
      <c r="AC169" s="41">
        <f t="shared" ref="AC169:AC173" si="83">2^Z169</f>
        <v>16</v>
      </c>
      <c r="AD169" s="60"/>
      <c r="AE169" s="60"/>
      <c r="AF169" s="61"/>
    </row>
    <row r="170" spans="13:32">
      <c r="M170" s="126"/>
      <c r="N170" s="67"/>
      <c r="O170" s="60"/>
      <c r="P170" s="41">
        <v>3</v>
      </c>
      <c r="Q170" s="40">
        <f ca="1">IF(U164=3,IF(Q157=1,0,1),Q157)</f>
        <v>0</v>
      </c>
      <c r="R170" s="40">
        <f ca="1">IF(V164=3,IF(R157=1,0,1),R157)</f>
        <v>1</v>
      </c>
      <c r="S170" s="41">
        <f t="shared" si="82"/>
        <v>8</v>
      </c>
      <c r="T170" s="60"/>
      <c r="U170" s="60"/>
      <c r="V170" s="61"/>
      <c r="W170" s="127"/>
      <c r="X170" s="67"/>
      <c r="Y170" s="60"/>
      <c r="Z170" s="41">
        <v>3</v>
      </c>
      <c r="AA170" s="40">
        <f ca="1">IF(AE164=3,IF(AA157=1,0,1),AA157)</f>
        <v>1</v>
      </c>
      <c r="AB170" s="40">
        <f ca="1">IF(AF164=3,IF(AB157=1,0,1),AB157)</f>
        <v>0</v>
      </c>
      <c r="AC170" s="41">
        <f t="shared" si="83"/>
        <v>8</v>
      </c>
      <c r="AD170" s="60"/>
      <c r="AE170" s="60"/>
      <c r="AF170" s="61"/>
    </row>
    <row r="171" spans="13:32">
      <c r="M171" s="126"/>
      <c r="N171" s="67"/>
      <c r="O171" s="60"/>
      <c r="P171" s="41">
        <v>2</v>
      </c>
      <c r="Q171" s="40">
        <f ca="1">IF(U164=4,IF(Q158=1,0,1),Q158)</f>
        <v>0</v>
      </c>
      <c r="R171" s="40">
        <f ca="1">IF(V164=4,IF(R158=1,0,1),R158)</f>
        <v>0</v>
      </c>
      <c r="S171" s="41">
        <f t="shared" si="82"/>
        <v>4</v>
      </c>
      <c r="T171" s="60"/>
      <c r="U171" s="60"/>
      <c r="V171" s="61"/>
      <c r="W171" s="127"/>
      <c r="X171" s="67"/>
      <c r="Y171" s="60"/>
      <c r="Z171" s="41">
        <v>2</v>
      </c>
      <c r="AA171" s="40">
        <f ca="1">IF(AE164=4,IF(AA158=1,0,1),AA158)</f>
        <v>0</v>
      </c>
      <c r="AB171" s="40">
        <f ca="1">IF(AF164=4,IF(AB158=1,0,1),AB158)</f>
        <v>1</v>
      </c>
      <c r="AC171" s="41">
        <f t="shared" si="83"/>
        <v>4</v>
      </c>
      <c r="AD171" s="60"/>
      <c r="AE171" s="60"/>
      <c r="AF171" s="61"/>
    </row>
    <row r="172" spans="13:32">
      <c r="M172" s="126"/>
      <c r="N172" s="67"/>
      <c r="O172" s="60"/>
      <c r="P172" s="41">
        <v>1</v>
      </c>
      <c r="Q172" s="40">
        <f ca="1">IF(U164=5,IF(Q159=1,0,1),Q159)</f>
        <v>0</v>
      </c>
      <c r="R172" s="40">
        <f ca="1">IF(V164=5,IF(R159=1,0,1),R159)</f>
        <v>0</v>
      </c>
      <c r="S172" s="41">
        <f t="shared" si="82"/>
        <v>2</v>
      </c>
      <c r="T172" s="60"/>
      <c r="U172" s="60"/>
      <c r="V172" s="61"/>
      <c r="W172" s="127"/>
      <c r="X172" s="67"/>
      <c r="Y172" s="60"/>
      <c r="Z172" s="41">
        <v>1</v>
      </c>
      <c r="AA172" s="40">
        <f ca="1">IF(AE164=5,IF(AA159=1,0,1),AA159)</f>
        <v>1</v>
      </c>
      <c r="AB172" s="40">
        <f ca="1">IF(AF164=5,IF(AB159=1,0,1),AB159)</f>
        <v>1</v>
      </c>
      <c r="AC172" s="41">
        <f t="shared" si="83"/>
        <v>2</v>
      </c>
      <c r="AD172" s="60"/>
      <c r="AE172" s="60"/>
      <c r="AF172" s="61"/>
    </row>
    <row r="173" spans="13:32">
      <c r="M173" s="126"/>
      <c r="N173" s="67"/>
      <c r="O173" s="60"/>
      <c r="P173" s="41">
        <v>0</v>
      </c>
      <c r="Q173" s="40">
        <f ca="1">IF(U164=6,IF(Q160=1,0,1),Q160)</f>
        <v>0</v>
      </c>
      <c r="R173" s="40">
        <f ca="1">IF(V164=6,IF(R160=1,0,1),R160)</f>
        <v>0</v>
      </c>
      <c r="S173" s="41">
        <f t="shared" si="82"/>
        <v>1</v>
      </c>
      <c r="T173" s="60"/>
      <c r="U173" s="60"/>
      <c r="V173" s="61"/>
      <c r="W173" s="127"/>
      <c r="X173" s="67"/>
      <c r="Y173" s="60"/>
      <c r="Z173" s="41">
        <v>0</v>
      </c>
      <c r="AA173" s="40">
        <f ca="1">IF(AE164=6,IF(AA160=1,0,1),AA160)</f>
        <v>0</v>
      </c>
      <c r="AB173" s="40">
        <f ca="1">IF(AF164=6,IF(AB160=1,0,1),AB160)</f>
        <v>0</v>
      </c>
      <c r="AC173" s="41">
        <f t="shared" si="83"/>
        <v>1</v>
      </c>
      <c r="AD173" s="60"/>
      <c r="AE173" s="60"/>
      <c r="AF173" s="61"/>
    </row>
    <row r="174" spans="13:32">
      <c r="M174" s="126"/>
      <c r="N174" s="67"/>
      <c r="O174" s="60"/>
      <c r="P174" s="41"/>
      <c r="Q174" s="42" t="s">
        <v>108</v>
      </c>
      <c r="R174" s="42" t="s">
        <v>109</v>
      </c>
      <c r="S174" s="41"/>
      <c r="T174" s="60"/>
      <c r="U174" s="60"/>
      <c r="V174" s="61"/>
      <c r="W174" s="127"/>
      <c r="X174" s="67"/>
      <c r="Y174" s="60"/>
      <c r="Z174" s="41"/>
      <c r="AA174" s="42" t="s">
        <v>108</v>
      </c>
      <c r="AB174" s="42" t="s">
        <v>109</v>
      </c>
      <c r="AC174" s="41"/>
      <c r="AD174" s="60"/>
      <c r="AE174" s="60"/>
      <c r="AF174" s="61"/>
    </row>
    <row r="175" spans="13:32">
      <c r="M175" s="126"/>
      <c r="N175" s="67"/>
      <c r="O175" s="60"/>
      <c r="P175" s="41"/>
      <c r="Q175" s="44">
        <f ca="1">Q168*2^P168+Q169*2^P169+Q170*2^P170+Q171*2^P171+Q172*2^P172+Q173*2^P173</f>
        <v>32</v>
      </c>
      <c r="R175" s="44">
        <f ca="1">R168*2^P168+R169*2^P169+R170*2^P170+R171*2^P171+R172*2^P172+R173*2^P173</f>
        <v>40</v>
      </c>
      <c r="S175" s="41"/>
      <c r="T175" s="60"/>
      <c r="U175" s="60"/>
      <c r="V175" s="61"/>
      <c r="W175" s="127"/>
      <c r="X175" s="67"/>
      <c r="Y175" s="60"/>
      <c r="Z175" s="41"/>
      <c r="AA175" s="44">
        <f ca="1">AA168*2^Z168+AA169*2^Z169+AA170*2^Z170+AA171*2^Z171+AA172*2^Z172+AA173*2^Z173</f>
        <v>10</v>
      </c>
      <c r="AB175" s="44">
        <f ca="1">AB168*2^Z168+AB169*2^Z169+AB170*2^Z170+AB171*2^Z171+AB172*2^Z172+AB173*2^Z173</f>
        <v>38</v>
      </c>
      <c r="AC175" s="41"/>
      <c r="AD175" s="60"/>
      <c r="AE175" s="60"/>
      <c r="AF175" s="61"/>
    </row>
    <row r="176" spans="13:32">
      <c r="M176" s="126"/>
      <c r="N176" s="67"/>
      <c r="O176" s="60"/>
      <c r="P176" s="60"/>
      <c r="Q176" s="60"/>
      <c r="R176" s="60"/>
      <c r="S176" s="60"/>
      <c r="T176" s="60"/>
      <c r="U176" s="60"/>
      <c r="V176" s="61"/>
      <c r="W176" s="127"/>
      <c r="X176" s="67"/>
      <c r="Y176" s="60"/>
      <c r="Z176" s="60"/>
      <c r="AA176" s="60"/>
      <c r="AB176" s="60"/>
      <c r="AC176" s="60"/>
      <c r="AD176" s="60"/>
      <c r="AE176" s="60"/>
      <c r="AF176" s="61"/>
    </row>
    <row r="177" spans="13:32">
      <c r="M177" s="126"/>
      <c r="N177" s="72" t="s">
        <v>116</v>
      </c>
      <c r="O177" s="73"/>
      <c r="P177" s="73"/>
      <c r="Q177" s="74">
        <f ca="1">(Q175/P137)*(S139-P139)+P139</f>
        <v>7.9365079365079083E-2</v>
      </c>
      <c r="R177" s="74">
        <f ca="1">(R175/P137)*(S139-P139)+P139</f>
        <v>1.3492063492063489</v>
      </c>
      <c r="S177" s="75"/>
      <c r="T177" s="75"/>
      <c r="U177" s="75"/>
      <c r="V177" s="76"/>
      <c r="W177" s="127"/>
      <c r="X177" s="72" t="s">
        <v>116</v>
      </c>
      <c r="Y177" s="73"/>
      <c r="Z177" s="73"/>
      <c r="AA177" s="74">
        <f ca="1">(AA175/Z137)*(AC139-Z139)+Z139</f>
        <v>-3.412698412698413</v>
      </c>
      <c r="AB177" s="74">
        <f ca="1">(AB175/Z137)*(AC139-Z139)+Z139</f>
        <v>1.0317460317460316</v>
      </c>
      <c r="AC177" s="75"/>
      <c r="AD177" s="75"/>
      <c r="AE177" s="75"/>
      <c r="AF177" s="76"/>
    </row>
    <row r="178" spans="13:32">
      <c r="M178" s="126"/>
      <c r="N178" s="122" t="s">
        <v>158</v>
      </c>
      <c r="O178" s="123"/>
      <c r="P178" s="123"/>
      <c r="Q178" s="123"/>
      <c r="R178" s="123"/>
      <c r="S178" s="123"/>
      <c r="T178" s="123"/>
      <c r="U178" s="123"/>
      <c r="V178" s="124"/>
      <c r="W178" s="127"/>
      <c r="X178" s="122" t="s">
        <v>158</v>
      </c>
      <c r="Y178" s="123"/>
      <c r="Z178" s="123"/>
      <c r="AA178" s="123"/>
      <c r="AB178" s="123"/>
      <c r="AC178" s="123"/>
      <c r="AD178" s="123"/>
      <c r="AE178" s="123"/>
      <c r="AF178" s="124"/>
    </row>
    <row r="179" spans="13:32">
      <c r="M179" s="126"/>
      <c r="N179" s="59" t="s">
        <v>100</v>
      </c>
      <c r="O179" s="60">
        <v>6</v>
      </c>
      <c r="P179" s="60"/>
      <c r="Q179" s="60"/>
      <c r="R179" s="60"/>
      <c r="S179" s="60"/>
      <c r="T179" s="60"/>
      <c r="U179" s="60"/>
      <c r="V179" s="61"/>
      <c r="W179" s="127"/>
      <c r="X179" s="59" t="s">
        <v>100</v>
      </c>
      <c r="Y179" s="60">
        <v>6</v>
      </c>
      <c r="Z179" s="60"/>
      <c r="AA179" s="60"/>
      <c r="AB179" s="60"/>
      <c r="AC179" s="60"/>
      <c r="AD179" s="60"/>
      <c r="AE179" s="60"/>
      <c r="AF179" s="61"/>
    </row>
    <row r="180" spans="13:32" ht="30">
      <c r="M180" s="126"/>
      <c r="N180" s="59" t="s">
        <v>101</v>
      </c>
      <c r="O180" s="60">
        <v>0</v>
      </c>
      <c r="P180" s="60">
        <f>(2^O179)-1</f>
        <v>63</v>
      </c>
      <c r="Q180" s="60"/>
      <c r="R180" s="60"/>
      <c r="S180" s="60"/>
      <c r="T180" s="60"/>
      <c r="U180" s="60"/>
      <c r="V180" s="61"/>
      <c r="W180" s="127"/>
      <c r="X180" s="59" t="s">
        <v>101</v>
      </c>
      <c r="Y180" s="60">
        <v>0</v>
      </c>
      <c r="Z180" s="60">
        <f>(2^Y179)-1</f>
        <v>63</v>
      </c>
      <c r="AA180" s="60"/>
      <c r="AB180" s="60"/>
      <c r="AC180" s="60"/>
      <c r="AD180" s="60"/>
      <c r="AE180" s="60"/>
      <c r="AF180" s="61"/>
    </row>
    <row r="181" spans="13:32">
      <c r="M181" s="126"/>
      <c r="N181" s="62" t="s">
        <v>72</v>
      </c>
      <c r="O181" s="4" t="s">
        <v>73</v>
      </c>
      <c r="P181" s="4" t="s">
        <v>91</v>
      </c>
      <c r="Q181" s="4" t="s">
        <v>155</v>
      </c>
      <c r="R181" s="4" t="s">
        <v>156</v>
      </c>
      <c r="S181" s="4" t="s">
        <v>94</v>
      </c>
      <c r="T181" s="4" t="s">
        <v>95</v>
      </c>
      <c r="U181" s="4" t="s">
        <v>96</v>
      </c>
      <c r="V181" s="63" t="s">
        <v>97</v>
      </c>
      <c r="W181" s="127"/>
      <c r="X181" s="62" t="s">
        <v>72</v>
      </c>
      <c r="Y181" s="4" t="s">
        <v>73</v>
      </c>
      <c r="Z181" s="4" t="s">
        <v>91</v>
      </c>
      <c r="AA181" s="4" t="s">
        <v>155</v>
      </c>
      <c r="AB181" s="4" t="s">
        <v>156</v>
      </c>
      <c r="AC181" s="4" t="s">
        <v>94</v>
      </c>
      <c r="AD181" s="4" t="s">
        <v>95</v>
      </c>
      <c r="AE181" s="4" t="s">
        <v>96</v>
      </c>
      <c r="AF181" s="63" t="s">
        <v>97</v>
      </c>
    </row>
    <row r="182" spans="13:32">
      <c r="M182" s="126"/>
      <c r="N182" s="64" t="s">
        <v>1</v>
      </c>
      <c r="O182" s="53"/>
      <c r="P182" s="53">
        <v>-5</v>
      </c>
      <c r="Q182" s="65">
        <f ca="1">E42</f>
        <v>1.7263305804259721</v>
      </c>
      <c r="R182" s="65">
        <f ca="1">F42</f>
        <v>2.3180925386828619</v>
      </c>
      <c r="S182" s="53">
        <v>5</v>
      </c>
      <c r="T182" s="53">
        <f ca="1">RAND()</f>
        <v>0.47841423466776223</v>
      </c>
      <c r="U182" s="53">
        <f t="shared" ref="U182:V182" ca="1" si="84">RAND()</f>
        <v>0.95246771649427975</v>
      </c>
      <c r="V182" s="28">
        <f t="shared" ca="1" si="84"/>
        <v>0.16791127069734191</v>
      </c>
      <c r="W182" s="127"/>
      <c r="X182" s="64" t="s">
        <v>1</v>
      </c>
      <c r="Y182" s="53"/>
      <c r="Z182" s="53">
        <v>-5</v>
      </c>
      <c r="AA182" s="65">
        <f ca="1">E82</f>
        <v>7.9365079365079083E-2</v>
      </c>
      <c r="AB182" s="65">
        <f ca="1">F82</f>
        <v>1.3492063492063489</v>
      </c>
      <c r="AC182" s="53">
        <v>5</v>
      </c>
      <c r="AD182" s="53">
        <f ca="1">RAND()</f>
        <v>0.91665317256778411</v>
      </c>
      <c r="AE182" s="53">
        <f t="shared" ref="AE182:AF182" ca="1" si="85">RAND()</f>
        <v>0.85820770031139904</v>
      </c>
      <c r="AF182" s="28">
        <f t="shared" ca="1" si="85"/>
        <v>0.64728267834078146</v>
      </c>
    </row>
    <row r="183" spans="13:32" ht="30">
      <c r="M183" s="126"/>
      <c r="N183" s="59" t="s">
        <v>110</v>
      </c>
      <c r="O183" s="60"/>
      <c r="P183" s="60"/>
      <c r="Q183" s="60">
        <f ca="1">(ABS(Q182-P182)/(S182-P182))*(P180-O180)</f>
        <v>42.375882656683622</v>
      </c>
      <c r="R183" s="60">
        <f ca="1">(ABS(R182-P182)/(S182-P182))*(P180-O180)</f>
        <v>46.103982993702033</v>
      </c>
      <c r="S183" s="60"/>
      <c r="T183" s="60"/>
      <c r="U183" s="60"/>
      <c r="V183" s="61"/>
      <c r="W183" s="127"/>
      <c r="X183" s="59" t="s">
        <v>110</v>
      </c>
      <c r="Y183" s="60"/>
      <c r="Z183" s="60"/>
      <c r="AA183" s="60">
        <f ca="1">(ABS(AA182-Z182)/(AC182-Z182))*(Z180-Y180)</f>
        <v>32</v>
      </c>
      <c r="AB183" s="60">
        <f ca="1">(ABS(AB182-Z182)/(AC182-Z182))*(Z180-Y180)</f>
        <v>40</v>
      </c>
      <c r="AC183" s="60"/>
      <c r="AD183" s="60"/>
      <c r="AE183" s="60"/>
      <c r="AF183" s="61"/>
    </row>
    <row r="184" spans="13:32">
      <c r="M184" s="126"/>
      <c r="N184" s="66"/>
      <c r="O184" s="53"/>
      <c r="P184" s="42" t="s">
        <v>103</v>
      </c>
      <c r="Q184" s="42"/>
      <c r="R184" s="42"/>
      <c r="S184" s="42" t="s">
        <v>104</v>
      </c>
      <c r="T184" s="60"/>
      <c r="U184" s="60"/>
      <c r="V184" s="61"/>
      <c r="W184" s="127"/>
      <c r="X184" s="66"/>
      <c r="Y184" s="53"/>
      <c r="Z184" s="42" t="s">
        <v>103</v>
      </c>
      <c r="AA184" s="42"/>
      <c r="AB184" s="42"/>
      <c r="AC184" s="42" t="s">
        <v>104</v>
      </c>
      <c r="AD184" s="60"/>
      <c r="AE184" s="60"/>
      <c r="AF184" s="61"/>
    </row>
    <row r="185" spans="13:32">
      <c r="M185" s="126"/>
      <c r="N185" s="66" t="s">
        <v>102</v>
      </c>
      <c r="O185" s="53"/>
      <c r="P185" s="41">
        <v>5</v>
      </c>
      <c r="Q185" s="40">
        <f ca="1">FLOOR(Q183/2^P185,1)</f>
        <v>1</v>
      </c>
      <c r="R185" s="40">
        <f ca="1">FLOOR(R183/2^P185,1)</f>
        <v>1</v>
      </c>
      <c r="S185" s="41">
        <f>2^P185</f>
        <v>32</v>
      </c>
      <c r="T185" s="60"/>
      <c r="U185" s="60"/>
      <c r="V185" s="61"/>
      <c r="W185" s="127"/>
      <c r="X185" s="66" t="s">
        <v>102</v>
      </c>
      <c r="Y185" s="53"/>
      <c r="Z185" s="41">
        <v>5</v>
      </c>
      <c r="AA185" s="40">
        <f ca="1">FLOOR(AA183/2^Z185,1)</f>
        <v>1</v>
      </c>
      <c r="AB185" s="40">
        <f ca="1">FLOOR(AB183/2^Z185,1)</f>
        <v>1</v>
      </c>
      <c r="AC185" s="41">
        <f>2^Z185</f>
        <v>32</v>
      </c>
      <c r="AD185" s="60"/>
      <c r="AE185" s="60"/>
      <c r="AF185" s="61"/>
    </row>
    <row r="186" spans="13:32">
      <c r="M186" s="126"/>
      <c r="N186" s="66" t="s">
        <v>105</v>
      </c>
      <c r="O186" s="53"/>
      <c r="P186" s="41">
        <v>4</v>
      </c>
      <c r="Q186" s="40">
        <f ca="1">FLOOR((Q183-Q185*2^P185)/(2^P186),1)</f>
        <v>0</v>
      </c>
      <c r="R186" s="40">
        <f ca="1">FLOOR((R183-R185*2^P185)/(2^P186),1)</f>
        <v>0</v>
      </c>
      <c r="S186" s="41">
        <f t="shared" ref="S186:S190" si="86">2^P186</f>
        <v>16</v>
      </c>
      <c r="T186" s="60"/>
      <c r="U186" s="60"/>
      <c r="V186" s="61"/>
      <c r="W186" s="127"/>
      <c r="X186" s="66" t="s">
        <v>105</v>
      </c>
      <c r="Y186" s="53"/>
      <c r="Z186" s="41">
        <v>4</v>
      </c>
      <c r="AA186" s="40">
        <f ca="1">FLOOR((AA183-AA185*2^Z185)/(2^Z186),1)</f>
        <v>0</v>
      </c>
      <c r="AB186" s="40">
        <f ca="1">FLOOR((AB183-AB185*2^Z185)/(2^Z186),1)</f>
        <v>0</v>
      </c>
      <c r="AC186" s="41">
        <f t="shared" ref="AC186:AC190" si="87">2^Z186</f>
        <v>16</v>
      </c>
      <c r="AD186" s="60"/>
      <c r="AE186" s="60"/>
      <c r="AF186" s="61"/>
    </row>
    <row r="187" spans="13:32">
      <c r="M187" s="126"/>
      <c r="N187" s="66" t="s">
        <v>106</v>
      </c>
      <c r="O187" s="53"/>
      <c r="P187" s="41">
        <v>3</v>
      </c>
      <c r="Q187" s="40">
        <f ca="1">FLOOR((Q183-Q185*2^P185-Q186*2^P186)/(2^P187),1)</f>
        <v>1</v>
      </c>
      <c r="R187" s="40">
        <f ca="1">FLOOR((R183-R185*2^P185-R186*2^P186)/(2^P187),1)</f>
        <v>1</v>
      </c>
      <c r="S187" s="41">
        <f t="shared" si="86"/>
        <v>8</v>
      </c>
      <c r="T187" s="60"/>
      <c r="U187" s="60"/>
      <c r="V187" s="61"/>
      <c r="W187" s="127"/>
      <c r="X187" s="66" t="s">
        <v>106</v>
      </c>
      <c r="Y187" s="53"/>
      <c r="Z187" s="41">
        <v>3</v>
      </c>
      <c r="AA187" s="40">
        <f ca="1">FLOOR((AA183-AA185*2^Z185-AA186*2^Z186)/(2^Z187),1)</f>
        <v>0</v>
      </c>
      <c r="AB187" s="40">
        <f ca="1">FLOOR((AB183-AB185*2^Z185-AB186*2^Z186)/(2^Z187),1)</f>
        <v>1</v>
      </c>
      <c r="AC187" s="41">
        <f t="shared" si="87"/>
        <v>8</v>
      </c>
      <c r="AD187" s="60"/>
      <c r="AE187" s="60"/>
      <c r="AF187" s="61"/>
    </row>
    <row r="188" spans="13:32">
      <c r="M188" s="126"/>
      <c r="N188" s="66" t="s">
        <v>107</v>
      </c>
      <c r="O188" s="53"/>
      <c r="P188" s="41">
        <v>2</v>
      </c>
      <c r="Q188" s="40">
        <f ca="1">FLOOR((Q183-Q185*2^P185-Q186*2^P186-Q187*2^P187)/(2^P188),1)</f>
        <v>0</v>
      </c>
      <c r="R188" s="40">
        <f ca="1">FLOOR((R183-R185*2^P185-R186*2^P186-R187*2^P187)/(2^P188),1)</f>
        <v>1</v>
      </c>
      <c r="S188" s="41">
        <f t="shared" si="86"/>
        <v>4</v>
      </c>
      <c r="T188" s="60"/>
      <c r="U188" s="60"/>
      <c r="V188" s="61"/>
      <c r="W188" s="127"/>
      <c r="X188" s="66" t="s">
        <v>107</v>
      </c>
      <c r="Y188" s="53"/>
      <c r="Z188" s="41">
        <v>2</v>
      </c>
      <c r="AA188" s="40">
        <f ca="1">FLOOR((AA183-AA185*2^Z185-AA186*2^Z186-AA187*2^Z187)/(2^Z188),1)</f>
        <v>0</v>
      </c>
      <c r="AB188" s="40">
        <f ca="1">FLOOR((AB183-AB185*2^Z185-AB186*2^Z186-AB187*2^Z187)/(2^Z188),1)</f>
        <v>0</v>
      </c>
      <c r="AC188" s="41">
        <f t="shared" si="87"/>
        <v>4</v>
      </c>
      <c r="AD188" s="60"/>
      <c r="AE188" s="60"/>
      <c r="AF188" s="61"/>
    </row>
    <row r="189" spans="13:32">
      <c r="M189" s="126"/>
      <c r="N189" s="66"/>
      <c r="O189" s="53"/>
      <c r="P189" s="41">
        <v>1</v>
      </c>
      <c r="Q189" s="40">
        <f ca="1">FLOOR((Q183-Q185*2^P185-Q186*2^P186-Q187*2^P187-Q188*2^P188)/(2^P189),1)</f>
        <v>1</v>
      </c>
      <c r="R189" s="40">
        <f ca="1">FLOOR((R183-R185*2^P185-R186*2^P186-R187*2^P187-R188*2^P188)/(2^P189),1)</f>
        <v>1</v>
      </c>
      <c r="S189" s="41">
        <f t="shared" si="86"/>
        <v>2</v>
      </c>
      <c r="T189" s="60"/>
      <c r="U189" s="60"/>
      <c r="V189" s="61"/>
      <c r="W189" s="127"/>
      <c r="X189" s="66"/>
      <c r="Y189" s="53"/>
      <c r="Z189" s="41">
        <v>1</v>
      </c>
      <c r="AA189" s="40">
        <f ca="1">FLOOR((AA183-AA185*2^Z185-AA186*2^Z186-AA187*2^Z187-AA188*2^Z188)/(2^Z189),1)</f>
        <v>0</v>
      </c>
      <c r="AB189" s="40">
        <f ca="1">FLOOR((AB183-AB185*2^Z185-AB186*2^Z186-AB187*2^Z187-AB188*2^Z188)/(2^Z189),1)</f>
        <v>0</v>
      </c>
      <c r="AC189" s="41">
        <f t="shared" si="87"/>
        <v>2</v>
      </c>
      <c r="AD189" s="60"/>
      <c r="AE189" s="60"/>
      <c r="AF189" s="61"/>
    </row>
    <row r="190" spans="13:32">
      <c r="M190" s="126"/>
      <c r="N190" s="66"/>
      <c r="O190" s="53"/>
      <c r="P190" s="41">
        <v>0</v>
      </c>
      <c r="Q190" s="40">
        <f ca="1">FLOOR((Q183-Q185*2^P185-Q186*2^P186-Q187*2^P187-Q188*2^P188-Q189*2^P189)/(2^P190),1)</f>
        <v>0</v>
      </c>
      <c r="R190" s="40">
        <f ca="1">FLOOR((R183-R185*2^P185-R186*2^P186-R187*2^P187-R188*2^P188-R189*2^P189)/(2^P190),1)</f>
        <v>0</v>
      </c>
      <c r="S190" s="41">
        <f t="shared" si="86"/>
        <v>1</v>
      </c>
      <c r="T190" s="60"/>
      <c r="U190" s="60"/>
      <c r="V190" s="61"/>
      <c r="W190" s="127"/>
      <c r="X190" s="66"/>
      <c r="Y190" s="53"/>
      <c r="Z190" s="41">
        <v>0</v>
      </c>
      <c r="AA190" s="40">
        <f ca="1">FLOOR((AA183-AA185*2^Z185-AA186*2^Z186-AA187*2^Z187-AA188*2^Z188-AA189*2^Z189)/(2^Z190),1)</f>
        <v>0</v>
      </c>
      <c r="AB190" s="40">
        <f ca="1">FLOOR((AB183-AB185*2^Z185-AB186*2^Z186-AB187*2^Z187-AB188*2^Z188-AB189*2^Z189)/(2^Z190),1)</f>
        <v>0</v>
      </c>
      <c r="AC190" s="41">
        <f t="shared" si="87"/>
        <v>1</v>
      </c>
      <c r="AD190" s="60"/>
      <c r="AE190" s="60"/>
      <c r="AF190" s="61"/>
    </row>
    <row r="191" spans="13:32">
      <c r="M191" s="126"/>
      <c r="N191" s="66"/>
      <c r="O191" s="53"/>
      <c r="P191" s="41"/>
      <c r="Q191" s="42" t="s">
        <v>108</v>
      </c>
      <c r="R191" s="42" t="s">
        <v>109</v>
      </c>
      <c r="S191" s="41"/>
      <c r="T191" s="60"/>
      <c r="U191" s="60"/>
      <c r="V191" s="61"/>
      <c r="W191" s="127"/>
      <c r="X191" s="66"/>
      <c r="Y191" s="53"/>
      <c r="Z191" s="41"/>
      <c r="AA191" s="42" t="s">
        <v>108</v>
      </c>
      <c r="AB191" s="42" t="s">
        <v>109</v>
      </c>
      <c r="AC191" s="41"/>
      <c r="AD191" s="60"/>
      <c r="AE191" s="60"/>
      <c r="AF191" s="61"/>
    </row>
    <row r="192" spans="13:32">
      <c r="M192" s="126"/>
      <c r="N192" s="66" t="s">
        <v>114</v>
      </c>
      <c r="O192" s="53"/>
      <c r="P192" s="41"/>
      <c r="Q192" s="44">
        <f ca="1">Q185*2^P185+Q186*2^P186+Q187*2^P187+Q188*2^P188+Q189*2^P189+Q190*2^P190</f>
        <v>42</v>
      </c>
      <c r="R192" s="44">
        <f ca="1">R185*2^P185+R186*2^P186+R187*2^P187+R188*2^P188+R189*2^P189+R190*2^P190</f>
        <v>46</v>
      </c>
      <c r="S192" s="41"/>
      <c r="T192" s="60"/>
      <c r="U192" s="60"/>
      <c r="V192" s="61"/>
      <c r="W192" s="127"/>
      <c r="X192" s="66" t="s">
        <v>114</v>
      </c>
      <c r="Y192" s="53"/>
      <c r="Z192" s="41"/>
      <c r="AA192" s="44">
        <f ca="1">AA185*2^Z185+AA186*2^Z186+AA187*2^Z187+AA188*2^Z188+AA189*2^Z189+AA190*2^Z190</f>
        <v>32</v>
      </c>
      <c r="AB192" s="44">
        <f ca="1">AB185*2^Z185+AB186*2^Z186+AB187*2^Z187+AB188*2^Z188+AB189*2^Z189+AB190*2^Z190</f>
        <v>40</v>
      </c>
      <c r="AC192" s="41"/>
      <c r="AD192" s="60"/>
      <c r="AE192" s="60"/>
      <c r="AF192" s="61"/>
    </row>
    <row r="193" spans="13:32">
      <c r="M193" s="126"/>
      <c r="N193" s="67"/>
      <c r="O193" s="60"/>
      <c r="P193" s="60"/>
      <c r="Q193" s="60"/>
      <c r="R193" s="60"/>
      <c r="S193" s="60"/>
      <c r="T193" s="60"/>
      <c r="U193" s="60"/>
      <c r="V193" s="61"/>
      <c r="W193" s="127"/>
      <c r="X193" s="67"/>
      <c r="Y193" s="60"/>
      <c r="Z193" s="60"/>
      <c r="AA193" s="60"/>
      <c r="AB193" s="60"/>
      <c r="AC193" s="60"/>
      <c r="AD193" s="60"/>
      <c r="AE193" s="60"/>
      <c r="AF193" s="61"/>
    </row>
    <row r="194" spans="13:32">
      <c r="M194" s="126"/>
      <c r="N194" s="68" t="s">
        <v>111</v>
      </c>
      <c r="O194" s="69"/>
      <c r="P194" s="69"/>
      <c r="Q194" s="69"/>
      <c r="R194" s="69"/>
      <c r="S194" s="69"/>
      <c r="T194" s="70">
        <f ca="1">FLOOR(O179*T182,1)</f>
        <v>2</v>
      </c>
      <c r="U194" s="60"/>
      <c r="V194" s="61"/>
      <c r="W194" s="127"/>
      <c r="X194" s="68" t="s">
        <v>111</v>
      </c>
      <c r="Y194" s="69"/>
      <c r="Z194" s="69"/>
      <c r="AA194" s="69"/>
      <c r="AB194" s="69"/>
      <c r="AC194" s="69"/>
      <c r="AD194" s="70">
        <f ca="1">FLOOR(Y179*AD182,1)</f>
        <v>5</v>
      </c>
      <c r="AE194" s="60"/>
      <c r="AF194" s="61"/>
    </row>
    <row r="195" spans="13:32">
      <c r="M195" s="126"/>
      <c r="N195" s="67" t="s">
        <v>112</v>
      </c>
      <c r="O195" s="60"/>
      <c r="P195" s="60"/>
      <c r="Q195" s="60"/>
      <c r="R195" s="60"/>
      <c r="S195" s="60"/>
      <c r="T195" s="60"/>
      <c r="U195" s="60"/>
      <c r="V195" s="61"/>
      <c r="W195" s="127"/>
      <c r="X195" s="67" t="s">
        <v>112</v>
      </c>
      <c r="Y195" s="60"/>
      <c r="Z195" s="60"/>
      <c r="AA195" s="60"/>
      <c r="AB195" s="60"/>
      <c r="AC195" s="60"/>
      <c r="AD195" s="60"/>
      <c r="AE195" s="60"/>
      <c r="AF195" s="61"/>
    </row>
    <row r="196" spans="13:32">
      <c r="M196" s="126"/>
      <c r="N196" s="67"/>
      <c r="O196" s="60"/>
      <c r="P196" s="60"/>
      <c r="Q196" s="60"/>
      <c r="R196" s="60"/>
      <c r="S196" s="60"/>
      <c r="T196" s="60"/>
      <c r="U196" s="60"/>
      <c r="V196" s="61"/>
      <c r="W196" s="127"/>
      <c r="X196" s="67"/>
      <c r="Y196" s="60"/>
      <c r="Z196" s="60"/>
      <c r="AA196" s="60"/>
      <c r="AB196" s="60"/>
      <c r="AC196" s="60"/>
      <c r="AD196" s="60"/>
      <c r="AE196" s="60"/>
      <c r="AF196" s="61"/>
    </row>
    <row r="197" spans="13:32">
      <c r="M197" s="126"/>
      <c r="N197" s="66" t="s">
        <v>113</v>
      </c>
      <c r="O197" s="53"/>
      <c r="P197" s="42" t="s">
        <v>103</v>
      </c>
      <c r="Q197" s="42"/>
      <c r="R197" s="42"/>
      <c r="S197" s="42" t="s">
        <v>104</v>
      </c>
      <c r="T197" s="60"/>
      <c r="U197" s="60"/>
      <c r="V197" s="61"/>
      <c r="W197" s="127"/>
      <c r="X197" s="66" t="s">
        <v>113</v>
      </c>
      <c r="Y197" s="53"/>
      <c r="Z197" s="42" t="s">
        <v>103</v>
      </c>
      <c r="AA197" s="42"/>
      <c r="AB197" s="42"/>
      <c r="AC197" s="42" t="s">
        <v>104</v>
      </c>
      <c r="AD197" s="60"/>
      <c r="AE197" s="60"/>
      <c r="AF197" s="61"/>
    </row>
    <row r="198" spans="13:32">
      <c r="M198" s="126"/>
      <c r="N198" s="66"/>
      <c r="O198" s="53"/>
      <c r="P198" s="41">
        <v>5</v>
      </c>
      <c r="Q198" s="40">
        <f ca="1">IF(T194&gt;=1,R185,Q185)</f>
        <v>1</v>
      </c>
      <c r="R198" s="40">
        <f ca="1">IF(T194&gt;=1,Q185,R185)</f>
        <v>1</v>
      </c>
      <c r="S198" s="41">
        <f>2^P198</f>
        <v>32</v>
      </c>
      <c r="T198" s="60"/>
      <c r="U198" s="60"/>
      <c r="V198" s="61"/>
      <c r="W198" s="127"/>
      <c r="X198" s="66"/>
      <c r="Y198" s="53"/>
      <c r="Z198" s="41">
        <v>5</v>
      </c>
      <c r="AA198" s="40">
        <f ca="1">IF(AD194&gt;=1,AB185,AA185)</f>
        <v>1</v>
      </c>
      <c r="AB198" s="40">
        <f ca="1">IF(AD194&gt;=1,AA185,AB185)</f>
        <v>1</v>
      </c>
      <c r="AC198" s="41">
        <f>2^Z198</f>
        <v>32</v>
      </c>
      <c r="AD198" s="60"/>
      <c r="AE198" s="60"/>
      <c r="AF198" s="61"/>
    </row>
    <row r="199" spans="13:32">
      <c r="M199" s="126"/>
      <c r="N199" s="66"/>
      <c r="O199" s="53"/>
      <c r="P199" s="41">
        <v>4</v>
      </c>
      <c r="Q199" s="40">
        <f ca="1">IF(T194&gt;=2,R186,Q186)</f>
        <v>0</v>
      </c>
      <c r="R199" s="40">
        <f ca="1">IF(T194&gt;=2,Q186,R186)</f>
        <v>0</v>
      </c>
      <c r="S199" s="41">
        <f t="shared" ref="S199:S203" si="88">2^P199</f>
        <v>16</v>
      </c>
      <c r="T199" s="60"/>
      <c r="U199" s="60"/>
      <c r="V199" s="61"/>
      <c r="W199" s="127"/>
      <c r="X199" s="66"/>
      <c r="Y199" s="53"/>
      <c r="Z199" s="41">
        <v>4</v>
      </c>
      <c r="AA199" s="40">
        <f ca="1">IF(AD194&gt;=2,AB186,AA186)</f>
        <v>0</v>
      </c>
      <c r="AB199" s="40">
        <f ca="1">IF(AD194&gt;=2,AA186,AB186)</f>
        <v>0</v>
      </c>
      <c r="AC199" s="41">
        <f t="shared" ref="AC199:AC203" si="89">2^Z199</f>
        <v>16</v>
      </c>
      <c r="AD199" s="60"/>
      <c r="AE199" s="60"/>
      <c r="AF199" s="61"/>
    </row>
    <row r="200" spans="13:32">
      <c r="M200" s="126"/>
      <c r="N200" s="66"/>
      <c r="O200" s="53"/>
      <c r="P200" s="41">
        <v>3</v>
      </c>
      <c r="Q200" s="40">
        <f ca="1">IF(T194&gt;=3,R187,Q187)</f>
        <v>1</v>
      </c>
      <c r="R200" s="40">
        <f ca="1">IF(T194&gt;=3,Q187,R187)</f>
        <v>1</v>
      </c>
      <c r="S200" s="41">
        <f t="shared" si="88"/>
        <v>8</v>
      </c>
      <c r="T200" s="60"/>
      <c r="U200" s="60"/>
      <c r="V200" s="61"/>
      <c r="W200" s="127"/>
      <c r="X200" s="66"/>
      <c r="Y200" s="53"/>
      <c r="Z200" s="41">
        <v>3</v>
      </c>
      <c r="AA200" s="40">
        <f ca="1">IF(AD194&gt;=3,AB187,AA187)</f>
        <v>1</v>
      </c>
      <c r="AB200" s="40">
        <f ca="1">IF(AD194&gt;=3,AA187,AB187)</f>
        <v>0</v>
      </c>
      <c r="AC200" s="41">
        <f t="shared" si="89"/>
        <v>8</v>
      </c>
      <c r="AD200" s="60"/>
      <c r="AE200" s="60"/>
      <c r="AF200" s="61"/>
    </row>
    <row r="201" spans="13:32">
      <c r="M201" s="126"/>
      <c r="N201" s="66"/>
      <c r="O201" s="53"/>
      <c r="P201" s="41">
        <v>2</v>
      </c>
      <c r="Q201" s="40">
        <f ca="1">IF(T194&gt;=4,R188,Q188)</f>
        <v>0</v>
      </c>
      <c r="R201" s="40">
        <f ca="1">IF(T194&gt;=4,Q188,R188)</f>
        <v>1</v>
      </c>
      <c r="S201" s="41">
        <f t="shared" si="88"/>
        <v>4</v>
      </c>
      <c r="T201" s="60"/>
      <c r="U201" s="60"/>
      <c r="V201" s="61"/>
      <c r="W201" s="127"/>
      <c r="X201" s="66"/>
      <c r="Y201" s="53"/>
      <c r="Z201" s="41">
        <v>2</v>
      </c>
      <c r="AA201" s="40">
        <f ca="1">IF(AD194&gt;=4,AB188,AA188)</f>
        <v>0</v>
      </c>
      <c r="AB201" s="40">
        <f ca="1">IF(AD194&gt;=4,AA188,AB188)</f>
        <v>0</v>
      </c>
      <c r="AC201" s="41">
        <f t="shared" si="89"/>
        <v>4</v>
      </c>
      <c r="AD201" s="60"/>
      <c r="AE201" s="60"/>
      <c r="AF201" s="61"/>
    </row>
    <row r="202" spans="13:32">
      <c r="M202" s="126"/>
      <c r="N202" s="66"/>
      <c r="O202" s="53"/>
      <c r="P202" s="41">
        <v>1</v>
      </c>
      <c r="Q202" s="40">
        <f ca="1">IF(T194&gt;=5,R189,Q189)</f>
        <v>1</v>
      </c>
      <c r="R202" s="40">
        <f ca="1">IF(T194&gt;=5,Q189,R189)</f>
        <v>1</v>
      </c>
      <c r="S202" s="41">
        <f t="shared" si="88"/>
        <v>2</v>
      </c>
      <c r="T202" s="60"/>
      <c r="U202" s="60"/>
      <c r="V202" s="61"/>
      <c r="W202" s="127"/>
      <c r="X202" s="66"/>
      <c r="Y202" s="53"/>
      <c r="Z202" s="41">
        <v>1</v>
      </c>
      <c r="AA202" s="40">
        <f ca="1">IF(AD194&gt;=5,AB189,AA189)</f>
        <v>0</v>
      </c>
      <c r="AB202" s="40">
        <f ca="1">IF(AD194&gt;=5,AA189,AB189)</f>
        <v>0</v>
      </c>
      <c r="AC202" s="41">
        <f t="shared" si="89"/>
        <v>2</v>
      </c>
      <c r="AD202" s="60"/>
      <c r="AE202" s="60"/>
      <c r="AF202" s="61"/>
    </row>
    <row r="203" spans="13:32">
      <c r="M203" s="126"/>
      <c r="N203" s="66"/>
      <c r="O203" s="53"/>
      <c r="P203" s="41">
        <v>0</v>
      </c>
      <c r="Q203" s="40">
        <f ca="1">IF(T194&gt;=6,R190,Q190)</f>
        <v>0</v>
      </c>
      <c r="R203" s="40">
        <f ca="1">IF(T194&gt;=6,Q190,R190)</f>
        <v>0</v>
      </c>
      <c r="S203" s="41">
        <f t="shared" si="88"/>
        <v>1</v>
      </c>
      <c r="T203" s="60"/>
      <c r="U203" s="60"/>
      <c r="V203" s="61"/>
      <c r="W203" s="127"/>
      <c r="X203" s="66"/>
      <c r="Y203" s="53"/>
      <c r="Z203" s="41">
        <v>0</v>
      </c>
      <c r="AA203" s="40">
        <f ca="1">IF(AD194&gt;=6,AB190,AA190)</f>
        <v>0</v>
      </c>
      <c r="AB203" s="40">
        <f ca="1">IF(AD194&gt;=6,AA190,AB190)</f>
        <v>0</v>
      </c>
      <c r="AC203" s="41">
        <f t="shared" si="89"/>
        <v>1</v>
      </c>
      <c r="AD203" s="60"/>
      <c r="AE203" s="60"/>
      <c r="AF203" s="61"/>
    </row>
    <row r="204" spans="13:32">
      <c r="M204" s="126"/>
      <c r="N204" s="66"/>
      <c r="O204" s="53"/>
      <c r="P204" s="41"/>
      <c r="Q204" s="42" t="s">
        <v>108</v>
      </c>
      <c r="R204" s="42" t="s">
        <v>109</v>
      </c>
      <c r="S204" s="41"/>
      <c r="T204" s="60"/>
      <c r="U204" s="60"/>
      <c r="V204" s="61"/>
      <c r="W204" s="127"/>
      <c r="X204" s="66"/>
      <c r="Y204" s="53"/>
      <c r="Z204" s="41"/>
      <c r="AA204" s="42" t="s">
        <v>108</v>
      </c>
      <c r="AB204" s="42" t="s">
        <v>109</v>
      </c>
      <c r="AC204" s="41"/>
      <c r="AD204" s="60"/>
      <c r="AE204" s="60"/>
      <c r="AF204" s="61"/>
    </row>
    <row r="205" spans="13:32">
      <c r="M205" s="126"/>
      <c r="N205" s="66" t="s">
        <v>114</v>
      </c>
      <c r="O205" s="53"/>
      <c r="P205" s="41"/>
      <c r="Q205" s="44">
        <f ca="1">Q198*2^P198+Q199*2^P199+Q200*2^P200+Q201*2^P201+Q202*2^P202+Q203*2^P203</f>
        <v>42</v>
      </c>
      <c r="R205" s="44">
        <f ca="1">R198*2^P198+R199*2^P199+R200*2^P200+R201*2^P201+R202*2^P202+R203*2^P203</f>
        <v>46</v>
      </c>
      <c r="S205" s="41"/>
      <c r="T205" s="60"/>
      <c r="U205" s="60"/>
      <c r="V205" s="61"/>
      <c r="W205" s="127"/>
      <c r="X205" s="66" t="s">
        <v>114</v>
      </c>
      <c r="Y205" s="53"/>
      <c r="Z205" s="41"/>
      <c r="AA205" s="44">
        <f ca="1">AA198*2^Z198+AA199*2^Z199+AA200*2^Z200+AA201*2^Z201+AA202*2^Z202+AA203*2^Z203</f>
        <v>40</v>
      </c>
      <c r="AB205" s="44">
        <f ca="1">AB198*2^Z198+AB199*2^Z199+AB200*2^Z200+AB201*2^Z201+AB202*2^Z202+AB203*2^Z203</f>
        <v>32</v>
      </c>
      <c r="AC205" s="41"/>
      <c r="AD205" s="60"/>
      <c r="AE205" s="60"/>
      <c r="AF205" s="61"/>
    </row>
    <row r="206" spans="13:32">
      <c r="M206" s="126"/>
      <c r="N206" s="67"/>
      <c r="O206" s="60"/>
      <c r="P206" s="60"/>
      <c r="Q206" s="60"/>
      <c r="R206" s="60"/>
      <c r="S206" s="60"/>
      <c r="T206" s="60"/>
      <c r="U206" s="60"/>
      <c r="V206" s="61"/>
      <c r="W206" s="127"/>
      <c r="X206" s="67"/>
      <c r="Y206" s="60"/>
      <c r="Z206" s="60"/>
      <c r="AA206" s="60"/>
      <c r="AB206" s="60"/>
      <c r="AC206" s="60"/>
      <c r="AD206" s="60"/>
      <c r="AE206" s="60"/>
      <c r="AF206" s="61"/>
    </row>
    <row r="207" spans="13:32">
      <c r="M207" s="126"/>
      <c r="N207" s="68" t="s">
        <v>115</v>
      </c>
      <c r="O207" s="69"/>
      <c r="P207" s="69"/>
      <c r="Q207" s="69"/>
      <c r="R207" s="69"/>
      <c r="S207" s="69"/>
      <c r="T207" s="69"/>
      <c r="U207" s="70">
        <f ca="1">FLOOR(O179*U182,1)</f>
        <v>5</v>
      </c>
      <c r="V207" s="71">
        <f ca="1">FLOOR(O179*V182,1)</f>
        <v>1</v>
      </c>
      <c r="W207" s="127"/>
      <c r="X207" s="68" t="s">
        <v>115</v>
      </c>
      <c r="Y207" s="69"/>
      <c r="Z207" s="69"/>
      <c r="AA207" s="69"/>
      <c r="AB207" s="69"/>
      <c r="AC207" s="69"/>
      <c r="AD207" s="69"/>
      <c r="AE207" s="70">
        <f ca="1">FLOOR(Y179*AE182,1)</f>
        <v>5</v>
      </c>
      <c r="AF207" s="71">
        <f ca="1">FLOOR(Y179*AF182,1)</f>
        <v>3</v>
      </c>
    </row>
    <row r="208" spans="13:32">
      <c r="M208" s="126"/>
      <c r="N208" s="67"/>
      <c r="O208" s="60"/>
      <c r="P208" s="60"/>
      <c r="Q208" s="60"/>
      <c r="R208" s="60"/>
      <c r="S208" s="60"/>
      <c r="T208" s="60"/>
      <c r="U208" s="60"/>
      <c r="V208" s="61"/>
      <c r="W208" s="127"/>
      <c r="X208" s="67"/>
      <c r="Y208" s="60"/>
      <c r="Z208" s="60"/>
      <c r="AA208" s="60"/>
      <c r="AB208" s="60"/>
      <c r="AC208" s="60"/>
      <c r="AD208" s="60"/>
      <c r="AE208" s="60"/>
      <c r="AF208" s="61"/>
    </row>
    <row r="209" spans="13:32">
      <c r="M209" s="126"/>
      <c r="N209" s="67"/>
      <c r="O209" s="60"/>
      <c r="P209" s="60"/>
      <c r="Q209" s="60"/>
      <c r="R209" s="60"/>
      <c r="S209" s="60"/>
      <c r="T209" s="60"/>
      <c r="U209" s="60"/>
      <c r="V209" s="61"/>
      <c r="W209" s="127"/>
      <c r="X209" s="67"/>
      <c r="Y209" s="60"/>
      <c r="Z209" s="60"/>
      <c r="AA209" s="60"/>
      <c r="AB209" s="60"/>
      <c r="AC209" s="60"/>
      <c r="AD209" s="60"/>
      <c r="AE209" s="60"/>
      <c r="AF209" s="61"/>
    </row>
    <row r="210" spans="13:32">
      <c r="M210" s="126"/>
      <c r="N210" s="67"/>
      <c r="O210" s="60"/>
      <c r="P210" s="42" t="s">
        <v>103</v>
      </c>
      <c r="Q210" s="42"/>
      <c r="R210" s="42"/>
      <c r="S210" s="42" t="s">
        <v>104</v>
      </c>
      <c r="T210" s="60"/>
      <c r="U210" s="60"/>
      <c r="V210" s="61"/>
      <c r="W210" s="127"/>
      <c r="X210" s="67"/>
      <c r="Y210" s="60"/>
      <c r="Z210" s="42" t="s">
        <v>103</v>
      </c>
      <c r="AA210" s="42"/>
      <c r="AB210" s="42"/>
      <c r="AC210" s="42" t="s">
        <v>104</v>
      </c>
      <c r="AD210" s="60"/>
      <c r="AE210" s="60"/>
      <c r="AF210" s="61"/>
    </row>
    <row r="211" spans="13:32">
      <c r="M211" s="126"/>
      <c r="N211" s="67"/>
      <c r="O211" s="60"/>
      <c r="P211" s="41">
        <v>5</v>
      </c>
      <c r="Q211" s="40">
        <f ca="1">IF(U207=1,IF(Q198=1,0,1),Q198)</f>
        <v>1</v>
      </c>
      <c r="R211" s="40">
        <f ca="1">IF(V207=1,IF(R198=1,0,1),R198)</f>
        <v>0</v>
      </c>
      <c r="S211" s="41">
        <f>2^P211</f>
        <v>32</v>
      </c>
      <c r="T211" s="60"/>
      <c r="U211" s="60"/>
      <c r="V211" s="61"/>
      <c r="W211" s="127"/>
      <c r="X211" s="67"/>
      <c r="Y211" s="60"/>
      <c r="Z211" s="41">
        <v>5</v>
      </c>
      <c r="AA211" s="40">
        <f ca="1">IF(AE207=1,IF(AA198=1,0,1),AA198)</f>
        <v>1</v>
      </c>
      <c r="AB211" s="40">
        <f ca="1">IF(AF207=1,IF(AB198=1,0,1),AB198)</f>
        <v>1</v>
      </c>
      <c r="AC211" s="41">
        <f>2^Z211</f>
        <v>32</v>
      </c>
      <c r="AD211" s="60"/>
      <c r="AE211" s="60"/>
      <c r="AF211" s="61"/>
    </row>
    <row r="212" spans="13:32">
      <c r="M212" s="126"/>
      <c r="N212" s="67"/>
      <c r="O212" s="60"/>
      <c r="P212" s="41">
        <v>4</v>
      </c>
      <c r="Q212" s="40">
        <f ca="1">IF(U207=2,IF(Q199=1,0,1),Q199)</f>
        <v>0</v>
      </c>
      <c r="R212" s="40">
        <f ca="1">IF(V207=2,IF(R199=1,0,1),R199)</f>
        <v>0</v>
      </c>
      <c r="S212" s="41">
        <f t="shared" ref="S212:S216" si="90">2^P212</f>
        <v>16</v>
      </c>
      <c r="T212" s="60"/>
      <c r="U212" s="60"/>
      <c r="V212" s="61"/>
      <c r="W212" s="127"/>
      <c r="X212" s="67"/>
      <c r="Y212" s="60"/>
      <c r="Z212" s="41">
        <v>4</v>
      </c>
      <c r="AA212" s="40">
        <f ca="1">IF(AE207=2,IF(AA199=1,0,1),AA199)</f>
        <v>0</v>
      </c>
      <c r="AB212" s="40">
        <f ca="1">IF(AF207=2,IF(AB199=1,0,1),AB199)</f>
        <v>0</v>
      </c>
      <c r="AC212" s="41">
        <f t="shared" ref="AC212:AC216" si="91">2^Z212</f>
        <v>16</v>
      </c>
      <c r="AD212" s="60"/>
      <c r="AE212" s="60"/>
      <c r="AF212" s="61"/>
    </row>
    <row r="213" spans="13:32">
      <c r="M213" s="126"/>
      <c r="N213" s="67"/>
      <c r="O213" s="60"/>
      <c r="P213" s="41">
        <v>3</v>
      </c>
      <c r="Q213" s="40">
        <f ca="1">IF(U207=3,IF(Q200=1,0,1),Q200)</f>
        <v>1</v>
      </c>
      <c r="R213" s="40">
        <f ca="1">IF(V207=3,IF(R200=1,0,1),R200)</f>
        <v>1</v>
      </c>
      <c r="S213" s="41">
        <f t="shared" si="90"/>
        <v>8</v>
      </c>
      <c r="T213" s="60"/>
      <c r="U213" s="60"/>
      <c r="V213" s="61"/>
      <c r="W213" s="127"/>
      <c r="X213" s="67"/>
      <c r="Y213" s="60"/>
      <c r="Z213" s="41">
        <v>3</v>
      </c>
      <c r="AA213" s="40">
        <f ca="1">IF(AE207=3,IF(AA200=1,0,1),AA200)</f>
        <v>1</v>
      </c>
      <c r="AB213" s="40">
        <f ca="1">IF(AF207=3,IF(AB200=1,0,1),AB200)</f>
        <v>1</v>
      </c>
      <c r="AC213" s="41">
        <f t="shared" si="91"/>
        <v>8</v>
      </c>
      <c r="AD213" s="60"/>
      <c r="AE213" s="60"/>
      <c r="AF213" s="61"/>
    </row>
    <row r="214" spans="13:32">
      <c r="M214" s="126"/>
      <c r="N214" s="67"/>
      <c r="O214" s="60"/>
      <c r="P214" s="41">
        <v>2</v>
      </c>
      <c r="Q214" s="40">
        <f ca="1">IF(U207=4,IF(Q201=1,0,1),Q201)</f>
        <v>0</v>
      </c>
      <c r="R214" s="40">
        <f ca="1">IF(V207=4,IF(R201=1,0,1),R201)</f>
        <v>1</v>
      </c>
      <c r="S214" s="41">
        <f t="shared" si="90"/>
        <v>4</v>
      </c>
      <c r="T214" s="60"/>
      <c r="U214" s="60"/>
      <c r="V214" s="61"/>
      <c r="W214" s="127"/>
      <c r="X214" s="67"/>
      <c r="Y214" s="60"/>
      <c r="Z214" s="41">
        <v>2</v>
      </c>
      <c r="AA214" s="40">
        <f ca="1">IF(AE207=4,IF(AA201=1,0,1),AA201)</f>
        <v>0</v>
      </c>
      <c r="AB214" s="40">
        <f ca="1">IF(AF207=4,IF(AB201=1,0,1),AB201)</f>
        <v>0</v>
      </c>
      <c r="AC214" s="41">
        <f t="shared" si="91"/>
        <v>4</v>
      </c>
      <c r="AD214" s="60"/>
      <c r="AE214" s="60"/>
      <c r="AF214" s="61"/>
    </row>
    <row r="215" spans="13:32">
      <c r="M215" s="126"/>
      <c r="N215" s="67"/>
      <c r="O215" s="60"/>
      <c r="P215" s="41">
        <v>1</v>
      </c>
      <c r="Q215" s="40">
        <f ca="1">IF(U207=5,IF(Q202=1,0,1),Q202)</f>
        <v>0</v>
      </c>
      <c r="R215" s="40">
        <f ca="1">IF(V207=5,IF(R202=1,0,1),R202)</f>
        <v>1</v>
      </c>
      <c r="S215" s="41">
        <f t="shared" si="90"/>
        <v>2</v>
      </c>
      <c r="T215" s="60"/>
      <c r="U215" s="60"/>
      <c r="V215" s="61"/>
      <c r="W215" s="127"/>
      <c r="X215" s="67"/>
      <c r="Y215" s="60"/>
      <c r="Z215" s="41">
        <v>1</v>
      </c>
      <c r="AA215" s="40">
        <f ca="1">IF(AE207=5,IF(AA202=1,0,1),AA202)</f>
        <v>1</v>
      </c>
      <c r="AB215" s="40">
        <f ca="1">IF(AF207=5,IF(AB202=1,0,1),AB202)</f>
        <v>0</v>
      </c>
      <c r="AC215" s="41">
        <f t="shared" si="91"/>
        <v>2</v>
      </c>
      <c r="AD215" s="60"/>
      <c r="AE215" s="60"/>
      <c r="AF215" s="61"/>
    </row>
    <row r="216" spans="13:32">
      <c r="M216" s="126"/>
      <c r="N216" s="67"/>
      <c r="O216" s="60"/>
      <c r="P216" s="41">
        <v>0</v>
      </c>
      <c r="Q216" s="40">
        <f ca="1">IF(U207=6,IF(Q203=1,0,1),Q203)</f>
        <v>0</v>
      </c>
      <c r="R216" s="40">
        <f ca="1">IF(V207=6,IF(R203=1,0,1),R203)</f>
        <v>0</v>
      </c>
      <c r="S216" s="41">
        <f t="shared" si="90"/>
        <v>1</v>
      </c>
      <c r="T216" s="60"/>
      <c r="U216" s="60"/>
      <c r="V216" s="61"/>
      <c r="W216" s="127"/>
      <c r="X216" s="67"/>
      <c r="Y216" s="60"/>
      <c r="Z216" s="41">
        <v>0</v>
      </c>
      <c r="AA216" s="40">
        <f ca="1">IF(AE207=6,IF(AA203=1,0,1),AA203)</f>
        <v>0</v>
      </c>
      <c r="AB216" s="40">
        <f ca="1">IF(AF207=6,IF(AB203=1,0,1),AB203)</f>
        <v>0</v>
      </c>
      <c r="AC216" s="41">
        <f t="shared" si="91"/>
        <v>1</v>
      </c>
      <c r="AD216" s="60"/>
      <c r="AE216" s="60"/>
      <c r="AF216" s="61"/>
    </row>
    <row r="217" spans="13:32">
      <c r="M217" s="126"/>
      <c r="N217" s="67"/>
      <c r="O217" s="60"/>
      <c r="P217" s="41"/>
      <c r="Q217" s="42" t="s">
        <v>108</v>
      </c>
      <c r="R217" s="42" t="s">
        <v>109</v>
      </c>
      <c r="S217" s="41"/>
      <c r="T217" s="60"/>
      <c r="U217" s="60"/>
      <c r="V217" s="61"/>
      <c r="W217" s="127"/>
      <c r="X217" s="67"/>
      <c r="Y217" s="60"/>
      <c r="Z217" s="41"/>
      <c r="AA217" s="42" t="s">
        <v>108</v>
      </c>
      <c r="AB217" s="42" t="s">
        <v>109</v>
      </c>
      <c r="AC217" s="41"/>
      <c r="AD217" s="60"/>
      <c r="AE217" s="60"/>
      <c r="AF217" s="61"/>
    </row>
    <row r="218" spans="13:32">
      <c r="M218" s="126"/>
      <c r="N218" s="67"/>
      <c r="O218" s="60"/>
      <c r="P218" s="41"/>
      <c r="Q218" s="44">
        <f ca="1">Q211*2^P211+Q212*2^P212+Q213*2^P213+Q214*2^P214+Q215*2^P215+Q216*2^P216</f>
        <v>40</v>
      </c>
      <c r="R218" s="44">
        <f ca="1">R211*2^P211+R212*2^P212+R213*2^P213+R214*2^P214+R215*2^P215+R216*2^P216</f>
        <v>14</v>
      </c>
      <c r="S218" s="41"/>
      <c r="T218" s="60"/>
      <c r="U218" s="60"/>
      <c r="V218" s="61"/>
      <c r="W218" s="127"/>
      <c r="X218" s="67"/>
      <c r="Y218" s="60"/>
      <c r="Z218" s="41"/>
      <c r="AA218" s="44">
        <f ca="1">AA211*2^Z211+AA212*2^Z212+AA213*2^Z213+AA214*2^Z214+AA215*2^Z215+AA216*2^Z216</f>
        <v>42</v>
      </c>
      <c r="AB218" s="44">
        <f ca="1">AB211*2^Z211+AB212*2^Z212+AB213*2^Z213+AB214*2^Z214+AB215*2^Z215+AB216*2^Z216</f>
        <v>40</v>
      </c>
      <c r="AC218" s="41"/>
      <c r="AD218" s="60"/>
      <c r="AE218" s="60"/>
      <c r="AF218" s="61"/>
    </row>
    <row r="219" spans="13:32">
      <c r="M219" s="126"/>
      <c r="N219" s="67"/>
      <c r="O219" s="60"/>
      <c r="P219" s="60"/>
      <c r="Q219" s="60"/>
      <c r="R219" s="60"/>
      <c r="S219" s="60"/>
      <c r="T219" s="60"/>
      <c r="U219" s="60"/>
      <c r="V219" s="61"/>
      <c r="W219" s="127"/>
      <c r="X219" s="67"/>
      <c r="Y219" s="60"/>
      <c r="Z219" s="60"/>
      <c r="AA219" s="60"/>
      <c r="AB219" s="60"/>
      <c r="AC219" s="60"/>
      <c r="AD219" s="60"/>
      <c r="AE219" s="60"/>
      <c r="AF219" s="61"/>
    </row>
    <row r="220" spans="13:32">
      <c r="M220" s="126"/>
      <c r="N220" s="72" t="s">
        <v>116</v>
      </c>
      <c r="O220" s="73"/>
      <c r="P220" s="73"/>
      <c r="Q220" s="74">
        <f ca="1">(Q218/P180)*(S182-P182)+P182</f>
        <v>1.3492063492063489</v>
      </c>
      <c r="R220" s="74">
        <f ca="1">(R218/P180)*(S182-P182)+P182</f>
        <v>-2.7777777777777777</v>
      </c>
      <c r="S220" s="75"/>
      <c r="T220" s="75"/>
      <c r="U220" s="75"/>
      <c r="V220" s="76"/>
      <c r="W220" s="127"/>
      <c r="X220" s="72" t="s">
        <v>116</v>
      </c>
      <c r="Y220" s="73"/>
      <c r="Z220" s="73"/>
      <c r="AA220" s="74">
        <f ca="1">(AA218/Z180)*(AC182-Z182)+Z182</f>
        <v>1.6666666666666661</v>
      </c>
      <c r="AB220" s="74">
        <f ca="1">(AB218/Z180)*(AC182-Z182)+Z182</f>
        <v>1.3492063492063489</v>
      </c>
      <c r="AC220" s="75"/>
      <c r="AD220" s="75"/>
      <c r="AE220" s="75"/>
      <c r="AF220" s="76"/>
    </row>
    <row r="221" spans="13:32">
      <c r="M221" s="126"/>
      <c r="N221" s="122" t="s">
        <v>159</v>
      </c>
      <c r="O221" s="123"/>
      <c r="P221" s="123"/>
      <c r="Q221" s="123"/>
      <c r="R221" s="123"/>
      <c r="S221" s="123"/>
      <c r="T221" s="123"/>
      <c r="U221" s="123"/>
      <c r="V221" s="124"/>
      <c r="W221" s="127"/>
      <c r="X221" s="122" t="s">
        <v>159</v>
      </c>
      <c r="Y221" s="123"/>
      <c r="Z221" s="123"/>
      <c r="AA221" s="123"/>
      <c r="AB221" s="123"/>
      <c r="AC221" s="123"/>
      <c r="AD221" s="123"/>
      <c r="AE221" s="123"/>
      <c r="AF221" s="124"/>
    </row>
    <row r="222" spans="13:32">
      <c r="M222" s="126"/>
      <c r="N222" s="59" t="s">
        <v>100</v>
      </c>
      <c r="O222" s="60">
        <v>6</v>
      </c>
      <c r="P222" s="60"/>
      <c r="Q222" s="60"/>
      <c r="R222" s="60"/>
      <c r="S222" s="60"/>
      <c r="T222" s="60"/>
      <c r="U222" s="60"/>
      <c r="V222" s="61"/>
      <c r="W222" s="127"/>
      <c r="X222" s="59" t="s">
        <v>100</v>
      </c>
      <c r="Y222" s="60">
        <v>6</v>
      </c>
      <c r="Z222" s="60"/>
      <c r="AA222" s="60"/>
      <c r="AB222" s="60"/>
      <c r="AC222" s="60"/>
      <c r="AD222" s="60"/>
      <c r="AE222" s="60"/>
      <c r="AF222" s="61"/>
    </row>
    <row r="223" spans="13:32" ht="30">
      <c r="M223" s="126"/>
      <c r="N223" s="59" t="s">
        <v>101</v>
      </c>
      <c r="O223" s="60">
        <v>0</v>
      </c>
      <c r="P223" s="60">
        <f>(2^O222)-1</f>
        <v>63</v>
      </c>
      <c r="Q223" s="60"/>
      <c r="R223" s="60"/>
      <c r="S223" s="60"/>
      <c r="T223" s="60"/>
      <c r="U223" s="60"/>
      <c r="V223" s="61"/>
      <c r="W223" s="127"/>
      <c r="X223" s="59" t="s">
        <v>101</v>
      </c>
      <c r="Y223" s="60">
        <v>0</v>
      </c>
      <c r="Z223" s="60">
        <f>(2^Y222)-1</f>
        <v>63</v>
      </c>
      <c r="AA223" s="60"/>
      <c r="AB223" s="60"/>
      <c r="AC223" s="60"/>
      <c r="AD223" s="60"/>
      <c r="AE223" s="60"/>
      <c r="AF223" s="61"/>
    </row>
    <row r="224" spans="13:32">
      <c r="M224" s="126"/>
      <c r="N224" s="62" t="s">
        <v>72</v>
      </c>
      <c r="O224" s="4" t="s">
        <v>73</v>
      </c>
      <c r="P224" s="4" t="s">
        <v>91</v>
      </c>
      <c r="Q224" s="4" t="s">
        <v>155</v>
      </c>
      <c r="R224" s="4" t="s">
        <v>156</v>
      </c>
      <c r="S224" s="4" t="s">
        <v>94</v>
      </c>
      <c r="T224" s="4" t="s">
        <v>95</v>
      </c>
      <c r="U224" s="4" t="s">
        <v>96</v>
      </c>
      <c r="V224" s="63" t="s">
        <v>97</v>
      </c>
      <c r="W224" s="127"/>
      <c r="X224" s="62" t="s">
        <v>72</v>
      </c>
      <c r="Y224" s="4" t="s">
        <v>73</v>
      </c>
      <c r="Z224" s="4" t="s">
        <v>91</v>
      </c>
      <c r="AA224" s="4" t="s">
        <v>155</v>
      </c>
      <c r="AB224" s="4" t="s">
        <v>156</v>
      </c>
      <c r="AC224" s="4" t="s">
        <v>94</v>
      </c>
      <c r="AD224" s="4" t="s">
        <v>95</v>
      </c>
      <c r="AE224" s="4" t="s">
        <v>96</v>
      </c>
      <c r="AF224" s="63" t="s">
        <v>97</v>
      </c>
    </row>
    <row r="225" spans="13:32">
      <c r="M225" s="126"/>
      <c r="N225" s="64" t="s">
        <v>1</v>
      </c>
      <c r="O225" s="53"/>
      <c r="P225" s="53">
        <v>-5</v>
      </c>
      <c r="Q225" s="65">
        <f ca="1">E43</f>
        <v>-3.7573898508751693</v>
      </c>
      <c r="R225" s="65">
        <f ca="1">F43</f>
        <v>0.38224804589572425</v>
      </c>
      <c r="S225" s="53">
        <v>5</v>
      </c>
      <c r="T225" s="53">
        <f ca="1">RAND()</f>
        <v>0.47891620101525667</v>
      </c>
      <c r="U225" s="53">
        <f t="shared" ref="U225:V225" ca="1" si="92">RAND()</f>
        <v>0.85889005443265476</v>
      </c>
      <c r="V225" s="28">
        <f t="shared" ca="1" si="92"/>
        <v>0.12605724795948559</v>
      </c>
      <c r="W225" s="127"/>
      <c r="X225" s="64" t="s">
        <v>1</v>
      </c>
      <c r="Y225" s="53"/>
      <c r="Z225" s="53">
        <v>-5</v>
      </c>
      <c r="AA225" s="65">
        <f ca="1">E82</f>
        <v>7.9365079365079083E-2</v>
      </c>
      <c r="AB225" s="65">
        <f ca="1">F82</f>
        <v>1.3492063492063489</v>
      </c>
      <c r="AC225" s="53">
        <v>5</v>
      </c>
      <c r="AD225" s="53">
        <f ca="1">RAND()</f>
        <v>8.9437224337110877E-2</v>
      </c>
      <c r="AE225" s="53">
        <f t="shared" ref="AE225:AF225" ca="1" si="93">RAND()</f>
        <v>0.82090659958301626</v>
      </c>
      <c r="AF225" s="28">
        <f t="shared" ca="1" si="93"/>
        <v>0.58919794403909787</v>
      </c>
    </row>
    <row r="226" spans="13:32" ht="30">
      <c r="M226" s="126"/>
      <c r="N226" s="59" t="s">
        <v>110</v>
      </c>
      <c r="O226" s="60"/>
      <c r="P226" s="60"/>
      <c r="Q226" s="60">
        <f ca="1">(ABS(Q225-P225)/(S225-P225))*(P223-O223)</f>
        <v>7.8284439394864327</v>
      </c>
      <c r="R226" s="60">
        <f ca="1">(ABS(R225-P225)/(S225-P225))*(P223-O223)</f>
        <v>33.908162689143062</v>
      </c>
      <c r="S226" s="60"/>
      <c r="T226" s="60"/>
      <c r="U226" s="60"/>
      <c r="V226" s="61"/>
      <c r="W226" s="127"/>
      <c r="X226" s="59" t="s">
        <v>110</v>
      </c>
      <c r="Y226" s="60"/>
      <c r="Z226" s="60"/>
      <c r="AA226" s="60">
        <f ca="1">(ABS(AA225-Z225)/(AC225-Z225))*(Z223-Y223)</f>
        <v>32</v>
      </c>
      <c r="AB226" s="60">
        <f ca="1">(ABS(AB225-Z225)/(AC225-Z225))*(Z223-Y223)</f>
        <v>40</v>
      </c>
      <c r="AC226" s="60"/>
      <c r="AD226" s="60"/>
      <c r="AE226" s="60"/>
      <c r="AF226" s="61"/>
    </row>
    <row r="227" spans="13:32">
      <c r="M227" s="126"/>
      <c r="N227" s="66"/>
      <c r="O227" s="53"/>
      <c r="P227" s="42" t="s">
        <v>103</v>
      </c>
      <c r="Q227" s="42"/>
      <c r="R227" s="42"/>
      <c r="S227" s="42" t="s">
        <v>104</v>
      </c>
      <c r="T227" s="60"/>
      <c r="U227" s="60"/>
      <c r="V227" s="61"/>
      <c r="W227" s="127"/>
      <c r="X227" s="66"/>
      <c r="Y227" s="53"/>
      <c r="Z227" s="42" t="s">
        <v>103</v>
      </c>
      <c r="AA227" s="42"/>
      <c r="AB227" s="42"/>
      <c r="AC227" s="42" t="s">
        <v>104</v>
      </c>
      <c r="AD227" s="60"/>
      <c r="AE227" s="60"/>
      <c r="AF227" s="61"/>
    </row>
    <row r="228" spans="13:32">
      <c r="M228" s="126"/>
      <c r="N228" s="66" t="s">
        <v>102</v>
      </c>
      <c r="O228" s="53"/>
      <c r="P228" s="41">
        <v>5</v>
      </c>
      <c r="Q228" s="40">
        <f ca="1">FLOOR(Q226/2^P228,1)</f>
        <v>0</v>
      </c>
      <c r="R228" s="40">
        <f ca="1">FLOOR(R226/2^P228,1)</f>
        <v>1</v>
      </c>
      <c r="S228" s="41">
        <f>2^P228</f>
        <v>32</v>
      </c>
      <c r="T228" s="60"/>
      <c r="U228" s="60"/>
      <c r="V228" s="61"/>
      <c r="W228" s="127"/>
      <c r="X228" s="66" t="s">
        <v>102</v>
      </c>
      <c r="Y228" s="53"/>
      <c r="Z228" s="41">
        <v>5</v>
      </c>
      <c r="AA228" s="40">
        <f ca="1">FLOOR(AA226/2^Z228,1)</f>
        <v>1</v>
      </c>
      <c r="AB228" s="40">
        <f ca="1">FLOOR(AB226/2^Z228,1)</f>
        <v>1</v>
      </c>
      <c r="AC228" s="41">
        <f>2^Z228</f>
        <v>32</v>
      </c>
      <c r="AD228" s="60"/>
      <c r="AE228" s="60"/>
      <c r="AF228" s="61"/>
    </row>
    <row r="229" spans="13:32">
      <c r="M229" s="126"/>
      <c r="N229" s="66" t="s">
        <v>105</v>
      </c>
      <c r="O229" s="53"/>
      <c r="P229" s="41">
        <v>4</v>
      </c>
      <c r="Q229" s="40">
        <f ca="1">FLOOR((Q226-Q228*2^P228)/(2^P229),1)</f>
        <v>0</v>
      </c>
      <c r="R229" s="40">
        <f ca="1">FLOOR((R226-R228*2^P228)/(2^P229),1)</f>
        <v>0</v>
      </c>
      <c r="S229" s="41">
        <f t="shared" ref="S229:S233" si="94">2^P229</f>
        <v>16</v>
      </c>
      <c r="T229" s="60"/>
      <c r="U229" s="60"/>
      <c r="V229" s="61"/>
      <c r="W229" s="127"/>
      <c r="X229" s="66" t="s">
        <v>105</v>
      </c>
      <c r="Y229" s="53"/>
      <c r="Z229" s="41">
        <v>4</v>
      </c>
      <c r="AA229" s="40">
        <f ca="1">FLOOR((AA226-AA228*2^Z228)/(2^Z229),1)</f>
        <v>0</v>
      </c>
      <c r="AB229" s="40">
        <f ca="1">FLOOR((AB226-AB228*2^Z228)/(2^Z229),1)</f>
        <v>0</v>
      </c>
      <c r="AC229" s="41">
        <f t="shared" ref="AC229:AC233" si="95">2^Z229</f>
        <v>16</v>
      </c>
      <c r="AD229" s="60"/>
      <c r="AE229" s="60"/>
      <c r="AF229" s="61"/>
    </row>
    <row r="230" spans="13:32">
      <c r="M230" s="126"/>
      <c r="N230" s="66" t="s">
        <v>106</v>
      </c>
      <c r="O230" s="53"/>
      <c r="P230" s="41">
        <v>3</v>
      </c>
      <c r="Q230" s="40">
        <f ca="1">FLOOR((Q226-Q228*2^P228-Q229*2^P229)/(2^P230),1)</f>
        <v>0</v>
      </c>
      <c r="R230" s="40">
        <f ca="1">FLOOR((R226-R228*2^P228-R229*2^P229)/(2^P230),1)</f>
        <v>0</v>
      </c>
      <c r="S230" s="41">
        <f t="shared" si="94"/>
        <v>8</v>
      </c>
      <c r="T230" s="60"/>
      <c r="U230" s="60"/>
      <c r="V230" s="61"/>
      <c r="W230" s="127"/>
      <c r="X230" s="66" t="s">
        <v>106</v>
      </c>
      <c r="Y230" s="53"/>
      <c r="Z230" s="41">
        <v>3</v>
      </c>
      <c r="AA230" s="40">
        <f ca="1">FLOOR((AA226-AA228*2^Z228-AA229*2^Z229)/(2^Z230),1)</f>
        <v>0</v>
      </c>
      <c r="AB230" s="40">
        <f ca="1">FLOOR((AB226-AB228*2^Z228-AB229*2^Z229)/(2^Z230),1)</f>
        <v>1</v>
      </c>
      <c r="AC230" s="41">
        <f t="shared" si="95"/>
        <v>8</v>
      </c>
      <c r="AD230" s="60"/>
      <c r="AE230" s="60"/>
      <c r="AF230" s="61"/>
    </row>
    <row r="231" spans="13:32">
      <c r="M231" s="126"/>
      <c r="N231" s="66" t="s">
        <v>107</v>
      </c>
      <c r="O231" s="53"/>
      <c r="P231" s="41">
        <v>2</v>
      </c>
      <c r="Q231" s="40">
        <f ca="1">FLOOR((Q226-Q228*2^P228-Q229*2^P229-Q230*2^P230)/(2^P231),1)</f>
        <v>1</v>
      </c>
      <c r="R231" s="40">
        <f ca="1">FLOOR((R226-R228*2^P228-R229*2^P229-R230*2^P230)/(2^P231),1)</f>
        <v>0</v>
      </c>
      <c r="S231" s="41">
        <f t="shared" si="94"/>
        <v>4</v>
      </c>
      <c r="T231" s="60"/>
      <c r="U231" s="60"/>
      <c r="V231" s="61"/>
      <c r="W231" s="127"/>
      <c r="X231" s="66" t="s">
        <v>107</v>
      </c>
      <c r="Y231" s="53"/>
      <c r="Z231" s="41">
        <v>2</v>
      </c>
      <c r="AA231" s="40">
        <f ca="1">FLOOR((AA226-AA228*2^Z228-AA229*2^Z229-AA230*2^Z230)/(2^Z231),1)</f>
        <v>0</v>
      </c>
      <c r="AB231" s="40">
        <f ca="1">FLOOR((AB226-AB228*2^Z228-AB229*2^Z229-AB230*2^Z230)/(2^Z231),1)</f>
        <v>0</v>
      </c>
      <c r="AC231" s="41">
        <f t="shared" si="95"/>
        <v>4</v>
      </c>
      <c r="AD231" s="60"/>
      <c r="AE231" s="60"/>
      <c r="AF231" s="61"/>
    </row>
    <row r="232" spans="13:32">
      <c r="M232" s="126"/>
      <c r="N232" s="66"/>
      <c r="O232" s="53"/>
      <c r="P232" s="41">
        <v>1</v>
      </c>
      <c r="Q232" s="40">
        <f ca="1">FLOOR((Q226-Q228*2^P228-Q229*2^P229-Q230*2^P230-Q231*2^P231)/(2^P232),1)</f>
        <v>1</v>
      </c>
      <c r="R232" s="40">
        <f ca="1">FLOOR((R226-R228*2^P228-R229*2^P229-R230*2^P230-R231*2^P231)/(2^P232),1)</f>
        <v>0</v>
      </c>
      <c r="S232" s="41">
        <f t="shared" si="94"/>
        <v>2</v>
      </c>
      <c r="T232" s="60"/>
      <c r="U232" s="60"/>
      <c r="V232" s="61"/>
      <c r="W232" s="127"/>
      <c r="X232" s="66"/>
      <c r="Y232" s="53"/>
      <c r="Z232" s="41">
        <v>1</v>
      </c>
      <c r="AA232" s="40">
        <f ca="1">FLOOR((AA226-AA228*2^Z228-AA229*2^Z229-AA230*2^Z230-AA231*2^Z231)/(2^Z232),1)</f>
        <v>0</v>
      </c>
      <c r="AB232" s="40">
        <f ca="1">FLOOR((AB226-AB228*2^Z228-AB229*2^Z229-AB230*2^Z230-AB231*2^Z231)/(2^Z232),1)</f>
        <v>0</v>
      </c>
      <c r="AC232" s="41">
        <f t="shared" si="95"/>
        <v>2</v>
      </c>
      <c r="AD232" s="60"/>
      <c r="AE232" s="60"/>
      <c r="AF232" s="61"/>
    </row>
    <row r="233" spans="13:32">
      <c r="M233" s="126"/>
      <c r="N233" s="66"/>
      <c r="O233" s="53"/>
      <c r="P233" s="41">
        <v>0</v>
      </c>
      <c r="Q233" s="40">
        <f ca="1">FLOOR((Q226-Q228*2^P228-Q229*2^P229-Q230*2^P230-Q231*2^P231-Q232*2^P232)/(2^P233),1)</f>
        <v>1</v>
      </c>
      <c r="R233" s="40">
        <f ca="1">FLOOR((R226-R228*2^P228-R229*2^P229-R230*2^P230-R231*2^P231-R232*2^P232)/(2^P233),1)</f>
        <v>1</v>
      </c>
      <c r="S233" s="41">
        <f t="shared" si="94"/>
        <v>1</v>
      </c>
      <c r="T233" s="60"/>
      <c r="U233" s="60"/>
      <c r="V233" s="61"/>
      <c r="W233" s="127"/>
      <c r="X233" s="66"/>
      <c r="Y233" s="53"/>
      <c r="Z233" s="41">
        <v>0</v>
      </c>
      <c r="AA233" s="40">
        <f ca="1">FLOOR((AA226-AA228*2^Z228-AA229*2^Z229-AA230*2^Z230-AA231*2^Z231-AA232*2^Z232)/(2^Z233),1)</f>
        <v>0</v>
      </c>
      <c r="AB233" s="40">
        <f ca="1">FLOOR((AB226-AB228*2^Z228-AB229*2^Z229-AB230*2^Z230-AB231*2^Z231-AB232*2^Z232)/(2^Z233),1)</f>
        <v>0</v>
      </c>
      <c r="AC233" s="41">
        <f t="shared" si="95"/>
        <v>1</v>
      </c>
      <c r="AD233" s="60"/>
      <c r="AE233" s="60"/>
      <c r="AF233" s="61"/>
    </row>
    <row r="234" spans="13:32">
      <c r="M234" s="126"/>
      <c r="N234" s="66"/>
      <c r="O234" s="53"/>
      <c r="P234" s="41"/>
      <c r="Q234" s="42" t="s">
        <v>108</v>
      </c>
      <c r="R234" s="42" t="s">
        <v>109</v>
      </c>
      <c r="S234" s="41"/>
      <c r="T234" s="60"/>
      <c r="U234" s="60"/>
      <c r="V234" s="61"/>
      <c r="W234" s="127"/>
      <c r="X234" s="66"/>
      <c r="Y234" s="53"/>
      <c r="Z234" s="41"/>
      <c r="AA234" s="42" t="s">
        <v>108</v>
      </c>
      <c r="AB234" s="42" t="s">
        <v>109</v>
      </c>
      <c r="AC234" s="41"/>
      <c r="AD234" s="60"/>
      <c r="AE234" s="60"/>
      <c r="AF234" s="61"/>
    </row>
    <row r="235" spans="13:32">
      <c r="M235" s="126"/>
      <c r="N235" s="66" t="s">
        <v>114</v>
      </c>
      <c r="O235" s="53"/>
      <c r="P235" s="41"/>
      <c r="Q235" s="44">
        <f ca="1">Q228*2^P228+Q229*2^P229+Q230*2^P230+Q231*2^P231+Q232*2^P232+Q233*2^P233</f>
        <v>7</v>
      </c>
      <c r="R235" s="44">
        <f ca="1">R228*2^P228+R229*2^P229+R230*2^P230+R231*2^P231+R232*2^P232+R233*2^P233</f>
        <v>33</v>
      </c>
      <c r="S235" s="41"/>
      <c r="T235" s="60"/>
      <c r="U235" s="60"/>
      <c r="V235" s="61"/>
      <c r="W235" s="127"/>
      <c r="X235" s="66" t="s">
        <v>114</v>
      </c>
      <c r="Y235" s="53"/>
      <c r="Z235" s="41"/>
      <c r="AA235" s="44">
        <f ca="1">AA228*2^Z228+AA229*2^Z229+AA230*2^Z230+AA231*2^Z231+AA232*2^Z232+AA233*2^Z233</f>
        <v>32</v>
      </c>
      <c r="AB235" s="44">
        <f ca="1">AB228*2^Z228+AB229*2^Z229+AB230*2^Z230+AB231*2^Z231+AB232*2^Z232+AB233*2^Z233</f>
        <v>40</v>
      </c>
      <c r="AC235" s="41"/>
      <c r="AD235" s="60"/>
      <c r="AE235" s="60"/>
      <c r="AF235" s="61"/>
    </row>
    <row r="236" spans="13:32">
      <c r="M236" s="126"/>
      <c r="N236" s="67"/>
      <c r="O236" s="60"/>
      <c r="P236" s="60"/>
      <c r="Q236" s="60"/>
      <c r="R236" s="60"/>
      <c r="S236" s="60"/>
      <c r="T236" s="60"/>
      <c r="U236" s="60"/>
      <c r="V236" s="61"/>
      <c r="W236" s="127"/>
      <c r="X236" s="67"/>
      <c r="Y236" s="60"/>
      <c r="Z236" s="60"/>
      <c r="AA236" s="60"/>
      <c r="AB236" s="60"/>
      <c r="AC236" s="60"/>
      <c r="AD236" s="60"/>
      <c r="AE236" s="60"/>
      <c r="AF236" s="61"/>
    </row>
    <row r="237" spans="13:32">
      <c r="M237" s="126"/>
      <c r="N237" s="68" t="s">
        <v>111</v>
      </c>
      <c r="O237" s="69"/>
      <c r="P237" s="69"/>
      <c r="Q237" s="69"/>
      <c r="R237" s="69"/>
      <c r="S237" s="69"/>
      <c r="T237" s="70">
        <f ca="1">FLOOR(O222*T225,1)</f>
        <v>2</v>
      </c>
      <c r="U237" s="60"/>
      <c r="V237" s="61"/>
      <c r="W237" s="127"/>
      <c r="X237" s="68" t="s">
        <v>111</v>
      </c>
      <c r="Y237" s="69"/>
      <c r="Z237" s="69"/>
      <c r="AA237" s="69"/>
      <c r="AB237" s="69"/>
      <c r="AC237" s="69"/>
      <c r="AD237" s="70">
        <f ca="1">FLOOR(Y222*AD225,1)</f>
        <v>0</v>
      </c>
      <c r="AE237" s="60"/>
      <c r="AF237" s="61"/>
    </row>
    <row r="238" spans="13:32">
      <c r="M238" s="126"/>
      <c r="N238" s="67" t="s">
        <v>112</v>
      </c>
      <c r="O238" s="60"/>
      <c r="P238" s="60"/>
      <c r="Q238" s="60"/>
      <c r="R238" s="60"/>
      <c r="S238" s="60"/>
      <c r="T238" s="60"/>
      <c r="U238" s="60"/>
      <c r="V238" s="61"/>
      <c r="W238" s="127"/>
      <c r="X238" s="67" t="s">
        <v>112</v>
      </c>
      <c r="Y238" s="60"/>
      <c r="Z238" s="60"/>
      <c r="AA238" s="60"/>
      <c r="AB238" s="60"/>
      <c r="AC238" s="60"/>
      <c r="AD238" s="60"/>
      <c r="AE238" s="60"/>
      <c r="AF238" s="61"/>
    </row>
    <row r="239" spans="13:32">
      <c r="M239" s="126"/>
      <c r="N239" s="67"/>
      <c r="O239" s="60"/>
      <c r="P239" s="60"/>
      <c r="Q239" s="60"/>
      <c r="R239" s="60"/>
      <c r="S239" s="60"/>
      <c r="T239" s="60"/>
      <c r="U239" s="60"/>
      <c r="V239" s="61"/>
      <c r="W239" s="127"/>
      <c r="X239" s="67"/>
      <c r="Y239" s="60"/>
      <c r="Z239" s="60"/>
      <c r="AA239" s="60"/>
      <c r="AB239" s="60"/>
      <c r="AC239" s="60"/>
      <c r="AD239" s="60"/>
      <c r="AE239" s="60"/>
      <c r="AF239" s="61"/>
    </row>
    <row r="240" spans="13:32">
      <c r="M240" s="126"/>
      <c r="N240" s="66" t="s">
        <v>113</v>
      </c>
      <c r="O240" s="53"/>
      <c r="P240" s="42" t="s">
        <v>103</v>
      </c>
      <c r="Q240" s="42"/>
      <c r="R240" s="42"/>
      <c r="S240" s="42" t="s">
        <v>104</v>
      </c>
      <c r="T240" s="60"/>
      <c r="U240" s="60"/>
      <c r="V240" s="61"/>
      <c r="W240" s="127"/>
      <c r="X240" s="66" t="s">
        <v>113</v>
      </c>
      <c r="Y240" s="53"/>
      <c r="Z240" s="42" t="s">
        <v>103</v>
      </c>
      <c r="AA240" s="42"/>
      <c r="AB240" s="42"/>
      <c r="AC240" s="42" t="s">
        <v>104</v>
      </c>
      <c r="AD240" s="60"/>
      <c r="AE240" s="60"/>
      <c r="AF240" s="61"/>
    </row>
    <row r="241" spans="13:32">
      <c r="M241" s="126"/>
      <c r="N241" s="66"/>
      <c r="O241" s="53"/>
      <c r="P241" s="41">
        <v>5</v>
      </c>
      <c r="Q241" s="40">
        <f ca="1">IF(T237&gt;=1,R228,Q228)</f>
        <v>1</v>
      </c>
      <c r="R241" s="40">
        <f ca="1">IF(T237&gt;=1,Q228,R228)</f>
        <v>0</v>
      </c>
      <c r="S241" s="41">
        <f>2^P241</f>
        <v>32</v>
      </c>
      <c r="T241" s="60"/>
      <c r="U241" s="60"/>
      <c r="V241" s="61"/>
      <c r="W241" s="127"/>
      <c r="X241" s="66"/>
      <c r="Y241" s="53"/>
      <c r="Z241" s="41">
        <v>5</v>
      </c>
      <c r="AA241" s="40">
        <f ca="1">IF(AD237&gt;=1,AB228,AA228)</f>
        <v>1</v>
      </c>
      <c r="AB241" s="40">
        <f ca="1">IF(AD237&gt;=1,AA228,AB228)</f>
        <v>1</v>
      </c>
      <c r="AC241" s="41">
        <f>2^Z241</f>
        <v>32</v>
      </c>
      <c r="AD241" s="60"/>
      <c r="AE241" s="60"/>
      <c r="AF241" s="61"/>
    </row>
    <row r="242" spans="13:32">
      <c r="M242" s="126"/>
      <c r="N242" s="66"/>
      <c r="O242" s="53"/>
      <c r="P242" s="41">
        <v>4</v>
      </c>
      <c r="Q242" s="40">
        <f ca="1">IF(T237&gt;=2,R229,Q229)</f>
        <v>0</v>
      </c>
      <c r="R242" s="40">
        <f ca="1">IF(T237&gt;=2,Q229,R229)</f>
        <v>0</v>
      </c>
      <c r="S242" s="41">
        <f t="shared" ref="S242:S246" si="96">2^P242</f>
        <v>16</v>
      </c>
      <c r="T242" s="60"/>
      <c r="U242" s="60"/>
      <c r="V242" s="61"/>
      <c r="W242" s="127"/>
      <c r="X242" s="66"/>
      <c r="Y242" s="53"/>
      <c r="Z242" s="41">
        <v>4</v>
      </c>
      <c r="AA242" s="40">
        <f ca="1">IF(AD237&gt;=2,AB229,AA229)</f>
        <v>0</v>
      </c>
      <c r="AB242" s="40">
        <f ca="1">IF(AD237&gt;=2,AA229,AB229)</f>
        <v>0</v>
      </c>
      <c r="AC242" s="41">
        <f t="shared" ref="AC242:AC246" si="97">2^Z242</f>
        <v>16</v>
      </c>
      <c r="AD242" s="60"/>
      <c r="AE242" s="60"/>
      <c r="AF242" s="61"/>
    </row>
    <row r="243" spans="13:32">
      <c r="M243" s="126"/>
      <c r="N243" s="66"/>
      <c r="O243" s="53"/>
      <c r="P243" s="41">
        <v>3</v>
      </c>
      <c r="Q243" s="40">
        <f ca="1">IF(T237&gt;=3,R230,Q230)</f>
        <v>0</v>
      </c>
      <c r="R243" s="40">
        <f ca="1">IF(T237&gt;=3,Q230,R230)</f>
        <v>0</v>
      </c>
      <c r="S243" s="41">
        <f t="shared" si="96"/>
        <v>8</v>
      </c>
      <c r="T243" s="60"/>
      <c r="U243" s="60"/>
      <c r="V243" s="61"/>
      <c r="W243" s="127"/>
      <c r="X243" s="66"/>
      <c r="Y243" s="53"/>
      <c r="Z243" s="41">
        <v>3</v>
      </c>
      <c r="AA243" s="40">
        <f ca="1">IF(AD237&gt;=3,AB230,AA230)</f>
        <v>0</v>
      </c>
      <c r="AB243" s="40">
        <f ca="1">IF(AD237&gt;=3,AA230,AB230)</f>
        <v>1</v>
      </c>
      <c r="AC243" s="41">
        <f t="shared" si="97"/>
        <v>8</v>
      </c>
      <c r="AD243" s="60"/>
      <c r="AE243" s="60"/>
      <c r="AF243" s="61"/>
    </row>
    <row r="244" spans="13:32">
      <c r="M244" s="126"/>
      <c r="N244" s="66"/>
      <c r="O244" s="53"/>
      <c r="P244" s="41">
        <v>2</v>
      </c>
      <c r="Q244" s="40">
        <f ca="1">IF(T237&gt;=4,R231,Q231)</f>
        <v>1</v>
      </c>
      <c r="R244" s="40">
        <f ca="1">IF(T237&gt;=4,Q231,R231)</f>
        <v>0</v>
      </c>
      <c r="S244" s="41">
        <f t="shared" si="96"/>
        <v>4</v>
      </c>
      <c r="T244" s="60"/>
      <c r="U244" s="60"/>
      <c r="V244" s="61"/>
      <c r="W244" s="127"/>
      <c r="X244" s="66"/>
      <c r="Y244" s="53"/>
      <c r="Z244" s="41">
        <v>2</v>
      </c>
      <c r="AA244" s="40">
        <f ca="1">IF(AD237&gt;=4,AB231,AA231)</f>
        <v>0</v>
      </c>
      <c r="AB244" s="40">
        <f ca="1">IF(AD237&gt;=4,AA231,AB231)</f>
        <v>0</v>
      </c>
      <c r="AC244" s="41">
        <f t="shared" si="97"/>
        <v>4</v>
      </c>
      <c r="AD244" s="60"/>
      <c r="AE244" s="60"/>
      <c r="AF244" s="61"/>
    </row>
    <row r="245" spans="13:32">
      <c r="M245" s="126"/>
      <c r="N245" s="66"/>
      <c r="O245" s="53"/>
      <c r="P245" s="41">
        <v>1</v>
      </c>
      <c r="Q245" s="40">
        <f ca="1">IF(T237&gt;=5,R232,Q232)</f>
        <v>1</v>
      </c>
      <c r="R245" s="40">
        <f ca="1">IF(T237&gt;=5,Q232,R232)</f>
        <v>0</v>
      </c>
      <c r="S245" s="41">
        <f t="shared" si="96"/>
        <v>2</v>
      </c>
      <c r="T245" s="60"/>
      <c r="U245" s="60"/>
      <c r="V245" s="61"/>
      <c r="W245" s="127"/>
      <c r="X245" s="66"/>
      <c r="Y245" s="53"/>
      <c r="Z245" s="41">
        <v>1</v>
      </c>
      <c r="AA245" s="40">
        <f ca="1">IF(AD237&gt;=5,AB232,AA232)</f>
        <v>0</v>
      </c>
      <c r="AB245" s="40">
        <f ca="1">IF(AD237&gt;=5,AA232,AB232)</f>
        <v>0</v>
      </c>
      <c r="AC245" s="41">
        <f t="shared" si="97"/>
        <v>2</v>
      </c>
      <c r="AD245" s="60"/>
      <c r="AE245" s="60"/>
      <c r="AF245" s="61"/>
    </row>
    <row r="246" spans="13:32">
      <c r="M246" s="126"/>
      <c r="N246" s="66"/>
      <c r="O246" s="53"/>
      <c r="P246" s="41">
        <v>0</v>
      </c>
      <c r="Q246" s="40">
        <f ca="1">IF(T237&gt;=6,R233,Q233)</f>
        <v>1</v>
      </c>
      <c r="R246" s="40">
        <f ca="1">IF(T237&gt;=6,Q233,R233)</f>
        <v>1</v>
      </c>
      <c r="S246" s="41">
        <f t="shared" si="96"/>
        <v>1</v>
      </c>
      <c r="T246" s="60"/>
      <c r="U246" s="60"/>
      <c r="V246" s="61"/>
      <c r="W246" s="127"/>
      <c r="X246" s="66"/>
      <c r="Y246" s="53"/>
      <c r="Z246" s="41">
        <v>0</v>
      </c>
      <c r="AA246" s="40">
        <f ca="1">IF(AD237&gt;=6,AB233,AA233)</f>
        <v>0</v>
      </c>
      <c r="AB246" s="40">
        <f ca="1">IF(AD237&gt;=6,AA233,AB233)</f>
        <v>0</v>
      </c>
      <c r="AC246" s="41">
        <f t="shared" si="97"/>
        <v>1</v>
      </c>
      <c r="AD246" s="60"/>
      <c r="AE246" s="60"/>
      <c r="AF246" s="61"/>
    </row>
    <row r="247" spans="13:32">
      <c r="M247" s="126"/>
      <c r="N247" s="66"/>
      <c r="O247" s="53"/>
      <c r="P247" s="41"/>
      <c r="Q247" s="42" t="s">
        <v>108</v>
      </c>
      <c r="R247" s="42" t="s">
        <v>109</v>
      </c>
      <c r="S247" s="41"/>
      <c r="T247" s="60"/>
      <c r="U247" s="60"/>
      <c r="V247" s="61"/>
      <c r="W247" s="127"/>
      <c r="X247" s="66"/>
      <c r="Y247" s="53"/>
      <c r="Z247" s="41"/>
      <c r="AA247" s="42" t="s">
        <v>108</v>
      </c>
      <c r="AB247" s="42" t="s">
        <v>109</v>
      </c>
      <c r="AC247" s="41"/>
      <c r="AD247" s="60"/>
      <c r="AE247" s="60"/>
      <c r="AF247" s="61"/>
    </row>
    <row r="248" spans="13:32">
      <c r="M248" s="126"/>
      <c r="N248" s="66" t="s">
        <v>114</v>
      </c>
      <c r="O248" s="53"/>
      <c r="P248" s="41"/>
      <c r="Q248" s="44">
        <f ca="1">Q241*2^P241+Q242*2^P242+Q243*2^P243+Q244*2^P244+Q245*2^P245+Q246*2^P246</f>
        <v>39</v>
      </c>
      <c r="R248" s="44">
        <f ca="1">R241*2^P241+R242*2^P242+R243*2^P243+R244*2^P244+R245*2^P245+R246*2^P246</f>
        <v>1</v>
      </c>
      <c r="S248" s="41"/>
      <c r="T248" s="60"/>
      <c r="U248" s="60"/>
      <c r="V248" s="61"/>
      <c r="W248" s="127"/>
      <c r="X248" s="66" t="s">
        <v>114</v>
      </c>
      <c r="Y248" s="53"/>
      <c r="Z248" s="41"/>
      <c r="AA248" s="44">
        <f ca="1">AA241*2^Z241+AA242*2^Z242+AA243*2^Z243+AA244*2^Z244+AA245*2^Z245+AA246*2^Z246</f>
        <v>32</v>
      </c>
      <c r="AB248" s="44">
        <f ca="1">AB241*2^Z241+AB242*2^Z242+AB243*2^Z243+AB244*2^Z244+AB245*2^Z245+AB246*2^Z246</f>
        <v>40</v>
      </c>
      <c r="AC248" s="41"/>
      <c r="AD248" s="60"/>
      <c r="AE248" s="60"/>
      <c r="AF248" s="61"/>
    </row>
    <row r="249" spans="13:32">
      <c r="M249" s="126"/>
      <c r="N249" s="67"/>
      <c r="O249" s="60"/>
      <c r="P249" s="60"/>
      <c r="Q249" s="60"/>
      <c r="R249" s="60"/>
      <c r="S249" s="60"/>
      <c r="T249" s="60"/>
      <c r="U249" s="60"/>
      <c r="V249" s="61"/>
      <c r="W249" s="127"/>
      <c r="X249" s="67"/>
      <c r="Y249" s="60"/>
      <c r="Z249" s="60"/>
      <c r="AA249" s="60"/>
      <c r="AB249" s="60"/>
      <c r="AC249" s="60"/>
      <c r="AD249" s="60"/>
      <c r="AE249" s="60"/>
      <c r="AF249" s="61"/>
    </row>
    <row r="250" spans="13:32">
      <c r="M250" s="126"/>
      <c r="N250" s="68" t="s">
        <v>115</v>
      </c>
      <c r="O250" s="69"/>
      <c r="P250" s="69"/>
      <c r="Q250" s="69"/>
      <c r="R250" s="69"/>
      <c r="S250" s="69"/>
      <c r="T250" s="69"/>
      <c r="U250" s="70">
        <f ca="1">FLOOR(O222*U225,1)</f>
        <v>5</v>
      </c>
      <c r="V250" s="71">
        <f ca="1">FLOOR(O222*V225,1)</f>
        <v>0</v>
      </c>
      <c r="W250" s="127"/>
      <c r="X250" s="68" t="s">
        <v>115</v>
      </c>
      <c r="Y250" s="69"/>
      <c r="Z250" s="69"/>
      <c r="AA250" s="69"/>
      <c r="AB250" s="69"/>
      <c r="AC250" s="69"/>
      <c r="AD250" s="69"/>
      <c r="AE250" s="70">
        <f ca="1">FLOOR(Y222*AE225,1)</f>
        <v>4</v>
      </c>
      <c r="AF250" s="71">
        <f ca="1">FLOOR(Y222*AF225,1)</f>
        <v>3</v>
      </c>
    </row>
    <row r="251" spans="13:32">
      <c r="M251" s="126"/>
      <c r="N251" s="67"/>
      <c r="O251" s="60"/>
      <c r="P251" s="60"/>
      <c r="Q251" s="60"/>
      <c r="R251" s="60"/>
      <c r="S251" s="60"/>
      <c r="T251" s="60"/>
      <c r="U251" s="60"/>
      <c r="V251" s="61"/>
      <c r="W251" s="127"/>
      <c r="X251" s="67"/>
      <c r="Y251" s="60"/>
      <c r="Z251" s="60"/>
      <c r="AA251" s="60"/>
      <c r="AB251" s="60"/>
      <c r="AC251" s="60"/>
      <c r="AD251" s="60"/>
      <c r="AE251" s="60"/>
      <c r="AF251" s="61"/>
    </row>
    <row r="252" spans="13:32">
      <c r="M252" s="126"/>
      <c r="N252" s="67"/>
      <c r="O252" s="60"/>
      <c r="P252" s="60"/>
      <c r="Q252" s="60"/>
      <c r="R252" s="60"/>
      <c r="S252" s="60"/>
      <c r="T252" s="60"/>
      <c r="U252" s="60"/>
      <c r="V252" s="61"/>
      <c r="W252" s="127"/>
      <c r="X252" s="67"/>
      <c r="Y252" s="60"/>
      <c r="Z252" s="60"/>
      <c r="AA252" s="60"/>
      <c r="AB252" s="60"/>
      <c r="AC252" s="60"/>
      <c r="AD252" s="60"/>
      <c r="AE252" s="60"/>
      <c r="AF252" s="61"/>
    </row>
    <row r="253" spans="13:32">
      <c r="M253" s="126"/>
      <c r="N253" s="67"/>
      <c r="O253" s="60"/>
      <c r="P253" s="42" t="s">
        <v>103</v>
      </c>
      <c r="Q253" s="42"/>
      <c r="R253" s="42"/>
      <c r="S253" s="42" t="s">
        <v>104</v>
      </c>
      <c r="T253" s="60"/>
      <c r="U253" s="60"/>
      <c r="V253" s="61"/>
      <c r="W253" s="127"/>
      <c r="X253" s="67"/>
      <c r="Y253" s="60"/>
      <c r="Z253" s="42" t="s">
        <v>103</v>
      </c>
      <c r="AA253" s="42"/>
      <c r="AB253" s="42"/>
      <c r="AC253" s="42" t="s">
        <v>104</v>
      </c>
      <c r="AD253" s="60"/>
      <c r="AE253" s="60"/>
      <c r="AF253" s="61"/>
    </row>
    <row r="254" spans="13:32">
      <c r="M254" s="126"/>
      <c r="N254" s="67"/>
      <c r="O254" s="60"/>
      <c r="P254" s="41">
        <v>5</v>
      </c>
      <c r="Q254" s="40">
        <f ca="1">IF(U250=1,IF(Q241=1,0,1),Q241)</f>
        <v>1</v>
      </c>
      <c r="R254" s="40">
        <f ca="1">IF(V250=1,IF(R241=1,0,1),R241)</f>
        <v>0</v>
      </c>
      <c r="S254" s="41">
        <f>2^P254</f>
        <v>32</v>
      </c>
      <c r="T254" s="60"/>
      <c r="U254" s="60"/>
      <c r="V254" s="61"/>
      <c r="W254" s="127"/>
      <c r="X254" s="67"/>
      <c r="Y254" s="60"/>
      <c r="Z254" s="41">
        <v>5</v>
      </c>
      <c r="AA254" s="40">
        <f ca="1">IF(AE250=1,IF(AA241=1,0,1),AA241)</f>
        <v>1</v>
      </c>
      <c r="AB254" s="40">
        <f ca="1">IF(AF250=1,IF(AB241=1,0,1),AB241)</f>
        <v>1</v>
      </c>
      <c r="AC254" s="41">
        <f>2^Z254</f>
        <v>32</v>
      </c>
      <c r="AD254" s="60"/>
      <c r="AE254" s="60"/>
      <c r="AF254" s="61"/>
    </row>
    <row r="255" spans="13:32">
      <c r="M255" s="126"/>
      <c r="N255" s="67"/>
      <c r="O255" s="60"/>
      <c r="P255" s="41">
        <v>4</v>
      </c>
      <c r="Q255" s="40">
        <f ca="1">IF(U250=2,IF(Q242=1,0,1),Q242)</f>
        <v>0</v>
      </c>
      <c r="R255" s="40">
        <f ca="1">IF(V250=2,IF(R242=1,0,1),R242)</f>
        <v>0</v>
      </c>
      <c r="S255" s="41">
        <f t="shared" ref="S255:S259" si="98">2^P255</f>
        <v>16</v>
      </c>
      <c r="T255" s="60"/>
      <c r="U255" s="60"/>
      <c r="V255" s="61"/>
      <c r="W255" s="127"/>
      <c r="X255" s="67"/>
      <c r="Y255" s="60"/>
      <c r="Z255" s="41">
        <v>4</v>
      </c>
      <c r="AA255" s="40">
        <f ca="1">IF(AE250=2,IF(AA242=1,0,1),AA242)</f>
        <v>0</v>
      </c>
      <c r="AB255" s="40">
        <f ca="1">IF(AF250=2,IF(AB242=1,0,1),AB242)</f>
        <v>0</v>
      </c>
      <c r="AC255" s="41">
        <f t="shared" ref="AC255:AC259" si="99">2^Z255</f>
        <v>16</v>
      </c>
      <c r="AD255" s="60"/>
      <c r="AE255" s="60"/>
      <c r="AF255" s="61"/>
    </row>
    <row r="256" spans="13:32">
      <c r="M256" s="126"/>
      <c r="N256" s="67"/>
      <c r="O256" s="60"/>
      <c r="P256" s="41">
        <v>3</v>
      </c>
      <c r="Q256" s="40">
        <f ca="1">IF(U250=3,IF(Q243=1,0,1),Q243)</f>
        <v>0</v>
      </c>
      <c r="R256" s="40">
        <f ca="1">IF(V250=3,IF(R243=1,0,1),R243)</f>
        <v>0</v>
      </c>
      <c r="S256" s="41">
        <f t="shared" si="98"/>
        <v>8</v>
      </c>
      <c r="T256" s="60"/>
      <c r="U256" s="60"/>
      <c r="V256" s="61"/>
      <c r="W256" s="127"/>
      <c r="X256" s="67"/>
      <c r="Y256" s="60"/>
      <c r="Z256" s="41">
        <v>3</v>
      </c>
      <c r="AA256" s="40">
        <f ca="1">IF(AE250=3,IF(AA243=1,0,1),AA243)</f>
        <v>0</v>
      </c>
      <c r="AB256" s="40">
        <f ca="1">IF(AF250=3,IF(AB243=1,0,1),AB243)</f>
        <v>0</v>
      </c>
      <c r="AC256" s="41">
        <f t="shared" si="99"/>
        <v>8</v>
      </c>
      <c r="AD256" s="60"/>
      <c r="AE256" s="60"/>
      <c r="AF256" s="61"/>
    </row>
    <row r="257" spans="13:32">
      <c r="M257" s="126"/>
      <c r="N257" s="67"/>
      <c r="O257" s="60"/>
      <c r="P257" s="41">
        <v>2</v>
      </c>
      <c r="Q257" s="40">
        <f ca="1">IF(U250=4,IF(Q244=1,0,1),Q244)</f>
        <v>1</v>
      </c>
      <c r="R257" s="40">
        <f ca="1">IF(V250=4,IF(R244=1,0,1),R244)</f>
        <v>0</v>
      </c>
      <c r="S257" s="41">
        <f t="shared" si="98"/>
        <v>4</v>
      </c>
      <c r="T257" s="60"/>
      <c r="U257" s="60"/>
      <c r="V257" s="61"/>
      <c r="W257" s="127"/>
      <c r="X257" s="67"/>
      <c r="Y257" s="60"/>
      <c r="Z257" s="41">
        <v>2</v>
      </c>
      <c r="AA257" s="40">
        <f ca="1">IF(AE250=4,IF(AA244=1,0,1),AA244)</f>
        <v>1</v>
      </c>
      <c r="AB257" s="40">
        <f ca="1">IF(AF250=4,IF(AB244=1,0,1),AB244)</f>
        <v>0</v>
      </c>
      <c r="AC257" s="41">
        <f t="shared" si="99"/>
        <v>4</v>
      </c>
      <c r="AD257" s="60"/>
      <c r="AE257" s="60"/>
      <c r="AF257" s="61"/>
    </row>
    <row r="258" spans="13:32">
      <c r="M258" s="126"/>
      <c r="N258" s="67"/>
      <c r="O258" s="60"/>
      <c r="P258" s="41">
        <v>1</v>
      </c>
      <c r="Q258" s="40">
        <f ca="1">IF(U250=5,IF(Q245=1,0,1),Q245)</f>
        <v>0</v>
      </c>
      <c r="R258" s="40">
        <f ca="1">IF(V250=5,IF(R245=1,0,1),R245)</f>
        <v>0</v>
      </c>
      <c r="S258" s="41">
        <f t="shared" si="98"/>
        <v>2</v>
      </c>
      <c r="T258" s="60"/>
      <c r="U258" s="60"/>
      <c r="V258" s="61"/>
      <c r="W258" s="127"/>
      <c r="X258" s="67"/>
      <c r="Y258" s="60"/>
      <c r="Z258" s="41">
        <v>1</v>
      </c>
      <c r="AA258" s="40">
        <f ca="1">IF(AE250=5,IF(AA245=1,0,1),AA245)</f>
        <v>0</v>
      </c>
      <c r="AB258" s="40">
        <f ca="1">IF(AF250=5,IF(AB245=1,0,1),AB245)</f>
        <v>0</v>
      </c>
      <c r="AC258" s="41">
        <f t="shared" si="99"/>
        <v>2</v>
      </c>
      <c r="AD258" s="60"/>
      <c r="AE258" s="60"/>
      <c r="AF258" s="61"/>
    </row>
    <row r="259" spans="13:32">
      <c r="M259" s="126"/>
      <c r="N259" s="67"/>
      <c r="O259" s="60"/>
      <c r="P259" s="41">
        <v>0</v>
      </c>
      <c r="Q259" s="40">
        <f ca="1">IF(U250=6,IF(Q246=1,0,1),Q246)</f>
        <v>1</v>
      </c>
      <c r="R259" s="40">
        <f ca="1">IF(V250=6,IF(R246=1,0,1),R246)</f>
        <v>1</v>
      </c>
      <c r="S259" s="41">
        <f t="shared" si="98"/>
        <v>1</v>
      </c>
      <c r="T259" s="60"/>
      <c r="U259" s="60"/>
      <c r="V259" s="61"/>
      <c r="W259" s="127"/>
      <c r="X259" s="67"/>
      <c r="Y259" s="60"/>
      <c r="Z259" s="41">
        <v>0</v>
      </c>
      <c r="AA259" s="40">
        <f ca="1">IF(AE250=6,IF(AA246=1,0,1),AA246)</f>
        <v>0</v>
      </c>
      <c r="AB259" s="40">
        <f ca="1">IF(AF250=6,IF(AB246=1,0,1),AB246)</f>
        <v>0</v>
      </c>
      <c r="AC259" s="41">
        <f t="shared" si="99"/>
        <v>1</v>
      </c>
      <c r="AD259" s="60"/>
      <c r="AE259" s="60"/>
      <c r="AF259" s="61"/>
    </row>
    <row r="260" spans="13:32">
      <c r="M260" s="126"/>
      <c r="N260" s="67"/>
      <c r="O260" s="60"/>
      <c r="P260" s="41"/>
      <c r="Q260" s="42" t="s">
        <v>108</v>
      </c>
      <c r="R260" s="42" t="s">
        <v>109</v>
      </c>
      <c r="S260" s="41"/>
      <c r="T260" s="60"/>
      <c r="U260" s="60"/>
      <c r="V260" s="61"/>
      <c r="W260" s="127"/>
      <c r="X260" s="67"/>
      <c r="Y260" s="60"/>
      <c r="Z260" s="41"/>
      <c r="AA260" s="42" t="s">
        <v>108</v>
      </c>
      <c r="AB260" s="42" t="s">
        <v>109</v>
      </c>
      <c r="AC260" s="41"/>
      <c r="AD260" s="60"/>
      <c r="AE260" s="60"/>
      <c r="AF260" s="61"/>
    </row>
    <row r="261" spans="13:32">
      <c r="M261" s="126"/>
      <c r="N261" s="67"/>
      <c r="O261" s="60"/>
      <c r="P261" s="41"/>
      <c r="Q261" s="44">
        <f ca="1">Q254*2^P254+Q255*2^P255+Q256*2^P256+Q257*2^P257+Q258*2^P258+Q259*2^P259</f>
        <v>37</v>
      </c>
      <c r="R261" s="44">
        <f ca="1">R254*2^P254+R255*2^P255+R256*2^P256+R257*2^P257+R258*2^P258+R259*2^P259</f>
        <v>1</v>
      </c>
      <c r="S261" s="41"/>
      <c r="T261" s="60"/>
      <c r="U261" s="60"/>
      <c r="V261" s="61"/>
      <c r="W261" s="127"/>
      <c r="X261" s="67"/>
      <c r="Y261" s="60"/>
      <c r="Z261" s="41"/>
      <c r="AA261" s="44">
        <f ca="1">AA254*2^Z254+AA255*2^Z255+AA256*2^Z256+AA257*2^Z257+AA258*2^Z258+AA259*2^Z259</f>
        <v>36</v>
      </c>
      <c r="AB261" s="44">
        <f ca="1">AB254*2^Z254+AB255*2^Z255+AB256*2^Z256+AB257*2^Z257+AB258*2^Z258+AB259*2^Z259</f>
        <v>32</v>
      </c>
      <c r="AC261" s="41"/>
      <c r="AD261" s="60"/>
      <c r="AE261" s="60"/>
      <c r="AF261" s="61"/>
    </row>
    <row r="262" spans="13:32">
      <c r="M262" s="126"/>
      <c r="N262" s="67"/>
      <c r="O262" s="60"/>
      <c r="P262" s="60"/>
      <c r="Q262" s="60"/>
      <c r="R262" s="60"/>
      <c r="S262" s="60"/>
      <c r="T262" s="60"/>
      <c r="U262" s="60"/>
      <c r="V262" s="61"/>
      <c r="W262" s="127"/>
      <c r="X262" s="67"/>
      <c r="Y262" s="60"/>
      <c r="Z262" s="60"/>
      <c r="AA262" s="60"/>
      <c r="AB262" s="60"/>
      <c r="AC262" s="60"/>
      <c r="AD262" s="60"/>
      <c r="AE262" s="60"/>
      <c r="AF262" s="61"/>
    </row>
    <row r="263" spans="13:32">
      <c r="M263" s="126"/>
      <c r="N263" s="72" t="s">
        <v>116</v>
      </c>
      <c r="O263" s="73"/>
      <c r="P263" s="73"/>
      <c r="Q263" s="74">
        <f ca="1">(Q261/P223)*(S225-P225)+P225</f>
        <v>0.87301587301587347</v>
      </c>
      <c r="R263" s="74">
        <f ca="1">(R261/P223)*(S225-P225)+P225</f>
        <v>-4.8412698412698409</v>
      </c>
      <c r="S263" s="75"/>
      <c r="T263" s="75"/>
      <c r="U263" s="75"/>
      <c r="V263" s="76"/>
      <c r="W263" s="127"/>
      <c r="X263" s="72" t="s">
        <v>116</v>
      </c>
      <c r="Y263" s="73"/>
      <c r="Z263" s="73"/>
      <c r="AA263" s="74">
        <f ca="1">(AA261/Z223)*(AC225-Z225)+Z225</f>
        <v>0.71428571428571352</v>
      </c>
      <c r="AB263" s="74">
        <f ca="1">(AB261/Z223)*(AC225-Z225)+Z225</f>
        <v>7.9365079365079083E-2</v>
      </c>
      <c r="AC263" s="75"/>
      <c r="AD263" s="75"/>
      <c r="AE263" s="75"/>
      <c r="AF263" s="76"/>
    </row>
    <row r="264" spans="13:32">
      <c r="M264" s="126"/>
      <c r="N264" s="122" t="s">
        <v>155</v>
      </c>
      <c r="O264" s="123"/>
      <c r="P264" s="123"/>
      <c r="Q264" s="123"/>
      <c r="R264" s="123"/>
      <c r="S264" s="123"/>
      <c r="T264" s="123"/>
      <c r="U264" s="123"/>
      <c r="V264" s="124"/>
      <c r="W264" s="127"/>
      <c r="X264" s="122" t="s">
        <v>155</v>
      </c>
      <c r="Y264" s="123"/>
      <c r="Z264" s="123"/>
      <c r="AA264" s="123"/>
      <c r="AB264" s="123"/>
      <c r="AC264" s="123"/>
      <c r="AD264" s="123"/>
      <c r="AE264" s="123"/>
      <c r="AF264" s="124"/>
    </row>
    <row r="265" spans="13:32">
      <c r="M265" s="126"/>
      <c r="N265" s="59" t="s">
        <v>100</v>
      </c>
      <c r="O265" s="60">
        <v>6</v>
      </c>
      <c r="P265" s="60"/>
      <c r="Q265" s="60"/>
      <c r="R265" s="60"/>
      <c r="S265" s="60"/>
      <c r="T265" s="60"/>
      <c r="U265" s="60"/>
      <c r="V265" s="61"/>
      <c r="W265" s="127"/>
      <c r="X265" s="59" t="s">
        <v>100</v>
      </c>
      <c r="Y265" s="60">
        <v>6</v>
      </c>
      <c r="Z265" s="60"/>
      <c r="AA265" s="60"/>
      <c r="AB265" s="60"/>
      <c r="AC265" s="60"/>
      <c r="AD265" s="60"/>
      <c r="AE265" s="60"/>
      <c r="AF265" s="61"/>
    </row>
    <row r="266" spans="13:32" ht="30">
      <c r="M266" s="126"/>
      <c r="N266" s="59" t="s">
        <v>101</v>
      </c>
      <c r="O266" s="60">
        <v>0</v>
      </c>
      <c r="P266" s="60">
        <f>(2^O265)-1</f>
        <v>63</v>
      </c>
      <c r="Q266" s="60"/>
      <c r="R266" s="60"/>
      <c r="S266" s="60"/>
      <c r="T266" s="60"/>
      <c r="U266" s="60"/>
      <c r="V266" s="61"/>
      <c r="W266" s="127"/>
      <c r="X266" s="59" t="s">
        <v>101</v>
      </c>
      <c r="Y266" s="60">
        <v>0</v>
      </c>
      <c r="Z266" s="60">
        <f>(2^Y265)-1</f>
        <v>63</v>
      </c>
      <c r="AA266" s="60"/>
      <c r="AB266" s="60"/>
      <c r="AC266" s="60"/>
      <c r="AD266" s="60"/>
      <c r="AE266" s="60"/>
      <c r="AF266" s="61"/>
    </row>
    <row r="267" spans="13:32">
      <c r="M267" s="126"/>
      <c r="N267" s="62" t="s">
        <v>72</v>
      </c>
      <c r="O267" s="4" t="s">
        <v>73</v>
      </c>
      <c r="P267" s="4" t="s">
        <v>91</v>
      </c>
      <c r="Q267" s="4" t="s">
        <v>155</v>
      </c>
      <c r="R267" s="4" t="s">
        <v>156</v>
      </c>
      <c r="S267" s="4" t="s">
        <v>94</v>
      </c>
      <c r="T267" s="4" t="s">
        <v>95</v>
      </c>
      <c r="U267" s="4" t="s">
        <v>96</v>
      </c>
      <c r="V267" s="63" t="s">
        <v>97</v>
      </c>
      <c r="W267" s="127"/>
      <c r="X267" s="62" t="s">
        <v>72</v>
      </c>
      <c r="Y267" s="4" t="s">
        <v>73</v>
      </c>
      <c r="Z267" s="4" t="s">
        <v>91</v>
      </c>
      <c r="AA267" s="4" t="s">
        <v>155</v>
      </c>
      <c r="AB267" s="4" t="s">
        <v>156</v>
      </c>
      <c r="AC267" s="4" t="s">
        <v>94</v>
      </c>
      <c r="AD267" s="4" t="s">
        <v>95</v>
      </c>
      <c r="AE267" s="4" t="s">
        <v>96</v>
      </c>
      <c r="AF267" s="63" t="s">
        <v>97</v>
      </c>
    </row>
    <row r="268" spans="13:32">
      <c r="M268" s="126"/>
      <c r="N268" s="64" t="s">
        <v>1</v>
      </c>
      <c r="O268" s="53"/>
      <c r="P268" s="53">
        <v>-5</v>
      </c>
      <c r="Q268" s="65">
        <f ca="1">E44</f>
        <v>-3.7573898508751693</v>
      </c>
      <c r="R268" s="65">
        <f ca="1">F44</f>
        <v>0.38224804589572425</v>
      </c>
      <c r="S268" s="53">
        <v>5</v>
      </c>
      <c r="T268" s="53">
        <f ca="1">RAND()</f>
        <v>0.70672561303936277</v>
      </c>
      <c r="U268" s="53">
        <f t="shared" ref="U268:V268" ca="1" si="100">RAND()</f>
        <v>0.86143880542715257</v>
      </c>
      <c r="V268" s="28">
        <f t="shared" ca="1" si="100"/>
        <v>0.65932715970022748</v>
      </c>
      <c r="W268" s="127"/>
      <c r="X268" s="64" t="s">
        <v>1</v>
      </c>
      <c r="Y268" s="53"/>
      <c r="Z268" s="53">
        <v>-5</v>
      </c>
      <c r="AA268" s="65">
        <f ca="1">E83</f>
        <v>-0.87301587301587347</v>
      </c>
      <c r="AB268" s="65">
        <f ca="1">F83</f>
        <v>0.23809523809523814</v>
      </c>
      <c r="AC268" s="53">
        <v>5</v>
      </c>
      <c r="AD268" s="53">
        <f ca="1">RAND()</f>
        <v>0.17474164689725302</v>
      </c>
      <c r="AE268" s="53">
        <f t="shared" ref="AE268:AF268" ca="1" si="101">RAND()</f>
        <v>0.35155503121018816</v>
      </c>
      <c r="AF268" s="28">
        <f t="shared" ca="1" si="101"/>
        <v>0.92244267094363064</v>
      </c>
    </row>
    <row r="269" spans="13:32" ht="30">
      <c r="M269" s="126"/>
      <c r="N269" s="59" t="s">
        <v>110</v>
      </c>
      <c r="O269" s="60"/>
      <c r="P269" s="60"/>
      <c r="Q269" s="60">
        <f ca="1">(ABS(Q268-P268)/(S268-P268))*(P266-O266)</f>
        <v>7.8284439394864327</v>
      </c>
      <c r="R269" s="60">
        <f ca="1">(ABS(R268-P268)/(S268-P268))*(P266-O266)</f>
        <v>33.908162689143062</v>
      </c>
      <c r="S269" s="60"/>
      <c r="T269" s="60"/>
      <c r="U269" s="60"/>
      <c r="V269" s="61"/>
      <c r="W269" s="127"/>
      <c r="X269" s="59" t="s">
        <v>110</v>
      </c>
      <c r="Y269" s="60"/>
      <c r="Z269" s="60"/>
      <c r="AA269" s="60">
        <f ca="1">(ABS(AA268-Z268)/(AC268-Z268))*(Z266-Y266)</f>
        <v>26</v>
      </c>
      <c r="AB269" s="60">
        <f ca="1">(ABS(AB268-Z268)/(AC268-Z268))*(Z266-Y266)</f>
        <v>33</v>
      </c>
      <c r="AC269" s="60"/>
      <c r="AD269" s="60"/>
      <c r="AE269" s="60"/>
      <c r="AF269" s="61"/>
    </row>
    <row r="270" spans="13:32">
      <c r="M270" s="126"/>
      <c r="N270" s="66"/>
      <c r="O270" s="53"/>
      <c r="P270" s="42" t="s">
        <v>103</v>
      </c>
      <c r="Q270" s="42"/>
      <c r="R270" s="42"/>
      <c r="S270" s="42" t="s">
        <v>104</v>
      </c>
      <c r="T270" s="60"/>
      <c r="U270" s="60"/>
      <c r="V270" s="61"/>
      <c r="W270" s="127"/>
      <c r="X270" s="66"/>
      <c r="Y270" s="53"/>
      <c r="Z270" s="42" t="s">
        <v>103</v>
      </c>
      <c r="AA270" s="42"/>
      <c r="AB270" s="42"/>
      <c r="AC270" s="42" t="s">
        <v>104</v>
      </c>
      <c r="AD270" s="60"/>
      <c r="AE270" s="60"/>
      <c r="AF270" s="61"/>
    </row>
    <row r="271" spans="13:32">
      <c r="M271" s="126"/>
      <c r="N271" s="66" t="s">
        <v>102</v>
      </c>
      <c r="O271" s="53"/>
      <c r="P271" s="41">
        <v>5</v>
      </c>
      <c r="Q271" s="40">
        <f ca="1">FLOOR(Q269/2^P271,1)</f>
        <v>0</v>
      </c>
      <c r="R271" s="40">
        <f ca="1">FLOOR(R269/2^P271,1)</f>
        <v>1</v>
      </c>
      <c r="S271" s="41">
        <f>2^P271</f>
        <v>32</v>
      </c>
      <c r="T271" s="60"/>
      <c r="U271" s="60"/>
      <c r="V271" s="61"/>
      <c r="W271" s="127"/>
      <c r="X271" s="66" t="s">
        <v>102</v>
      </c>
      <c r="Y271" s="53"/>
      <c r="Z271" s="41">
        <v>5</v>
      </c>
      <c r="AA271" s="40">
        <f ca="1">FLOOR(AA269/2^Z271,1)</f>
        <v>0</v>
      </c>
      <c r="AB271" s="40">
        <f ca="1">FLOOR(AB269/2^Z271,1)</f>
        <v>1</v>
      </c>
      <c r="AC271" s="41">
        <f>2^Z271</f>
        <v>32</v>
      </c>
      <c r="AD271" s="60"/>
      <c r="AE271" s="60"/>
      <c r="AF271" s="61"/>
    </row>
    <row r="272" spans="13:32">
      <c r="M272" s="126"/>
      <c r="N272" s="66" t="s">
        <v>105</v>
      </c>
      <c r="O272" s="53"/>
      <c r="P272" s="41">
        <v>4</v>
      </c>
      <c r="Q272" s="40">
        <f ca="1">FLOOR((Q269-Q271*2^P271)/(2^P272),1)</f>
        <v>0</v>
      </c>
      <c r="R272" s="40">
        <f ca="1">FLOOR((R269-R271*2^P271)/(2^P272),1)</f>
        <v>0</v>
      </c>
      <c r="S272" s="41">
        <f t="shared" ref="S272:S276" si="102">2^P272</f>
        <v>16</v>
      </c>
      <c r="T272" s="60"/>
      <c r="U272" s="60"/>
      <c r="V272" s="61"/>
      <c r="W272" s="127"/>
      <c r="X272" s="66" t="s">
        <v>105</v>
      </c>
      <c r="Y272" s="53"/>
      <c r="Z272" s="41">
        <v>4</v>
      </c>
      <c r="AA272" s="40">
        <f ca="1">FLOOR((AA269-AA271*2^Z271)/(2^Z272),1)</f>
        <v>1</v>
      </c>
      <c r="AB272" s="40">
        <f ca="1">FLOOR((AB269-AB271*2^Z271)/(2^Z272),1)</f>
        <v>0</v>
      </c>
      <c r="AC272" s="41">
        <f t="shared" ref="AC272:AC276" si="103">2^Z272</f>
        <v>16</v>
      </c>
      <c r="AD272" s="60"/>
      <c r="AE272" s="60"/>
      <c r="AF272" s="61"/>
    </row>
    <row r="273" spans="13:32">
      <c r="M273" s="126"/>
      <c r="N273" s="66" t="s">
        <v>106</v>
      </c>
      <c r="O273" s="53"/>
      <c r="P273" s="41">
        <v>3</v>
      </c>
      <c r="Q273" s="40">
        <f ca="1">FLOOR((Q269-Q271*2^P271-Q272*2^P272)/(2^P273),1)</f>
        <v>0</v>
      </c>
      <c r="R273" s="40">
        <f ca="1">FLOOR((R269-R271*2^P271-R272*2^P272)/(2^P273),1)</f>
        <v>0</v>
      </c>
      <c r="S273" s="41">
        <f t="shared" si="102"/>
        <v>8</v>
      </c>
      <c r="T273" s="60"/>
      <c r="U273" s="60"/>
      <c r="V273" s="61"/>
      <c r="W273" s="127"/>
      <c r="X273" s="66" t="s">
        <v>106</v>
      </c>
      <c r="Y273" s="53"/>
      <c r="Z273" s="41">
        <v>3</v>
      </c>
      <c r="AA273" s="40">
        <f ca="1">FLOOR((AA269-AA271*2^Z271-AA272*2^Z272)/(2^Z273),1)</f>
        <v>1</v>
      </c>
      <c r="AB273" s="40">
        <f ca="1">FLOOR((AB269-AB271*2^Z271-AB272*2^Z272)/(2^Z273),1)</f>
        <v>0</v>
      </c>
      <c r="AC273" s="41">
        <f t="shared" si="103"/>
        <v>8</v>
      </c>
      <c r="AD273" s="60"/>
      <c r="AE273" s="60"/>
      <c r="AF273" s="61"/>
    </row>
    <row r="274" spans="13:32">
      <c r="M274" s="126"/>
      <c r="N274" s="66" t="s">
        <v>107</v>
      </c>
      <c r="O274" s="53"/>
      <c r="P274" s="41">
        <v>2</v>
      </c>
      <c r="Q274" s="40">
        <f ca="1">FLOOR((Q269-Q271*2^P271-Q272*2^P272-Q273*2^P273)/(2^P274),1)</f>
        <v>1</v>
      </c>
      <c r="R274" s="40">
        <f ca="1">FLOOR((R269-R271*2^P271-R272*2^P272-R273*2^P273)/(2^P274),1)</f>
        <v>0</v>
      </c>
      <c r="S274" s="41">
        <f t="shared" si="102"/>
        <v>4</v>
      </c>
      <c r="T274" s="60"/>
      <c r="U274" s="60"/>
      <c r="V274" s="61"/>
      <c r="W274" s="127"/>
      <c r="X274" s="66" t="s">
        <v>107</v>
      </c>
      <c r="Y274" s="53"/>
      <c r="Z274" s="41">
        <v>2</v>
      </c>
      <c r="AA274" s="40">
        <f ca="1">FLOOR((AA269-AA271*2^Z271-AA272*2^Z272-AA273*2^Z273)/(2^Z274),1)</f>
        <v>0</v>
      </c>
      <c r="AB274" s="40">
        <f ca="1">FLOOR((AB269-AB271*2^Z271-AB272*2^Z272-AB273*2^Z273)/(2^Z274),1)</f>
        <v>0</v>
      </c>
      <c r="AC274" s="41">
        <f t="shared" si="103"/>
        <v>4</v>
      </c>
      <c r="AD274" s="60"/>
      <c r="AE274" s="60"/>
      <c r="AF274" s="61"/>
    </row>
    <row r="275" spans="13:32">
      <c r="M275" s="126"/>
      <c r="N275" s="66"/>
      <c r="O275" s="53"/>
      <c r="P275" s="41">
        <v>1</v>
      </c>
      <c r="Q275" s="40">
        <f ca="1">FLOOR((Q269-Q271*2^P271-Q272*2^P272-Q273*2^P273-Q274*2^P274)/(2^P275),1)</f>
        <v>1</v>
      </c>
      <c r="R275" s="40">
        <f ca="1">FLOOR((R269-R271*2^P271-R272*2^P272-R273*2^P273-R274*2^P274)/(2^P275),1)</f>
        <v>0</v>
      </c>
      <c r="S275" s="41">
        <f t="shared" si="102"/>
        <v>2</v>
      </c>
      <c r="T275" s="60"/>
      <c r="U275" s="60"/>
      <c r="V275" s="61"/>
      <c r="W275" s="127"/>
      <c r="X275" s="66"/>
      <c r="Y275" s="53"/>
      <c r="Z275" s="41">
        <v>1</v>
      </c>
      <c r="AA275" s="40">
        <f ca="1">FLOOR((AA269-AA271*2^Z271-AA272*2^Z272-AA273*2^Z273-AA274*2^Z274)/(2^Z275),1)</f>
        <v>1</v>
      </c>
      <c r="AB275" s="40">
        <f ca="1">FLOOR((AB269-AB271*2^Z271-AB272*2^Z272-AB273*2^Z273-AB274*2^Z274)/(2^Z275),1)</f>
        <v>0</v>
      </c>
      <c r="AC275" s="41">
        <f t="shared" si="103"/>
        <v>2</v>
      </c>
      <c r="AD275" s="60"/>
      <c r="AE275" s="60"/>
      <c r="AF275" s="61"/>
    </row>
    <row r="276" spans="13:32">
      <c r="M276" s="126"/>
      <c r="N276" s="66"/>
      <c r="O276" s="53"/>
      <c r="P276" s="41">
        <v>0</v>
      </c>
      <c r="Q276" s="40">
        <f ca="1">FLOOR((Q269-Q271*2^P271-Q272*2^P272-Q273*2^P273-Q274*2^P274-Q275*2^P275)/(2^P276),1)</f>
        <v>1</v>
      </c>
      <c r="R276" s="40">
        <f ca="1">FLOOR((R269-R271*2^P271-R272*2^P272-R273*2^P273-R274*2^P274-R275*2^P275)/(2^P276),1)</f>
        <v>1</v>
      </c>
      <c r="S276" s="41">
        <f t="shared" si="102"/>
        <v>1</v>
      </c>
      <c r="T276" s="60"/>
      <c r="U276" s="60"/>
      <c r="V276" s="61"/>
      <c r="W276" s="127"/>
      <c r="X276" s="66"/>
      <c r="Y276" s="53"/>
      <c r="Z276" s="41">
        <v>0</v>
      </c>
      <c r="AA276" s="40">
        <f ca="1">FLOOR((AA269-AA271*2^Z271-AA272*2^Z272-AA273*2^Z273-AA274*2^Z274-AA275*2^Z275)/(2^Z276),1)</f>
        <v>0</v>
      </c>
      <c r="AB276" s="40">
        <f ca="1">FLOOR((AB269-AB271*2^Z271-AB272*2^Z272-AB273*2^Z273-AB274*2^Z274-AB275*2^Z275)/(2^Z276),1)</f>
        <v>1</v>
      </c>
      <c r="AC276" s="41">
        <f t="shared" si="103"/>
        <v>1</v>
      </c>
      <c r="AD276" s="60"/>
      <c r="AE276" s="60"/>
      <c r="AF276" s="61"/>
    </row>
    <row r="277" spans="13:32">
      <c r="M277" s="126"/>
      <c r="N277" s="66"/>
      <c r="O277" s="53"/>
      <c r="P277" s="41"/>
      <c r="Q277" s="42" t="s">
        <v>108</v>
      </c>
      <c r="R277" s="42" t="s">
        <v>109</v>
      </c>
      <c r="S277" s="41"/>
      <c r="T277" s="60"/>
      <c r="U277" s="60"/>
      <c r="V277" s="61"/>
      <c r="W277" s="127"/>
      <c r="X277" s="66"/>
      <c r="Y277" s="53"/>
      <c r="Z277" s="41"/>
      <c r="AA277" s="42" t="s">
        <v>108</v>
      </c>
      <c r="AB277" s="42" t="s">
        <v>109</v>
      </c>
      <c r="AC277" s="41"/>
      <c r="AD277" s="60"/>
      <c r="AE277" s="60"/>
      <c r="AF277" s="61"/>
    </row>
    <row r="278" spans="13:32">
      <c r="M278" s="126"/>
      <c r="N278" s="66" t="s">
        <v>114</v>
      </c>
      <c r="O278" s="53"/>
      <c r="P278" s="41"/>
      <c r="Q278" s="44">
        <f ca="1">Q271*2^P271+Q272*2^P272+Q273*2^P273+Q274*2^P274+Q275*2^P275+Q276*2^P276</f>
        <v>7</v>
      </c>
      <c r="R278" s="44">
        <f ca="1">R271*2^P271+R272*2^P272+R273*2^P273+R274*2^P274+R275*2^P275+R276*2^P276</f>
        <v>33</v>
      </c>
      <c r="S278" s="41"/>
      <c r="T278" s="60"/>
      <c r="U278" s="60"/>
      <c r="V278" s="61"/>
      <c r="W278" s="127"/>
      <c r="X278" s="66" t="s">
        <v>114</v>
      </c>
      <c r="Y278" s="53"/>
      <c r="Z278" s="41"/>
      <c r="AA278" s="44">
        <f ca="1">AA271*2^Z271+AA272*2^Z272+AA273*2^Z273+AA274*2^Z274+AA275*2^Z275+AA276*2^Z276</f>
        <v>26</v>
      </c>
      <c r="AB278" s="44">
        <f ca="1">AB271*2^Z271+AB272*2^Z272+AB273*2^Z273+AB274*2^Z274+AB275*2^Z275+AB276*2^Z276</f>
        <v>33</v>
      </c>
      <c r="AC278" s="41"/>
      <c r="AD278" s="60"/>
      <c r="AE278" s="60"/>
      <c r="AF278" s="61"/>
    </row>
    <row r="279" spans="13:32">
      <c r="M279" s="126"/>
      <c r="N279" s="67"/>
      <c r="O279" s="60"/>
      <c r="P279" s="60"/>
      <c r="Q279" s="60"/>
      <c r="R279" s="60"/>
      <c r="S279" s="60"/>
      <c r="T279" s="60"/>
      <c r="U279" s="60"/>
      <c r="V279" s="61"/>
      <c r="W279" s="127"/>
      <c r="X279" s="67"/>
      <c r="Y279" s="60"/>
      <c r="Z279" s="60"/>
      <c r="AA279" s="60"/>
      <c r="AB279" s="60"/>
      <c r="AC279" s="60"/>
      <c r="AD279" s="60"/>
      <c r="AE279" s="60"/>
      <c r="AF279" s="61"/>
    </row>
    <row r="280" spans="13:32">
      <c r="M280" s="126"/>
      <c r="N280" s="68" t="s">
        <v>111</v>
      </c>
      <c r="O280" s="69"/>
      <c r="P280" s="69"/>
      <c r="Q280" s="69"/>
      <c r="R280" s="69"/>
      <c r="S280" s="69"/>
      <c r="T280" s="70">
        <f ca="1">FLOOR(O265*T268,1)</f>
        <v>4</v>
      </c>
      <c r="U280" s="60"/>
      <c r="V280" s="61"/>
      <c r="W280" s="127"/>
      <c r="X280" s="68" t="s">
        <v>111</v>
      </c>
      <c r="Y280" s="69"/>
      <c r="Z280" s="69"/>
      <c r="AA280" s="69"/>
      <c r="AB280" s="69"/>
      <c r="AC280" s="69"/>
      <c r="AD280" s="70">
        <f ca="1">FLOOR(Y265*AD268,1)</f>
        <v>1</v>
      </c>
      <c r="AE280" s="60"/>
      <c r="AF280" s="61"/>
    </row>
    <row r="281" spans="13:32">
      <c r="M281" s="126"/>
      <c r="N281" s="67" t="s">
        <v>112</v>
      </c>
      <c r="O281" s="60"/>
      <c r="P281" s="60"/>
      <c r="Q281" s="60"/>
      <c r="R281" s="60"/>
      <c r="S281" s="60"/>
      <c r="T281" s="60"/>
      <c r="U281" s="60"/>
      <c r="V281" s="61"/>
      <c r="W281" s="127"/>
      <c r="X281" s="67" t="s">
        <v>112</v>
      </c>
      <c r="Y281" s="60"/>
      <c r="Z281" s="60"/>
      <c r="AA281" s="60"/>
      <c r="AB281" s="60"/>
      <c r="AC281" s="60"/>
      <c r="AD281" s="60"/>
      <c r="AE281" s="60"/>
      <c r="AF281" s="61"/>
    </row>
    <row r="282" spans="13:32">
      <c r="M282" s="126"/>
      <c r="N282" s="67"/>
      <c r="O282" s="60"/>
      <c r="P282" s="60"/>
      <c r="Q282" s="60"/>
      <c r="R282" s="60"/>
      <c r="S282" s="60"/>
      <c r="T282" s="60"/>
      <c r="U282" s="60"/>
      <c r="V282" s="61"/>
      <c r="W282" s="127"/>
      <c r="X282" s="67"/>
      <c r="Y282" s="60"/>
      <c r="Z282" s="60"/>
      <c r="AA282" s="60"/>
      <c r="AB282" s="60"/>
      <c r="AC282" s="60"/>
      <c r="AD282" s="60"/>
      <c r="AE282" s="60"/>
      <c r="AF282" s="61"/>
    </row>
    <row r="283" spans="13:32">
      <c r="M283" s="126"/>
      <c r="N283" s="66" t="s">
        <v>113</v>
      </c>
      <c r="O283" s="53"/>
      <c r="P283" s="42" t="s">
        <v>103</v>
      </c>
      <c r="Q283" s="42"/>
      <c r="R283" s="42"/>
      <c r="S283" s="42" t="s">
        <v>104</v>
      </c>
      <c r="T283" s="60"/>
      <c r="U283" s="60"/>
      <c r="V283" s="61"/>
      <c r="W283" s="127"/>
      <c r="X283" s="66" t="s">
        <v>113</v>
      </c>
      <c r="Y283" s="53"/>
      <c r="Z283" s="42" t="s">
        <v>103</v>
      </c>
      <c r="AA283" s="42"/>
      <c r="AB283" s="42"/>
      <c r="AC283" s="42" t="s">
        <v>104</v>
      </c>
      <c r="AD283" s="60"/>
      <c r="AE283" s="60"/>
      <c r="AF283" s="61"/>
    </row>
    <row r="284" spans="13:32">
      <c r="M284" s="126"/>
      <c r="N284" s="66"/>
      <c r="O284" s="53"/>
      <c r="P284" s="41">
        <v>5</v>
      </c>
      <c r="Q284" s="40">
        <f ca="1">IF(T280&gt;=1,R271,Q271)</f>
        <v>1</v>
      </c>
      <c r="R284" s="40">
        <f ca="1">IF(T280&gt;=1,Q271,R271)</f>
        <v>0</v>
      </c>
      <c r="S284" s="41">
        <f>2^P284</f>
        <v>32</v>
      </c>
      <c r="T284" s="60"/>
      <c r="U284" s="60"/>
      <c r="V284" s="61"/>
      <c r="W284" s="127"/>
      <c r="X284" s="66"/>
      <c r="Y284" s="53"/>
      <c r="Z284" s="41">
        <v>5</v>
      </c>
      <c r="AA284" s="40">
        <f ca="1">IF(AD280&gt;=1,AB271,AA271)</f>
        <v>1</v>
      </c>
      <c r="AB284" s="40">
        <f ca="1">IF(AD280&gt;=1,AA271,AB271)</f>
        <v>0</v>
      </c>
      <c r="AC284" s="41">
        <f>2^Z284</f>
        <v>32</v>
      </c>
      <c r="AD284" s="60"/>
      <c r="AE284" s="60"/>
      <c r="AF284" s="61"/>
    </row>
    <row r="285" spans="13:32">
      <c r="M285" s="126"/>
      <c r="N285" s="66"/>
      <c r="O285" s="53"/>
      <c r="P285" s="41">
        <v>4</v>
      </c>
      <c r="Q285" s="40">
        <f ca="1">IF(T280&gt;=2,R272,Q272)</f>
        <v>0</v>
      </c>
      <c r="R285" s="40">
        <f ca="1">IF(T280&gt;=2,Q272,R272)</f>
        <v>0</v>
      </c>
      <c r="S285" s="41">
        <f t="shared" ref="S285:S289" si="104">2^P285</f>
        <v>16</v>
      </c>
      <c r="T285" s="60"/>
      <c r="U285" s="60"/>
      <c r="V285" s="61"/>
      <c r="W285" s="127"/>
      <c r="X285" s="66"/>
      <c r="Y285" s="53"/>
      <c r="Z285" s="41">
        <v>4</v>
      </c>
      <c r="AA285" s="40">
        <f ca="1">IF(AD280&gt;=2,AB272,AA272)</f>
        <v>1</v>
      </c>
      <c r="AB285" s="40">
        <f ca="1">IF(AD280&gt;=2,AA272,AB272)</f>
        <v>0</v>
      </c>
      <c r="AC285" s="41">
        <f t="shared" ref="AC285:AC289" si="105">2^Z285</f>
        <v>16</v>
      </c>
      <c r="AD285" s="60"/>
      <c r="AE285" s="60"/>
      <c r="AF285" s="61"/>
    </row>
    <row r="286" spans="13:32">
      <c r="M286" s="126"/>
      <c r="N286" s="66"/>
      <c r="O286" s="53"/>
      <c r="P286" s="41">
        <v>3</v>
      </c>
      <c r="Q286" s="40">
        <f ca="1">IF(T280&gt;=3,R273,Q273)</f>
        <v>0</v>
      </c>
      <c r="R286" s="40">
        <f ca="1">IF(T280&gt;=3,Q273,R273)</f>
        <v>0</v>
      </c>
      <c r="S286" s="41">
        <f t="shared" si="104"/>
        <v>8</v>
      </c>
      <c r="T286" s="60"/>
      <c r="U286" s="60"/>
      <c r="V286" s="61"/>
      <c r="W286" s="127"/>
      <c r="X286" s="66"/>
      <c r="Y286" s="53"/>
      <c r="Z286" s="41">
        <v>3</v>
      </c>
      <c r="AA286" s="40">
        <f ca="1">IF(AD280&gt;=3,AB273,AA273)</f>
        <v>1</v>
      </c>
      <c r="AB286" s="40">
        <f ca="1">IF(AD280&gt;=3,AA273,AB273)</f>
        <v>0</v>
      </c>
      <c r="AC286" s="41">
        <f t="shared" si="105"/>
        <v>8</v>
      </c>
      <c r="AD286" s="60"/>
      <c r="AE286" s="60"/>
      <c r="AF286" s="61"/>
    </row>
    <row r="287" spans="13:32">
      <c r="M287" s="126"/>
      <c r="N287" s="66"/>
      <c r="O287" s="53"/>
      <c r="P287" s="41">
        <v>2</v>
      </c>
      <c r="Q287" s="40">
        <f ca="1">IF(T280&gt;=4,R274,Q274)</f>
        <v>0</v>
      </c>
      <c r="R287" s="40">
        <f ca="1">IF(T280&gt;=4,Q274,R274)</f>
        <v>1</v>
      </c>
      <c r="S287" s="41">
        <f t="shared" si="104"/>
        <v>4</v>
      </c>
      <c r="T287" s="60"/>
      <c r="U287" s="60"/>
      <c r="V287" s="61"/>
      <c r="W287" s="127"/>
      <c r="X287" s="66"/>
      <c r="Y287" s="53"/>
      <c r="Z287" s="41">
        <v>2</v>
      </c>
      <c r="AA287" s="40">
        <f ca="1">IF(AD280&gt;=4,AB274,AA274)</f>
        <v>0</v>
      </c>
      <c r="AB287" s="40">
        <f ca="1">IF(AD280&gt;=4,AA274,AB274)</f>
        <v>0</v>
      </c>
      <c r="AC287" s="41">
        <f t="shared" si="105"/>
        <v>4</v>
      </c>
      <c r="AD287" s="60"/>
      <c r="AE287" s="60"/>
      <c r="AF287" s="61"/>
    </row>
    <row r="288" spans="13:32">
      <c r="M288" s="126"/>
      <c r="N288" s="66"/>
      <c r="O288" s="53"/>
      <c r="P288" s="41">
        <v>1</v>
      </c>
      <c r="Q288" s="40">
        <f ca="1">IF(T280&gt;=5,R275,Q275)</f>
        <v>1</v>
      </c>
      <c r="R288" s="40">
        <f ca="1">IF(T280&gt;=5,Q275,R275)</f>
        <v>0</v>
      </c>
      <c r="S288" s="41">
        <f t="shared" si="104"/>
        <v>2</v>
      </c>
      <c r="T288" s="60"/>
      <c r="U288" s="60"/>
      <c r="V288" s="61"/>
      <c r="W288" s="127"/>
      <c r="X288" s="66"/>
      <c r="Y288" s="53"/>
      <c r="Z288" s="41">
        <v>1</v>
      </c>
      <c r="AA288" s="40">
        <f ca="1">IF(AD280&gt;=5,AB275,AA275)</f>
        <v>1</v>
      </c>
      <c r="AB288" s="40">
        <f ca="1">IF(AD280&gt;=5,AA275,AB275)</f>
        <v>0</v>
      </c>
      <c r="AC288" s="41">
        <f t="shared" si="105"/>
        <v>2</v>
      </c>
      <c r="AD288" s="60"/>
      <c r="AE288" s="60"/>
      <c r="AF288" s="61"/>
    </row>
    <row r="289" spans="13:32">
      <c r="M289" s="126"/>
      <c r="N289" s="66"/>
      <c r="O289" s="53"/>
      <c r="P289" s="41">
        <v>0</v>
      </c>
      <c r="Q289" s="40">
        <f ca="1">IF(T280&gt;=6,R276,Q276)</f>
        <v>1</v>
      </c>
      <c r="R289" s="40">
        <f ca="1">IF(T280&gt;=6,Q276,R276)</f>
        <v>1</v>
      </c>
      <c r="S289" s="41">
        <f t="shared" si="104"/>
        <v>1</v>
      </c>
      <c r="T289" s="60"/>
      <c r="U289" s="60"/>
      <c r="V289" s="61"/>
      <c r="W289" s="127"/>
      <c r="X289" s="66"/>
      <c r="Y289" s="53"/>
      <c r="Z289" s="41">
        <v>0</v>
      </c>
      <c r="AA289" s="40">
        <f ca="1">IF(AD280&gt;=6,AB276,AA276)</f>
        <v>0</v>
      </c>
      <c r="AB289" s="40">
        <f ca="1">IF(AD280&gt;=6,AA276,AB276)</f>
        <v>1</v>
      </c>
      <c r="AC289" s="41">
        <f t="shared" si="105"/>
        <v>1</v>
      </c>
      <c r="AD289" s="60"/>
      <c r="AE289" s="60"/>
      <c r="AF289" s="61"/>
    </row>
    <row r="290" spans="13:32">
      <c r="M290" s="126"/>
      <c r="N290" s="66"/>
      <c r="O290" s="53"/>
      <c r="P290" s="41"/>
      <c r="Q290" s="42" t="s">
        <v>108</v>
      </c>
      <c r="R290" s="42" t="s">
        <v>109</v>
      </c>
      <c r="S290" s="41"/>
      <c r="T290" s="60"/>
      <c r="U290" s="60"/>
      <c r="V290" s="61"/>
      <c r="W290" s="127"/>
      <c r="X290" s="66"/>
      <c r="Y290" s="53"/>
      <c r="Z290" s="41"/>
      <c r="AA290" s="42" t="s">
        <v>108</v>
      </c>
      <c r="AB290" s="42" t="s">
        <v>109</v>
      </c>
      <c r="AC290" s="41"/>
      <c r="AD290" s="60"/>
      <c r="AE290" s="60"/>
      <c r="AF290" s="61"/>
    </row>
    <row r="291" spans="13:32">
      <c r="M291" s="126"/>
      <c r="N291" s="66" t="s">
        <v>114</v>
      </c>
      <c r="O291" s="53"/>
      <c r="P291" s="41"/>
      <c r="Q291" s="44">
        <f ca="1">Q284*2^P284+Q285*2^P285+Q286*2^P286+Q287*2^P287+Q288*2^P288+Q289*2^P289</f>
        <v>35</v>
      </c>
      <c r="R291" s="44">
        <f ca="1">R284*2^P284+R285*2^P285+R286*2^P286+R287*2^P287+R288*2^P288+R289*2^P289</f>
        <v>5</v>
      </c>
      <c r="S291" s="41"/>
      <c r="T291" s="60"/>
      <c r="U291" s="60"/>
      <c r="V291" s="61"/>
      <c r="W291" s="127"/>
      <c r="X291" s="66" t="s">
        <v>114</v>
      </c>
      <c r="Y291" s="53"/>
      <c r="Z291" s="41"/>
      <c r="AA291" s="44">
        <f ca="1">AA284*2^Z284+AA285*2^Z285+AA286*2^Z286+AA287*2^Z287+AA288*2^Z288+AA289*2^Z289</f>
        <v>58</v>
      </c>
      <c r="AB291" s="44">
        <f ca="1">AB284*2^Z284+AB285*2^Z285+AB286*2^Z286+AB287*2^Z287+AB288*2^Z288+AB289*2^Z289</f>
        <v>1</v>
      </c>
      <c r="AC291" s="41"/>
      <c r="AD291" s="60"/>
      <c r="AE291" s="60"/>
      <c r="AF291" s="61"/>
    </row>
    <row r="292" spans="13:32">
      <c r="M292" s="126"/>
      <c r="N292" s="67"/>
      <c r="O292" s="60"/>
      <c r="P292" s="60"/>
      <c r="Q292" s="60"/>
      <c r="R292" s="60"/>
      <c r="S292" s="60"/>
      <c r="T292" s="60"/>
      <c r="U292" s="60"/>
      <c r="V292" s="61"/>
      <c r="W292" s="127"/>
      <c r="X292" s="67"/>
      <c r="Y292" s="60"/>
      <c r="Z292" s="60"/>
      <c r="AA292" s="60"/>
      <c r="AB292" s="60"/>
      <c r="AC292" s="60"/>
      <c r="AD292" s="60"/>
      <c r="AE292" s="60"/>
      <c r="AF292" s="61"/>
    </row>
    <row r="293" spans="13:32">
      <c r="M293" s="126"/>
      <c r="N293" s="68" t="s">
        <v>115</v>
      </c>
      <c r="O293" s="69"/>
      <c r="P293" s="69"/>
      <c r="Q293" s="69"/>
      <c r="R293" s="69"/>
      <c r="S293" s="69"/>
      <c r="T293" s="69"/>
      <c r="U293" s="70">
        <f ca="1">FLOOR(O265*U268,1)</f>
        <v>5</v>
      </c>
      <c r="V293" s="71">
        <f ca="1">FLOOR(O265*V268,1)</f>
        <v>3</v>
      </c>
      <c r="W293" s="127"/>
      <c r="X293" s="68" t="s">
        <v>115</v>
      </c>
      <c r="Y293" s="69"/>
      <c r="Z293" s="69"/>
      <c r="AA293" s="69"/>
      <c r="AB293" s="69"/>
      <c r="AC293" s="69"/>
      <c r="AD293" s="69"/>
      <c r="AE293" s="70">
        <f ca="1">FLOOR(Y265*AE268,1)</f>
        <v>2</v>
      </c>
      <c r="AF293" s="71">
        <f ca="1">FLOOR(Y265*AF268,1)</f>
        <v>5</v>
      </c>
    </row>
    <row r="294" spans="13:32">
      <c r="M294" s="126"/>
      <c r="N294" s="67"/>
      <c r="O294" s="60"/>
      <c r="P294" s="60"/>
      <c r="Q294" s="60"/>
      <c r="R294" s="60"/>
      <c r="S294" s="60"/>
      <c r="T294" s="60"/>
      <c r="U294" s="60"/>
      <c r="V294" s="61"/>
      <c r="W294" s="127"/>
      <c r="X294" s="67"/>
      <c r="Y294" s="60"/>
      <c r="Z294" s="60"/>
      <c r="AA294" s="60"/>
      <c r="AB294" s="60"/>
      <c r="AC294" s="60"/>
      <c r="AD294" s="60"/>
      <c r="AE294" s="60"/>
      <c r="AF294" s="61"/>
    </row>
    <row r="295" spans="13:32">
      <c r="M295" s="126"/>
      <c r="N295" s="67"/>
      <c r="O295" s="60"/>
      <c r="P295" s="60"/>
      <c r="Q295" s="60"/>
      <c r="R295" s="60"/>
      <c r="S295" s="60"/>
      <c r="T295" s="60"/>
      <c r="U295" s="60"/>
      <c r="V295" s="61"/>
      <c r="W295" s="127"/>
      <c r="X295" s="67"/>
      <c r="Y295" s="60"/>
      <c r="Z295" s="60"/>
      <c r="AA295" s="60"/>
      <c r="AB295" s="60"/>
      <c r="AC295" s="60"/>
      <c r="AD295" s="60"/>
      <c r="AE295" s="60"/>
      <c r="AF295" s="61"/>
    </row>
    <row r="296" spans="13:32">
      <c r="M296" s="126"/>
      <c r="N296" s="67"/>
      <c r="O296" s="60"/>
      <c r="P296" s="42" t="s">
        <v>103</v>
      </c>
      <c r="Q296" s="42"/>
      <c r="R296" s="42"/>
      <c r="S296" s="42" t="s">
        <v>104</v>
      </c>
      <c r="T296" s="60"/>
      <c r="U296" s="60"/>
      <c r="V296" s="61"/>
      <c r="W296" s="127"/>
      <c r="X296" s="67"/>
      <c r="Y296" s="60"/>
      <c r="Z296" s="42" t="s">
        <v>103</v>
      </c>
      <c r="AA296" s="42"/>
      <c r="AB296" s="42"/>
      <c r="AC296" s="42" t="s">
        <v>104</v>
      </c>
      <c r="AD296" s="60"/>
      <c r="AE296" s="60"/>
      <c r="AF296" s="61"/>
    </row>
    <row r="297" spans="13:32">
      <c r="M297" s="126"/>
      <c r="N297" s="67"/>
      <c r="O297" s="60"/>
      <c r="P297" s="41">
        <v>5</v>
      </c>
      <c r="Q297" s="40">
        <f ca="1">IF(U293=1,IF(Q284=1,0,1),Q284)</f>
        <v>1</v>
      </c>
      <c r="R297" s="40">
        <f ca="1">IF(V293=1,IF(R284=1,0,1),R284)</f>
        <v>0</v>
      </c>
      <c r="S297" s="41">
        <f>2^P297</f>
        <v>32</v>
      </c>
      <c r="T297" s="60"/>
      <c r="U297" s="60"/>
      <c r="V297" s="61"/>
      <c r="W297" s="127"/>
      <c r="X297" s="67"/>
      <c r="Y297" s="60"/>
      <c r="Z297" s="41">
        <v>5</v>
      </c>
      <c r="AA297" s="40">
        <f ca="1">IF(AE293=1,IF(AA284=1,0,1),AA284)</f>
        <v>1</v>
      </c>
      <c r="AB297" s="40">
        <f ca="1">IF(AF293=1,IF(AB284=1,0,1),AB284)</f>
        <v>0</v>
      </c>
      <c r="AC297" s="41">
        <f>2^Z297</f>
        <v>32</v>
      </c>
      <c r="AD297" s="60"/>
      <c r="AE297" s="60"/>
      <c r="AF297" s="61"/>
    </row>
    <row r="298" spans="13:32">
      <c r="M298" s="126"/>
      <c r="N298" s="67"/>
      <c r="O298" s="60"/>
      <c r="P298" s="41">
        <v>4</v>
      </c>
      <c r="Q298" s="40">
        <f ca="1">IF(U293=2,IF(Q285=1,0,1),Q285)</f>
        <v>0</v>
      </c>
      <c r="R298" s="40">
        <f ca="1">IF(V293=2,IF(R285=1,0,1),R285)</f>
        <v>0</v>
      </c>
      <c r="S298" s="41">
        <f t="shared" ref="S298:S302" si="106">2^P298</f>
        <v>16</v>
      </c>
      <c r="T298" s="60"/>
      <c r="U298" s="60"/>
      <c r="V298" s="61"/>
      <c r="W298" s="127"/>
      <c r="X298" s="67"/>
      <c r="Y298" s="60"/>
      <c r="Z298" s="41">
        <v>4</v>
      </c>
      <c r="AA298" s="40">
        <f ca="1">IF(AE293=2,IF(AA285=1,0,1),AA285)</f>
        <v>0</v>
      </c>
      <c r="AB298" s="40">
        <f ca="1">IF(AF293=2,IF(AB285=1,0,1),AB285)</f>
        <v>0</v>
      </c>
      <c r="AC298" s="41">
        <f t="shared" ref="AC298:AC302" si="107">2^Z298</f>
        <v>16</v>
      </c>
      <c r="AD298" s="60"/>
      <c r="AE298" s="60"/>
      <c r="AF298" s="61"/>
    </row>
    <row r="299" spans="13:32">
      <c r="M299" s="126"/>
      <c r="N299" s="67"/>
      <c r="O299" s="60"/>
      <c r="P299" s="41">
        <v>3</v>
      </c>
      <c r="Q299" s="40">
        <f ca="1">IF(U293=3,IF(Q286=1,0,1),Q286)</f>
        <v>0</v>
      </c>
      <c r="R299" s="40">
        <f ca="1">IF(V293=3,IF(R286=1,0,1),R286)</f>
        <v>1</v>
      </c>
      <c r="S299" s="41">
        <f t="shared" si="106"/>
        <v>8</v>
      </c>
      <c r="T299" s="60"/>
      <c r="U299" s="60"/>
      <c r="V299" s="61"/>
      <c r="W299" s="127"/>
      <c r="X299" s="67"/>
      <c r="Y299" s="60"/>
      <c r="Z299" s="41">
        <v>3</v>
      </c>
      <c r="AA299" s="40">
        <f ca="1">IF(AE293=3,IF(AA286=1,0,1),AA286)</f>
        <v>1</v>
      </c>
      <c r="AB299" s="40">
        <f ca="1">IF(AF293=3,IF(AB286=1,0,1),AB286)</f>
        <v>0</v>
      </c>
      <c r="AC299" s="41">
        <f t="shared" si="107"/>
        <v>8</v>
      </c>
      <c r="AD299" s="60"/>
      <c r="AE299" s="60"/>
      <c r="AF299" s="61"/>
    </row>
    <row r="300" spans="13:32">
      <c r="M300" s="126"/>
      <c r="N300" s="67"/>
      <c r="O300" s="60"/>
      <c r="P300" s="41">
        <v>2</v>
      </c>
      <c r="Q300" s="40">
        <f ca="1">IF(U293=4,IF(Q287=1,0,1),Q287)</f>
        <v>0</v>
      </c>
      <c r="R300" s="40">
        <f ca="1">IF(V293=4,IF(R287=1,0,1),R287)</f>
        <v>1</v>
      </c>
      <c r="S300" s="41">
        <f t="shared" si="106"/>
        <v>4</v>
      </c>
      <c r="T300" s="60"/>
      <c r="U300" s="60"/>
      <c r="V300" s="61"/>
      <c r="W300" s="127"/>
      <c r="X300" s="67"/>
      <c r="Y300" s="60"/>
      <c r="Z300" s="41">
        <v>2</v>
      </c>
      <c r="AA300" s="40">
        <f ca="1">IF(AE293=4,IF(AA287=1,0,1),AA287)</f>
        <v>0</v>
      </c>
      <c r="AB300" s="40">
        <f ca="1">IF(AF293=4,IF(AB287=1,0,1),AB287)</f>
        <v>0</v>
      </c>
      <c r="AC300" s="41">
        <f t="shared" si="107"/>
        <v>4</v>
      </c>
      <c r="AD300" s="60"/>
      <c r="AE300" s="60"/>
      <c r="AF300" s="61"/>
    </row>
    <row r="301" spans="13:32">
      <c r="M301" s="126"/>
      <c r="N301" s="67"/>
      <c r="O301" s="60"/>
      <c r="P301" s="41">
        <v>1</v>
      </c>
      <c r="Q301" s="40">
        <f ca="1">IF(U293=5,IF(Q288=1,0,1),Q288)</f>
        <v>0</v>
      </c>
      <c r="R301" s="40">
        <f ca="1">IF(V293=5,IF(R288=1,0,1),R288)</f>
        <v>0</v>
      </c>
      <c r="S301" s="41">
        <f t="shared" si="106"/>
        <v>2</v>
      </c>
      <c r="T301" s="60"/>
      <c r="U301" s="60"/>
      <c r="V301" s="61"/>
      <c r="W301" s="127"/>
      <c r="X301" s="67"/>
      <c r="Y301" s="60"/>
      <c r="Z301" s="41">
        <v>1</v>
      </c>
      <c r="AA301" s="40">
        <f ca="1">IF(AE293=5,IF(AA288=1,0,1),AA288)</f>
        <v>1</v>
      </c>
      <c r="AB301" s="40">
        <f ca="1">IF(AF293=5,IF(AB288=1,0,1),AB288)</f>
        <v>1</v>
      </c>
      <c r="AC301" s="41">
        <f t="shared" si="107"/>
        <v>2</v>
      </c>
      <c r="AD301" s="60"/>
      <c r="AE301" s="60"/>
      <c r="AF301" s="61"/>
    </row>
    <row r="302" spans="13:32">
      <c r="M302" s="126"/>
      <c r="N302" s="67"/>
      <c r="O302" s="60"/>
      <c r="P302" s="41">
        <v>0</v>
      </c>
      <c r="Q302" s="40">
        <f ca="1">IF(U293=6,IF(Q289=1,0,1),Q289)</f>
        <v>1</v>
      </c>
      <c r="R302" s="40">
        <f ca="1">IF(V293=6,IF(R289=1,0,1),R289)</f>
        <v>1</v>
      </c>
      <c r="S302" s="41">
        <f t="shared" si="106"/>
        <v>1</v>
      </c>
      <c r="T302" s="60"/>
      <c r="U302" s="60"/>
      <c r="V302" s="61"/>
      <c r="W302" s="127"/>
      <c r="X302" s="67"/>
      <c r="Y302" s="60"/>
      <c r="Z302" s="41">
        <v>0</v>
      </c>
      <c r="AA302" s="40">
        <f ca="1">IF(AE293=6,IF(AA289=1,0,1),AA289)</f>
        <v>0</v>
      </c>
      <c r="AB302" s="40">
        <f ca="1">IF(AF293=6,IF(AB289=1,0,1),AB289)</f>
        <v>1</v>
      </c>
      <c r="AC302" s="41">
        <f t="shared" si="107"/>
        <v>1</v>
      </c>
      <c r="AD302" s="60"/>
      <c r="AE302" s="60"/>
      <c r="AF302" s="61"/>
    </row>
    <row r="303" spans="13:32">
      <c r="M303" s="126"/>
      <c r="N303" s="67"/>
      <c r="O303" s="60"/>
      <c r="P303" s="41"/>
      <c r="Q303" s="42" t="s">
        <v>108</v>
      </c>
      <c r="R303" s="42" t="s">
        <v>109</v>
      </c>
      <c r="S303" s="41"/>
      <c r="T303" s="60"/>
      <c r="U303" s="60"/>
      <c r="V303" s="61"/>
      <c r="W303" s="127"/>
      <c r="X303" s="67"/>
      <c r="Y303" s="60"/>
      <c r="Z303" s="41"/>
      <c r="AA303" s="42" t="s">
        <v>108</v>
      </c>
      <c r="AB303" s="42" t="s">
        <v>109</v>
      </c>
      <c r="AC303" s="41"/>
      <c r="AD303" s="60"/>
      <c r="AE303" s="60"/>
      <c r="AF303" s="61"/>
    </row>
    <row r="304" spans="13:32">
      <c r="M304" s="126"/>
      <c r="N304" s="67"/>
      <c r="O304" s="60"/>
      <c r="P304" s="41"/>
      <c r="Q304" s="44">
        <f ca="1">Q297*2^P297+Q298*2^P298+Q299*2^P299+Q300*2^P300+Q301*2^P301+Q302*2^P302</f>
        <v>33</v>
      </c>
      <c r="R304" s="44">
        <f ca="1">R297*2^P297+R298*2^P298+R299*2^P299+R300*2^P300+R301*2^P301+R302*2^P302</f>
        <v>13</v>
      </c>
      <c r="S304" s="41"/>
      <c r="T304" s="60"/>
      <c r="U304" s="60"/>
      <c r="V304" s="61"/>
      <c r="W304" s="127"/>
      <c r="X304" s="67"/>
      <c r="Y304" s="60"/>
      <c r="Z304" s="41"/>
      <c r="AA304" s="44">
        <f ca="1">AA297*2^Z297+AA298*2^Z298+AA299*2^Z299+AA300*2^Z300+AA301*2^Z301+AA302*2^Z302</f>
        <v>42</v>
      </c>
      <c r="AB304" s="44">
        <f ca="1">AB297*2^Z297+AB298*2^Z298+AB299*2^Z299+AB300*2^Z300+AB301*2^Z301+AB302*2^Z302</f>
        <v>3</v>
      </c>
      <c r="AC304" s="41"/>
      <c r="AD304" s="60"/>
      <c r="AE304" s="60"/>
      <c r="AF304" s="61"/>
    </row>
    <row r="305" spans="13:32">
      <c r="M305" s="126"/>
      <c r="N305" s="67"/>
      <c r="O305" s="60"/>
      <c r="P305" s="60"/>
      <c r="Q305" s="60"/>
      <c r="R305" s="60"/>
      <c r="S305" s="60"/>
      <c r="T305" s="60"/>
      <c r="U305" s="60"/>
      <c r="V305" s="61"/>
      <c r="W305" s="127"/>
      <c r="X305" s="67"/>
      <c r="Y305" s="60"/>
      <c r="Z305" s="60"/>
      <c r="AA305" s="60"/>
      <c r="AB305" s="60"/>
      <c r="AC305" s="60"/>
      <c r="AD305" s="60"/>
      <c r="AE305" s="60"/>
      <c r="AF305" s="61"/>
    </row>
    <row r="306" spans="13:32">
      <c r="M306" s="126"/>
      <c r="N306" s="72" t="s">
        <v>116</v>
      </c>
      <c r="O306" s="73"/>
      <c r="P306" s="73"/>
      <c r="Q306" s="74">
        <f ca="1">(Q304/P266)*(S268-P268)+P268</f>
        <v>0.23809523809523814</v>
      </c>
      <c r="R306" s="74">
        <f ca="1">(R304/P266)*(S268-P268)+P268</f>
        <v>-2.9365079365079367</v>
      </c>
      <c r="S306" s="75"/>
      <c r="T306" s="75"/>
      <c r="U306" s="75"/>
      <c r="V306" s="76"/>
      <c r="W306" s="127"/>
      <c r="X306" s="72" t="s">
        <v>116</v>
      </c>
      <c r="Y306" s="73"/>
      <c r="Z306" s="73"/>
      <c r="AA306" s="74">
        <f ca="1">(AA304/Z266)*(AC268-Z268)+Z268</f>
        <v>1.6666666666666661</v>
      </c>
      <c r="AB306" s="74">
        <f ca="1">(AB304/Z266)*(AC268-Z268)+Z268</f>
        <v>-4.5238095238095237</v>
      </c>
      <c r="AC306" s="75"/>
      <c r="AD306" s="75"/>
      <c r="AE306" s="75"/>
      <c r="AF306" s="76"/>
    </row>
    <row r="307" spans="13:32">
      <c r="M307" s="126"/>
      <c r="N307" s="122" t="s">
        <v>156</v>
      </c>
      <c r="O307" s="123"/>
      <c r="P307" s="123"/>
      <c r="Q307" s="123"/>
      <c r="R307" s="123"/>
      <c r="S307" s="123"/>
      <c r="T307" s="123"/>
      <c r="U307" s="123"/>
      <c r="V307" s="124"/>
      <c r="W307" s="127"/>
      <c r="X307" s="122" t="s">
        <v>156</v>
      </c>
      <c r="Y307" s="123"/>
      <c r="Z307" s="123"/>
      <c r="AA307" s="123"/>
      <c r="AB307" s="123"/>
      <c r="AC307" s="123"/>
      <c r="AD307" s="123"/>
      <c r="AE307" s="123"/>
      <c r="AF307" s="124"/>
    </row>
    <row r="308" spans="13:32">
      <c r="M308" s="126"/>
      <c r="N308" s="59" t="s">
        <v>100</v>
      </c>
      <c r="O308" s="60">
        <v>6</v>
      </c>
      <c r="P308" s="60"/>
      <c r="Q308" s="60"/>
      <c r="R308" s="60"/>
      <c r="S308" s="60"/>
      <c r="T308" s="60"/>
      <c r="U308" s="60"/>
      <c r="V308" s="61"/>
      <c r="W308" s="127"/>
      <c r="X308" s="59" t="s">
        <v>100</v>
      </c>
      <c r="Y308" s="60">
        <v>6</v>
      </c>
      <c r="Z308" s="60"/>
      <c r="AA308" s="60"/>
      <c r="AB308" s="60"/>
      <c r="AC308" s="60"/>
      <c r="AD308" s="60"/>
      <c r="AE308" s="60"/>
      <c r="AF308" s="61"/>
    </row>
    <row r="309" spans="13:32" ht="30">
      <c r="M309" s="126"/>
      <c r="N309" s="59" t="s">
        <v>101</v>
      </c>
      <c r="O309" s="60">
        <v>0</v>
      </c>
      <c r="P309" s="60">
        <f>(2^O308)-1</f>
        <v>63</v>
      </c>
      <c r="Q309" s="60"/>
      <c r="R309" s="60"/>
      <c r="S309" s="60"/>
      <c r="T309" s="60"/>
      <c r="U309" s="60"/>
      <c r="V309" s="61"/>
      <c r="W309" s="127"/>
      <c r="X309" s="59" t="s">
        <v>101</v>
      </c>
      <c r="Y309" s="60">
        <v>0</v>
      </c>
      <c r="Z309" s="60">
        <f>(2^Y308)-1</f>
        <v>63</v>
      </c>
      <c r="AA309" s="60"/>
      <c r="AB309" s="60"/>
      <c r="AC309" s="60"/>
      <c r="AD309" s="60"/>
      <c r="AE309" s="60"/>
      <c r="AF309" s="61"/>
    </row>
    <row r="310" spans="13:32">
      <c r="M310" s="126"/>
      <c r="N310" s="62" t="s">
        <v>72</v>
      </c>
      <c r="O310" s="4" t="s">
        <v>73</v>
      </c>
      <c r="P310" s="4" t="s">
        <v>91</v>
      </c>
      <c r="Q310" s="4" t="s">
        <v>155</v>
      </c>
      <c r="R310" s="4" t="s">
        <v>156</v>
      </c>
      <c r="S310" s="4" t="s">
        <v>94</v>
      </c>
      <c r="T310" s="4" t="s">
        <v>95</v>
      </c>
      <c r="U310" s="4" t="s">
        <v>96</v>
      </c>
      <c r="V310" s="63" t="s">
        <v>97</v>
      </c>
      <c r="W310" s="127"/>
      <c r="X310" s="62" t="s">
        <v>72</v>
      </c>
      <c r="Y310" s="4" t="s">
        <v>73</v>
      </c>
      <c r="Z310" s="4" t="s">
        <v>91</v>
      </c>
      <c r="AA310" s="4" t="s">
        <v>155</v>
      </c>
      <c r="AB310" s="4" t="s">
        <v>156</v>
      </c>
      <c r="AC310" s="4" t="s">
        <v>94</v>
      </c>
      <c r="AD310" s="4" t="s">
        <v>95</v>
      </c>
      <c r="AE310" s="4" t="s">
        <v>96</v>
      </c>
      <c r="AF310" s="63" t="s">
        <v>97</v>
      </c>
    </row>
    <row r="311" spans="13:32">
      <c r="M311" s="126"/>
      <c r="N311" s="64" t="s">
        <v>1</v>
      </c>
      <c r="O311" s="53"/>
      <c r="P311" s="53">
        <v>-5</v>
      </c>
      <c r="Q311" s="65">
        <f ca="1">E45</f>
        <v>-4.6614653271641</v>
      </c>
      <c r="R311" s="65">
        <f ca="1">F45</f>
        <v>1.3761931018881288</v>
      </c>
      <c r="S311" s="53">
        <v>5</v>
      </c>
      <c r="T311" s="53">
        <f ca="1">RAND()</f>
        <v>0.75227234743017424</v>
      </c>
      <c r="U311" s="53">
        <f t="shared" ref="U311:V311" ca="1" si="108">RAND()</f>
        <v>0.42036432622159947</v>
      </c>
      <c r="V311" s="28">
        <f t="shared" ca="1" si="108"/>
        <v>0.12090430169556132</v>
      </c>
      <c r="W311" s="127"/>
      <c r="X311" s="64" t="s">
        <v>1</v>
      </c>
      <c r="Y311" s="53"/>
      <c r="Z311" s="53">
        <v>-5</v>
      </c>
      <c r="AA311" s="65">
        <f ca="1">E84</f>
        <v>7.9365079365079083E-2</v>
      </c>
      <c r="AB311" s="65">
        <f ca="1">F84</f>
        <v>1.3492063492063489</v>
      </c>
      <c r="AC311" s="53">
        <v>5</v>
      </c>
      <c r="AD311" s="53">
        <f ca="1">RAND()</f>
        <v>0.26936736631785774</v>
      </c>
      <c r="AE311" s="53">
        <f t="shared" ref="AE311:AF311" ca="1" si="109">RAND()</f>
        <v>0.32238488252477804</v>
      </c>
      <c r="AF311" s="28">
        <f t="shared" ca="1" si="109"/>
        <v>7.2928513480622348E-3</v>
      </c>
    </row>
    <row r="312" spans="13:32" ht="30">
      <c r="M312" s="126"/>
      <c r="N312" s="59" t="s">
        <v>110</v>
      </c>
      <c r="O312" s="60"/>
      <c r="P312" s="60"/>
      <c r="Q312" s="60">
        <f ca="1">(ABS(Q311-P311)/(S311-P311))*(P309-O309)</f>
        <v>2.1327684388661696</v>
      </c>
      <c r="R312" s="60">
        <f ca="1">(ABS(R311-P311)/(S311-P311))*(P309-O309)</f>
        <v>40.170016541895215</v>
      </c>
      <c r="S312" s="60"/>
      <c r="T312" s="60"/>
      <c r="U312" s="60"/>
      <c r="V312" s="61"/>
      <c r="W312" s="127"/>
      <c r="X312" s="59" t="s">
        <v>110</v>
      </c>
      <c r="Y312" s="60"/>
      <c r="Z312" s="60"/>
      <c r="AA312" s="60">
        <f ca="1">(ABS(AA311-Z311)/(AC311-Z311))*(Z309-Y309)</f>
        <v>32</v>
      </c>
      <c r="AB312" s="60">
        <f ca="1">(ABS(AB311-Z311)/(AC311-Z311))*(Z309-Y309)</f>
        <v>40</v>
      </c>
      <c r="AC312" s="60"/>
      <c r="AD312" s="60"/>
      <c r="AE312" s="60"/>
      <c r="AF312" s="61"/>
    </row>
    <row r="313" spans="13:32">
      <c r="M313" s="126"/>
      <c r="N313" s="66"/>
      <c r="O313" s="53"/>
      <c r="P313" s="42" t="s">
        <v>103</v>
      </c>
      <c r="Q313" s="42"/>
      <c r="R313" s="42"/>
      <c r="S313" s="42" t="s">
        <v>104</v>
      </c>
      <c r="T313" s="60"/>
      <c r="U313" s="60"/>
      <c r="V313" s="61"/>
      <c r="W313" s="127"/>
      <c r="X313" s="66"/>
      <c r="Y313" s="53"/>
      <c r="Z313" s="42" t="s">
        <v>103</v>
      </c>
      <c r="AA313" s="42"/>
      <c r="AB313" s="42"/>
      <c r="AC313" s="42" t="s">
        <v>104</v>
      </c>
      <c r="AD313" s="60"/>
      <c r="AE313" s="60"/>
      <c r="AF313" s="61"/>
    </row>
    <row r="314" spans="13:32">
      <c r="M314" s="126"/>
      <c r="N314" s="66" t="s">
        <v>102</v>
      </c>
      <c r="O314" s="53"/>
      <c r="P314" s="41">
        <v>5</v>
      </c>
      <c r="Q314" s="40">
        <f ca="1">FLOOR(Q312/2^P314,1)</f>
        <v>0</v>
      </c>
      <c r="R314" s="40">
        <f ca="1">FLOOR(R312/2^P314,1)</f>
        <v>1</v>
      </c>
      <c r="S314" s="41">
        <f>2^P314</f>
        <v>32</v>
      </c>
      <c r="T314" s="60"/>
      <c r="U314" s="60"/>
      <c r="V314" s="61"/>
      <c r="W314" s="127"/>
      <c r="X314" s="66" t="s">
        <v>102</v>
      </c>
      <c r="Y314" s="53"/>
      <c r="Z314" s="41">
        <v>5</v>
      </c>
      <c r="AA314" s="40">
        <f ca="1">FLOOR(AA312/2^Z314,1)</f>
        <v>1</v>
      </c>
      <c r="AB314" s="40">
        <f ca="1">FLOOR(AB312/2^Z314,1)</f>
        <v>1</v>
      </c>
      <c r="AC314" s="41">
        <f>2^Z314</f>
        <v>32</v>
      </c>
      <c r="AD314" s="60"/>
      <c r="AE314" s="60"/>
      <c r="AF314" s="61"/>
    </row>
    <row r="315" spans="13:32">
      <c r="M315" s="126"/>
      <c r="N315" s="66" t="s">
        <v>105</v>
      </c>
      <c r="O315" s="53"/>
      <c r="P315" s="41">
        <v>4</v>
      </c>
      <c r="Q315" s="40">
        <f ca="1">FLOOR((Q312-Q314*2^P314)/(2^P315),1)</f>
        <v>0</v>
      </c>
      <c r="R315" s="40">
        <f ca="1">FLOOR((R312-R314*2^P314)/(2^P315),1)</f>
        <v>0</v>
      </c>
      <c r="S315" s="41">
        <f t="shared" ref="S315:S319" si="110">2^P315</f>
        <v>16</v>
      </c>
      <c r="T315" s="60"/>
      <c r="U315" s="60"/>
      <c r="V315" s="61"/>
      <c r="W315" s="127"/>
      <c r="X315" s="66" t="s">
        <v>105</v>
      </c>
      <c r="Y315" s="53"/>
      <c r="Z315" s="41">
        <v>4</v>
      </c>
      <c r="AA315" s="40">
        <f ca="1">FLOOR((AA312-AA314*2^Z314)/(2^Z315),1)</f>
        <v>0</v>
      </c>
      <c r="AB315" s="40">
        <f ca="1">FLOOR((AB312-AB314*2^Z314)/(2^Z315),1)</f>
        <v>0</v>
      </c>
      <c r="AC315" s="41">
        <f t="shared" ref="AC315:AC319" si="111">2^Z315</f>
        <v>16</v>
      </c>
      <c r="AD315" s="60"/>
      <c r="AE315" s="60"/>
      <c r="AF315" s="61"/>
    </row>
    <row r="316" spans="13:32">
      <c r="M316" s="126"/>
      <c r="N316" s="66" t="s">
        <v>106</v>
      </c>
      <c r="O316" s="53"/>
      <c r="P316" s="41">
        <v>3</v>
      </c>
      <c r="Q316" s="40">
        <f ca="1">FLOOR((Q312-Q314*2^P314-Q315*2^P315)/(2^P316),1)</f>
        <v>0</v>
      </c>
      <c r="R316" s="40">
        <f ca="1">FLOOR((R312-R314*2^P314-R315*2^P315)/(2^P316),1)</f>
        <v>1</v>
      </c>
      <c r="S316" s="41">
        <f t="shared" si="110"/>
        <v>8</v>
      </c>
      <c r="T316" s="60"/>
      <c r="U316" s="60"/>
      <c r="V316" s="61"/>
      <c r="W316" s="127"/>
      <c r="X316" s="66" t="s">
        <v>106</v>
      </c>
      <c r="Y316" s="53"/>
      <c r="Z316" s="41">
        <v>3</v>
      </c>
      <c r="AA316" s="40">
        <f ca="1">FLOOR((AA312-AA314*2^Z314-AA315*2^Z315)/(2^Z316),1)</f>
        <v>0</v>
      </c>
      <c r="AB316" s="40">
        <f ca="1">FLOOR((AB312-AB314*2^Z314-AB315*2^Z315)/(2^Z316),1)</f>
        <v>1</v>
      </c>
      <c r="AC316" s="41">
        <f t="shared" si="111"/>
        <v>8</v>
      </c>
      <c r="AD316" s="60"/>
      <c r="AE316" s="60"/>
      <c r="AF316" s="61"/>
    </row>
    <row r="317" spans="13:32">
      <c r="M317" s="126"/>
      <c r="N317" s="66" t="s">
        <v>107</v>
      </c>
      <c r="O317" s="53"/>
      <c r="P317" s="41">
        <v>2</v>
      </c>
      <c r="Q317" s="40">
        <f ca="1">FLOOR((Q312-Q314*2^P314-Q315*2^P315-Q316*2^P316)/(2^P317),1)</f>
        <v>0</v>
      </c>
      <c r="R317" s="40">
        <f ca="1">FLOOR((R312-R314*2^P314-R315*2^P315-R316*2^P316)/(2^P317),1)</f>
        <v>0</v>
      </c>
      <c r="S317" s="41">
        <f t="shared" si="110"/>
        <v>4</v>
      </c>
      <c r="T317" s="60"/>
      <c r="U317" s="60"/>
      <c r="V317" s="61"/>
      <c r="W317" s="127"/>
      <c r="X317" s="66" t="s">
        <v>107</v>
      </c>
      <c r="Y317" s="53"/>
      <c r="Z317" s="41">
        <v>2</v>
      </c>
      <c r="AA317" s="40">
        <f ca="1">FLOOR((AA312-AA314*2^Z314-AA315*2^Z315-AA316*2^Z316)/(2^Z317),1)</f>
        <v>0</v>
      </c>
      <c r="AB317" s="40">
        <f ca="1">FLOOR((AB312-AB314*2^Z314-AB315*2^Z315-AB316*2^Z316)/(2^Z317),1)</f>
        <v>0</v>
      </c>
      <c r="AC317" s="41">
        <f t="shared" si="111"/>
        <v>4</v>
      </c>
      <c r="AD317" s="60"/>
      <c r="AE317" s="60"/>
      <c r="AF317" s="61"/>
    </row>
    <row r="318" spans="13:32">
      <c r="M318" s="126"/>
      <c r="N318" s="66"/>
      <c r="O318" s="53"/>
      <c r="P318" s="41">
        <v>1</v>
      </c>
      <c r="Q318" s="40">
        <f ca="1">FLOOR((Q312-Q314*2^P314-Q315*2^P315-Q316*2^P316-Q317*2^P317)/(2^P318),1)</f>
        <v>1</v>
      </c>
      <c r="R318" s="40">
        <f ca="1">FLOOR((R312-R314*2^P314-R315*2^P315-R316*2^P316-R317*2^P317)/(2^P318),1)</f>
        <v>0</v>
      </c>
      <c r="S318" s="41">
        <f t="shared" si="110"/>
        <v>2</v>
      </c>
      <c r="T318" s="60"/>
      <c r="U318" s="60"/>
      <c r="V318" s="61"/>
      <c r="W318" s="127"/>
      <c r="X318" s="66"/>
      <c r="Y318" s="53"/>
      <c r="Z318" s="41">
        <v>1</v>
      </c>
      <c r="AA318" s="40">
        <f ca="1">FLOOR((AA312-AA314*2^Z314-AA315*2^Z315-AA316*2^Z316-AA317*2^Z317)/(2^Z318),1)</f>
        <v>0</v>
      </c>
      <c r="AB318" s="40">
        <f ca="1">FLOOR((AB312-AB314*2^Z314-AB315*2^Z315-AB316*2^Z316-AB317*2^Z317)/(2^Z318),1)</f>
        <v>0</v>
      </c>
      <c r="AC318" s="41">
        <f t="shared" si="111"/>
        <v>2</v>
      </c>
      <c r="AD318" s="60"/>
      <c r="AE318" s="60"/>
      <c r="AF318" s="61"/>
    </row>
    <row r="319" spans="13:32">
      <c r="M319" s="126"/>
      <c r="N319" s="66"/>
      <c r="O319" s="53"/>
      <c r="P319" s="41">
        <v>0</v>
      </c>
      <c r="Q319" s="40">
        <f ca="1">FLOOR((Q312-Q314*2^P314-Q315*2^P315-Q316*2^P316-Q317*2^P317-Q318*2^P318)/(2^P319),1)</f>
        <v>0</v>
      </c>
      <c r="R319" s="40">
        <f ca="1">FLOOR((R312-R314*2^P314-R315*2^P315-R316*2^P316-R317*2^P317-R318*2^P318)/(2^P319),1)</f>
        <v>0</v>
      </c>
      <c r="S319" s="41">
        <f t="shared" si="110"/>
        <v>1</v>
      </c>
      <c r="T319" s="60"/>
      <c r="U319" s="60"/>
      <c r="V319" s="61"/>
      <c r="W319" s="127"/>
      <c r="X319" s="66"/>
      <c r="Y319" s="53"/>
      <c r="Z319" s="41">
        <v>0</v>
      </c>
      <c r="AA319" s="40">
        <f ca="1">FLOOR((AA312-AA314*2^Z314-AA315*2^Z315-AA316*2^Z316-AA317*2^Z317-AA318*2^Z318)/(2^Z319),1)</f>
        <v>0</v>
      </c>
      <c r="AB319" s="40">
        <f ca="1">FLOOR((AB312-AB314*2^Z314-AB315*2^Z315-AB316*2^Z316-AB317*2^Z317-AB318*2^Z318)/(2^Z319),1)</f>
        <v>0</v>
      </c>
      <c r="AC319" s="41">
        <f t="shared" si="111"/>
        <v>1</v>
      </c>
      <c r="AD319" s="60"/>
      <c r="AE319" s="60"/>
      <c r="AF319" s="61"/>
    </row>
    <row r="320" spans="13:32">
      <c r="M320" s="126"/>
      <c r="N320" s="66"/>
      <c r="O320" s="53"/>
      <c r="P320" s="41"/>
      <c r="Q320" s="42" t="s">
        <v>108</v>
      </c>
      <c r="R320" s="42" t="s">
        <v>109</v>
      </c>
      <c r="S320" s="41"/>
      <c r="T320" s="60"/>
      <c r="U320" s="60"/>
      <c r="V320" s="61"/>
      <c r="W320" s="127"/>
      <c r="X320" s="66"/>
      <c r="Y320" s="53"/>
      <c r="Z320" s="41"/>
      <c r="AA320" s="42" t="s">
        <v>108</v>
      </c>
      <c r="AB320" s="42" t="s">
        <v>109</v>
      </c>
      <c r="AC320" s="41"/>
      <c r="AD320" s="60"/>
      <c r="AE320" s="60"/>
      <c r="AF320" s="61"/>
    </row>
    <row r="321" spans="13:32">
      <c r="M321" s="126"/>
      <c r="N321" s="66" t="s">
        <v>114</v>
      </c>
      <c r="O321" s="53"/>
      <c r="P321" s="41"/>
      <c r="Q321" s="44">
        <f ca="1">Q314*2^P314+Q315*2^P315+Q316*2^P316+Q317*2^P317+Q318*2^P318+Q319*2^P319</f>
        <v>2</v>
      </c>
      <c r="R321" s="44">
        <f ca="1">R314*2^P314+R315*2^P315+R316*2^P316+R317*2^P317+R318*2^P318+R319*2^P319</f>
        <v>40</v>
      </c>
      <c r="S321" s="41"/>
      <c r="T321" s="60"/>
      <c r="U321" s="60"/>
      <c r="V321" s="61"/>
      <c r="W321" s="127"/>
      <c r="X321" s="66" t="s">
        <v>114</v>
      </c>
      <c r="Y321" s="53"/>
      <c r="Z321" s="41"/>
      <c r="AA321" s="44">
        <f ca="1">AA314*2^Z314+AA315*2^Z315+AA316*2^Z316+AA317*2^Z317+AA318*2^Z318+AA319*2^Z319</f>
        <v>32</v>
      </c>
      <c r="AB321" s="44">
        <f ca="1">AB314*2^Z314+AB315*2^Z315+AB316*2^Z316+AB317*2^Z317+AB318*2^Z318+AB319*2^Z319</f>
        <v>40</v>
      </c>
      <c r="AC321" s="41"/>
      <c r="AD321" s="60"/>
      <c r="AE321" s="60"/>
      <c r="AF321" s="61"/>
    </row>
    <row r="322" spans="13:32">
      <c r="M322" s="126"/>
      <c r="N322" s="67"/>
      <c r="O322" s="60"/>
      <c r="P322" s="60"/>
      <c r="Q322" s="60"/>
      <c r="R322" s="60"/>
      <c r="S322" s="60"/>
      <c r="T322" s="60"/>
      <c r="U322" s="60"/>
      <c r="V322" s="61"/>
      <c r="W322" s="127"/>
      <c r="X322" s="67"/>
      <c r="Y322" s="60"/>
      <c r="Z322" s="60"/>
      <c r="AA322" s="60"/>
      <c r="AB322" s="60"/>
      <c r="AC322" s="60"/>
      <c r="AD322" s="60"/>
      <c r="AE322" s="60"/>
      <c r="AF322" s="61"/>
    </row>
    <row r="323" spans="13:32">
      <c r="M323" s="126"/>
      <c r="N323" s="68" t="s">
        <v>111</v>
      </c>
      <c r="O323" s="69"/>
      <c r="P323" s="69"/>
      <c r="Q323" s="69"/>
      <c r="R323" s="69"/>
      <c r="S323" s="69"/>
      <c r="T323" s="70">
        <f ca="1">FLOOR(O308*T311,1)</f>
        <v>4</v>
      </c>
      <c r="U323" s="60"/>
      <c r="V323" s="61"/>
      <c r="W323" s="127"/>
      <c r="X323" s="68" t="s">
        <v>111</v>
      </c>
      <c r="Y323" s="69"/>
      <c r="Z323" s="69"/>
      <c r="AA323" s="69"/>
      <c r="AB323" s="69"/>
      <c r="AC323" s="69"/>
      <c r="AD323" s="70">
        <f ca="1">FLOOR(Y308*AD311,1)</f>
        <v>1</v>
      </c>
      <c r="AE323" s="60"/>
      <c r="AF323" s="61"/>
    </row>
    <row r="324" spans="13:32">
      <c r="M324" s="126"/>
      <c r="N324" s="67" t="s">
        <v>112</v>
      </c>
      <c r="O324" s="60"/>
      <c r="P324" s="60"/>
      <c r="Q324" s="60"/>
      <c r="R324" s="60"/>
      <c r="S324" s="60"/>
      <c r="T324" s="60"/>
      <c r="U324" s="60"/>
      <c r="V324" s="61"/>
      <c r="W324" s="127"/>
      <c r="X324" s="67" t="s">
        <v>112</v>
      </c>
      <c r="Y324" s="60"/>
      <c r="Z324" s="60"/>
      <c r="AA324" s="60"/>
      <c r="AB324" s="60"/>
      <c r="AC324" s="60"/>
      <c r="AD324" s="60"/>
      <c r="AE324" s="60"/>
      <c r="AF324" s="61"/>
    </row>
    <row r="325" spans="13:32">
      <c r="M325" s="126"/>
      <c r="N325" s="67"/>
      <c r="O325" s="60"/>
      <c r="P325" s="60"/>
      <c r="Q325" s="60"/>
      <c r="R325" s="60"/>
      <c r="S325" s="60"/>
      <c r="T325" s="60"/>
      <c r="U325" s="60"/>
      <c r="V325" s="61"/>
      <c r="W325" s="127"/>
      <c r="X325" s="67"/>
      <c r="Y325" s="60"/>
      <c r="Z325" s="60"/>
      <c r="AA325" s="60"/>
      <c r="AB325" s="60"/>
      <c r="AC325" s="60"/>
      <c r="AD325" s="60"/>
      <c r="AE325" s="60"/>
      <c r="AF325" s="61"/>
    </row>
    <row r="326" spans="13:32">
      <c r="M326" s="126"/>
      <c r="N326" s="66" t="s">
        <v>113</v>
      </c>
      <c r="O326" s="53"/>
      <c r="P326" s="42" t="s">
        <v>103</v>
      </c>
      <c r="Q326" s="42"/>
      <c r="R326" s="42"/>
      <c r="S326" s="42" t="s">
        <v>104</v>
      </c>
      <c r="T326" s="60"/>
      <c r="U326" s="60"/>
      <c r="V326" s="61"/>
      <c r="W326" s="127"/>
      <c r="X326" s="66" t="s">
        <v>113</v>
      </c>
      <c r="Y326" s="53"/>
      <c r="Z326" s="42" t="s">
        <v>103</v>
      </c>
      <c r="AA326" s="42"/>
      <c r="AB326" s="42"/>
      <c r="AC326" s="42" t="s">
        <v>104</v>
      </c>
      <c r="AD326" s="60"/>
      <c r="AE326" s="60"/>
      <c r="AF326" s="61"/>
    </row>
    <row r="327" spans="13:32">
      <c r="M327" s="126"/>
      <c r="N327" s="66"/>
      <c r="O327" s="53"/>
      <c r="P327" s="41">
        <v>5</v>
      </c>
      <c r="Q327" s="40">
        <f ca="1">IF(T323&gt;=1,R314,Q314)</f>
        <v>1</v>
      </c>
      <c r="R327" s="40">
        <f ca="1">IF(T323&gt;=1,Q314,R314)</f>
        <v>0</v>
      </c>
      <c r="S327" s="41">
        <f>2^P327</f>
        <v>32</v>
      </c>
      <c r="T327" s="60"/>
      <c r="U327" s="60"/>
      <c r="V327" s="61"/>
      <c r="W327" s="127"/>
      <c r="X327" s="66"/>
      <c r="Y327" s="53"/>
      <c r="Z327" s="41">
        <v>5</v>
      </c>
      <c r="AA327" s="40">
        <f ca="1">IF(AD323&gt;=1,AB314,AA314)</f>
        <v>1</v>
      </c>
      <c r="AB327" s="40">
        <f ca="1">IF(AD323&gt;=1,AA314,AB314)</f>
        <v>1</v>
      </c>
      <c r="AC327" s="41">
        <f>2^Z327</f>
        <v>32</v>
      </c>
      <c r="AD327" s="60"/>
      <c r="AE327" s="60"/>
      <c r="AF327" s="61"/>
    </row>
    <row r="328" spans="13:32">
      <c r="M328" s="126"/>
      <c r="N328" s="66"/>
      <c r="O328" s="53"/>
      <c r="P328" s="41">
        <v>4</v>
      </c>
      <c r="Q328" s="40">
        <f ca="1">IF(T323&gt;=2,R315,Q315)</f>
        <v>0</v>
      </c>
      <c r="R328" s="40">
        <f ca="1">IF(T323&gt;=2,Q315,R315)</f>
        <v>0</v>
      </c>
      <c r="S328" s="41">
        <f t="shared" ref="S328:S332" si="112">2^P328</f>
        <v>16</v>
      </c>
      <c r="T328" s="60"/>
      <c r="U328" s="60"/>
      <c r="V328" s="61"/>
      <c r="W328" s="127"/>
      <c r="X328" s="66"/>
      <c r="Y328" s="53"/>
      <c r="Z328" s="41">
        <v>4</v>
      </c>
      <c r="AA328" s="40">
        <f ca="1">IF(AD323&gt;=2,AB315,AA315)</f>
        <v>0</v>
      </c>
      <c r="AB328" s="40">
        <f ca="1">IF(AD323&gt;=2,AA315,AB315)</f>
        <v>0</v>
      </c>
      <c r="AC328" s="41">
        <f t="shared" ref="AC328:AC332" si="113">2^Z328</f>
        <v>16</v>
      </c>
      <c r="AD328" s="60"/>
      <c r="AE328" s="60"/>
      <c r="AF328" s="61"/>
    </row>
    <row r="329" spans="13:32">
      <c r="M329" s="126"/>
      <c r="N329" s="66"/>
      <c r="O329" s="53"/>
      <c r="P329" s="41">
        <v>3</v>
      </c>
      <c r="Q329" s="40">
        <f ca="1">IF(T323&gt;=3,R316,Q316)</f>
        <v>1</v>
      </c>
      <c r="R329" s="40">
        <f ca="1">IF(T323&gt;=3,Q316,R316)</f>
        <v>0</v>
      </c>
      <c r="S329" s="41">
        <f t="shared" si="112"/>
        <v>8</v>
      </c>
      <c r="T329" s="60"/>
      <c r="U329" s="60"/>
      <c r="V329" s="61"/>
      <c r="W329" s="127"/>
      <c r="X329" s="66"/>
      <c r="Y329" s="53"/>
      <c r="Z329" s="41">
        <v>3</v>
      </c>
      <c r="AA329" s="40">
        <f ca="1">IF(AD323&gt;=3,AB316,AA316)</f>
        <v>0</v>
      </c>
      <c r="AB329" s="40">
        <f ca="1">IF(AD323&gt;=3,AA316,AB316)</f>
        <v>1</v>
      </c>
      <c r="AC329" s="41">
        <f t="shared" si="113"/>
        <v>8</v>
      </c>
      <c r="AD329" s="60"/>
      <c r="AE329" s="60"/>
      <c r="AF329" s="61"/>
    </row>
    <row r="330" spans="13:32">
      <c r="M330" s="126"/>
      <c r="N330" s="66"/>
      <c r="O330" s="53"/>
      <c r="P330" s="41">
        <v>2</v>
      </c>
      <c r="Q330" s="40">
        <f ca="1">IF(T323&gt;=4,R317,Q317)</f>
        <v>0</v>
      </c>
      <c r="R330" s="40">
        <f ca="1">IF(T323&gt;=4,Q317,R317)</f>
        <v>0</v>
      </c>
      <c r="S330" s="41">
        <f t="shared" si="112"/>
        <v>4</v>
      </c>
      <c r="T330" s="60"/>
      <c r="U330" s="60"/>
      <c r="V330" s="61"/>
      <c r="W330" s="127"/>
      <c r="X330" s="66"/>
      <c r="Y330" s="53"/>
      <c r="Z330" s="41">
        <v>2</v>
      </c>
      <c r="AA330" s="40">
        <f ca="1">IF(AD323&gt;=4,AB317,AA317)</f>
        <v>0</v>
      </c>
      <c r="AB330" s="40">
        <f ca="1">IF(AD323&gt;=4,AA317,AB317)</f>
        <v>0</v>
      </c>
      <c r="AC330" s="41">
        <f t="shared" si="113"/>
        <v>4</v>
      </c>
      <c r="AD330" s="60"/>
      <c r="AE330" s="60"/>
      <c r="AF330" s="61"/>
    </row>
    <row r="331" spans="13:32">
      <c r="M331" s="126"/>
      <c r="N331" s="66"/>
      <c r="O331" s="53"/>
      <c r="P331" s="41">
        <v>1</v>
      </c>
      <c r="Q331" s="40">
        <f ca="1">IF(T323&gt;=5,R318,Q318)</f>
        <v>1</v>
      </c>
      <c r="R331" s="40">
        <f ca="1">IF(T323&gt;=5,Q318,R318)</f>
        <v>0</v>
      </c>
      <c r="S331" s="41">
        <f t="shared" si="112"/>
        <v>2</v>
      </c>
      <c r="T331" s="60"/>
      <c r="U331" s="60"/>
      <c r="V331" s="61"/>
      <c r="W331" s="127"/>
      <c r="X331" s="66"/>
      <c r="Y331" s="53"/>
      <c r="Z331" s="41">
        <v>1</v>
      </c>
      <c r="AA331" s="40">
        <f ca="1">IF(AD323&gt;=5,AB318,AA318)</f>
        <v>0</v>
      </c>
      <c r="AB331" s="40">
        <f ca="1">IF(AD323&gt;=5,AA318,AB318)</f>
        <v>0</v>
      </c>
      <c r="AC331" s="41">
        <f t="shared" si="113"/>
        <v>2</v>
      </c>
      <c r="AD331" s="60"/>
      <c r="AE331" s="60"/>
      <c r="AF331" s="61"/>
    </row>
    <row r="332" spans="13:32">
      <c r="M332" s="126"/>
      <c r="N332" s="66"/>
      <c r="O332" s="53"/>
      <c r="P332" s="41">
        <v>0</v>
      </c>
      <c r="Q332" s="40">
        <f ca="1">IF(T323&gt;=6,R319,Q319)</f>
        <v>0</v>
      </c>
      <c r="R332" s="40">
        <f ca="1">IF(T323&gt;=6,Q319,R319)</f>
        <v>0</v>
      </c>
      <c r="S332" s="41">
        <f t="shared" si="112"/>
        <v>1</v>
      </c>
      <c r="T332" s="60"/>
      <c r="U332" s="60"/>
      <c r="V332" s="61"/>
      <c r="W332" s="127"/>
      <c r="X332" s="66"/>
      <c r="Y332" s="53"/>
      <c r="Z332" s="41">
        <v>0</v>
      </c>
      <c r="AA332" s="40">
        <f ca="1">IF(AD323&gt;=6,AB319,AA319)</f>
        <v>0</v>
      </c>
      <c r="AB332" s="40">
        <f ca="1">IF(AD323&gt;=6,AA319,AB319)</f>
        <v>0</v>
      </c>
      <c r="AC332" s="41">
        <f t="shared" si="113"/>
        <v>1</v>
      </c>
      <c r="AD332" s="60"/>
      <c r="AE332" s="60"/>
      <c r="AF332" s="61"/>
    </row>
    <row r="333" spans="13:32">
      <c r="M333" s="126"/>
      <c r="N333" s="66"/>
      <c r="O333" s="53"/>
      <c r="P333" s="41"/>
      <c r="Q333" s="42" t="s">
        <v>108</v>
      </c>
      <c r="R333" s="42" t="s">
        <v>109</v>
      </c>
      <c r="S333" s="41"/>
      <c r="T333" s="60"/>
      <c r="U333" s="60"/>
      <c r="V333" s="61"/>
      <c r="W333" s="127"/>
      <c r="X333" s="66"/>
      <c r="Y333" s="53"/>
      <c r="Z333" s="41"/>
      <c r="AA333" s="42" t="s">
        <v>108</v>
      </c>
      <c r="AB333" s="42" t="s">
        <v>109</v>
      </c>
      <c r="AC333" s="41"/>
      <c r="AD333" s="60"/>
      <c r="AE333" s="60"/>
      <c r="AF333" s="61"/>
    </row>
    <row r="334" spans="13:32">
      <c r="M334" s="126"/>
      <c r="N334" s="66" t="s">
        <v>114</v>
      </c>
      <c r="O334" s="53"/>
      <c r="P334" s="41"/>
      <c r="Q334" s="44">
        <f ca="1">Q327*2^P327+Q328*2^P328+Q329*2^P329+Q330*2^P330+Q331*2^P331+Q332*2^P332</f>
        <v>42</v>
      </c>
      <c r="R334" s="44">
        <f ca="1">R327*2^P327+R328*2^P328+R329*2^P329+R330*2^P330+R331*2^P331+R332*2^P332</f>
        <v>0</v>
      </c>
      <c r="S334" s="41"/>
      <c r="T334" s="60"/>
      <c r="U334" s="60"/>
      <c r="V334" s="61"/>
      <c r="W334" s="127"/>
      <c r="X334" s="66" t="s">
        <v>114</v>
      </c>
      <c r="Y334" s="53"/>
      <c r="Z334" s="41"/>
      <c r="AA334" s="44">
        <f ca="1">AA327*2^Z327+AA328*2^Z328+AA329*2^Z329+AA330*2^Z330+AA331*2^Z331+AA332*2^Z332</f>
        <v>32</v>
      </c>
      <c r="AB334" s="44">
        <f ca="1">AB327*2^Z327+AB328*2^Z328+AB329*2^Z329+AB330*2^Z330+AB331*2^Z331+AB332*2^Z332</f>
        <v>40</v>
      </c>
      <c r="AC334" s="41"/>
      <c r="AD334" s="60"/>
      <c r="AE334" s="60"/>
      <c r="AF334" s="61"/>
    </row>
    <row r="335" spans="13:32">
      <c r="M335" s="126"/>
      <c r="N335" s="67"/>
      <c r="O335" s="60"/>
      <c r="P335" s="60"/>
      <c r="Q335" s="60"/>
      <c r="R335" s="60"/>
      <c r="S335" s="60"/>
      <c r="T335" s="60"/>
      <c r="U335" s="60"/>
      <c r="V335" s="61"/>
      <c r="W335" s="127"/>
      <c r="X335" s="67"/>
      <c r="Y335" s="60"/>
      <c r="Z335" s="60"/>
      <c r="AA335" s="60"/>
      <c r="AB335" s="60"/>
      <c r="AC335" s="60"/>
      <c r="AD335" s="60"/>
      <c r="AE335" s="60"/>
      <c r="AF335" s="61"/>
    </row>
    <row r="336" spans="13:32">
      <c r="M336" s="126"/>
      <c r="N336" s="68" t="s">
        <v>115</v>
      </c>
      <c r="O336" s="69"/>
      <c r="P336" s="69"/>
      <c r="Q336" s="69"/>
      <c r="R336" s="69"/>
      <c r="S336" s="69"/>
      <c r="T336" s="69"/>
      <c r="U336" s="70">
        <f ca="1">FLOOR(O308*U311,1)</f>
        <v>2</v>
      </c>
      <c r="V336" s="71">
        <f ca="1">FLOOR(O308*V311,1)</f>
        <v>0</v>
      </c>
      <c r="W336" s="127"/>
      <c r="X336" s="68" t="s">
        <v>115</v>
      </c>
      <c r="Y336" s="69"/>
      <c r="Z336" s="69"/>
      <c r="AA336" s="69"/>
      <c r="AB336" s="69"/>
      <c r="AC336" s="69"/>
      <c r="AD336" s="69"/>
      <c r="AE336" s="70">
        <f ca="1">FLOOR(Y308*AE311,1)</f>
        <v>1</v>
      </c>
      <c r="AF336" s="71">
        <f ca="1">FLOOR(Y308*AF311,1)</f>
        <v>0</v>
      </c>
    </row>
    <row r="337" spans="13:32">
      <c r="M337" s="126"/>
      <c r="N337" s="67"/>
      <c r="O337" s="60"/>
      <c r="P337" s="60"/>
      <c r="Q337" s="60"/>
      <c r="R337" s="60"/>
      <c r="S337" s="60"/>
      <c r="T337" s="60"/>
      <c r="U337" s="60"/>
      <c r="V337" s="61"/>
      <c r="W337" s="127"/>
      <c r="X337" s="67"/>
      <c r="Y337" s="60"/>
      <c r="Z337" s="60"/>
      <c r="AA337" s="60"/>
      <c r="AB337" s="60"/>
      <c r="AC337" s="60"/>
      <c r="AD337" s="60"/>
      <c r="AE337" s="60"/>
      <c r="AF337" s="61"/>
    </row>
    <row r="338" spans="13:32">
      <c r="M338" s="126"/>
      <c r="N338" s="67"/>
      <c r="O338" s="60"/>
      <c r="P338" s="60"/>
      <c r="Q338" s="60"/>
      <c r="R338" s="60"/>
      <c r="S338" s="60"/>
      <c r="T338" s="60"/>
      <c r="U338" s="60"/>
      <c r="V338" s="61"/>
      <c r="W338" s="127"/>
      <c r="X338" s="67"/>
      <c r="Y338" s="60"/>
      <c r="Z338" s="60"/>
      <c r="AA338" s="60"/>
      <c r="AB338" s="60"/>
      <c r="AC338" s="60"/>
      <c r="AD338" s="60"/>
      <c r="AE338" s="60"/>
      <c r="AF338" s="61"/>
    </row>
    <row r="339" spans="13:32">
      <c r="M339" s="126"/>
      <c r="N339" s="67"/>
      <c r="O339" s="60"/>
      <c r="P339" s="42" t="s">
        <v>103</v>
      </c>
      <c r="Q339" s="42"/>
      <c r="R339" s="42"/>
      <c r="S339" s="42" t="s">
        <v>104</v>
      </c>
      <c r="T339" s="60"/>
      <c r="U339" s="60"/>
      <c r="V339" s="61"/>
      <c r="W339" s="127"/>
      <c r="X339" s="67"/>
      <c r="Y339" s="60"/>
      <c r="Z339" s="42" t="s">
        <v>103</v>
      </c>
      <c r="AA339" s="42"/>
      <c r="AB339" s="42"/>
      <c r="AC339" s="42" t="s">
        <v>104</v>
      </c>
      <c r="AD339" s="60"/>
      <c r="AE339" s="60"/>
      <c r="AF339" s="61"/>
    </row>
    <row r="340" spans="13:32">
      <c r="M340" s="126"/>
      <c r="N340" s="67"/>
      <c r="O340" s="60"/>
      <c r="P340" s="41">
        <v>5</v>
      </c>
      <c r="Q340" s="40">
        <f ca="1">IF(U336=1,IF(Q327=1,0,1),Q327)</f>
        <v>1</v>
      </c>
      <c r="R340" s="40">
        <f ca="1">IF(V336=1,IF(R327=1,0,1),R327)</f>
        <v>0</v>
      </c>
      <c r="S340" s="41">
        <f>2^P340</f>
        <v>32</v>
      </c>
      <c r="T340" s="60"/>
      <c r="U340" s="60"/>
      <c r="V340" s="61"/>
      <c r="W340" s="127"/>
      <c r="X340" s="67"/>
      <c r="Y340" s="60"/>
      <c r="Z340" s="41">
        <v>5</v>
      </c>
      <c r="AA340" s="40">
        <f ca="1">IF(AE336=1,IF(AA327=1,0,1),AA327)</f>
        <v>0</v>
      </c>
      <c r="AB340" s="40">
        <f ca="1">IF(AF336=1,IF(AB327=1,0,1),AB327)</f>
        <v>1</v>
      </c>
      <c r="AC340" s="41">
        <f>2^Z340</f>
        <v>32</v>
      </c>
      <c r="AD340" s="60"/>
      <c r="AE340" s="60"/>
      <c r="AF340" s="61"/>
    </row>
    <row r="341" spans="13:32">
      <c r="M341" s="126"/>
      <c r="N341" s="67"/>
      <c r="O341" s="60"/>
      <c r="P341" s="41">
        <v>4</v>
      </c>
      <c r="Q341" s="40">
        <f ca="1">IF(U336=2,IF(Q328=1,0,1),Q328)</f>
        <v>1</v>
      </c>
      <c r="R341" s="40">
        <f ca="1">IF(V336=2,IF(R328=1,0,1),R328)</f>
        <v>0</v>
      </c>
      <c r="S341" s="41">
        <f t="shared" ref="S341:S345" si="114">2^P341</f>
        <v>16</v>
      </c>
      <c r="T341" s="60"/>
      <c r="U341" s="60"/>
      <c r="V341" s="61"/>
      <c r="W341" s="127"/>
      <c r="X341" s="67"/>
      <c r="Y341" s="60"/>
      <c r="Z341" s="41">
        <v>4</v>
      </c>
      <c r="AA341" s="40">
        <f ca="1">IF(AE336=2,IF(AA328=1,0,1),AA328)</f>
        <v>0</v>
      </c>
      <c r="AB341" s="40">
        <f ca="1">IF(AF336=2,IF(AB328=1,0,1),AB328)</f>
        <v>0</v>
      </c>
      <c r="AC341" s="41">
        <f t="shared" ref="AC341:AC345" si="115">2^Z341</f>
        <v>16</v>
      </c>
      <c r="AD341" s="60"/>
      <c r="AE341" s="60"/>
      <c r="AF341" s="61"/>
    </row>
    <row r="342" spans="13:32">
      <c r="M342" s="126"/>
      <c r="N342" s="67"/>
      <c r="O342" s="60"/>
      <c r="P342" s="41">
        <v>3</v>
      </c>
      <c r="Q342" s="40">
        <f ca="1">IF(U336=3,IF(Q329=1,0,1),Q329)</f>
        <v>1</v>
      </c>
      <c r="R342" s="40">
        <f ca="1">IF(V336=3,IF(R329=1,0,1),R329)</f>
        <v>0</v>
      </c>
      <c r="S342" s="41">
        <f t="shared" si="114"/>
        <v>8</v>
      </c>
      <c r="T342" s="60"/>
      <c r="U342" s="60"/>
      <c r="V342" s="61"/>
      <c r="W342" s="127"/>
      <c r="X342" s="67"/>
      <c r="Y342" s="60"/>
      <c r="Z342" s="41">
        <v>3</v>
      </c>
      <c r="AA342" s="40">
        <f ca="1">IF(AE336=3,IF(AA329=1,0,1),AA329)</f>
        <v>0</v>
      </c>
      <c r="AB342" s="40">
        <f ca="1">IF(AF336=3,IF(AB329=1,0,1),AB329)</f>
        <v>1</v>
      </c>
      <c r="AC342" s="41">
        <f t="shared" si="115"/>
        <v>8</v>
      </c>
      <c r="AD342" s="60"/>
      <c r="AE342" s="60"/>
      <c r="AF342" s="61"/>
    </row>
    <row r="343" spans="13:32">
      <c r="M343" s="126"/>
      <c r="N343" s="67"/>
      <c r="O343" s="60"/>
      <c r="P343" s="41">
        <v>2</v>
      </c>
      <c r="Q343" s="40">
        <f ca="1">IF(U336=4,IF(Q330=1,0,1),Q330)</f>
        <v>0</v>
      </c>
      <c r="R343" s="40">
        <f ca="1">IF(V336=4,IF(R330=1,0,1),R330)</f>
        <v>0</v>
      </c>
      <c r="S343" s="41">
        <f t="shared" si="114"/>
        <v>4</v>
      </c>
      <c r="T343" s="60"/>
      <c r="U343" s="60"/>
      <c r="V343" s="61"/>
      <c r="W343" s="127"/>
      <c r="X343" s="67"/>
      <c r="Y343" s="60"/>
      <c r="Z343" s="41">
        <v>2</v>
      </c>
      <c r="AA343" s="40">
        <f ca="1">IF(AE336=4,IF(AA330=1,0,1),AA330)</f>
        <v>0</v>
      </c>
      <c r="AB343" s="40">
        <f ca="1">IF(AF336=4,IF(AB330=1,0,1),AB330)</f>
        <v>0</v>
      </c>
      <c r="AC343" s="41">
        <f t="shared" si="115"/>
        <v>4</v>
      </c>
      <c r="AD343" s="60"/>
      <c r="AE343" s="60"/>
      <c r="AF343" s="61"/>
    </row>
    <row r="344" spans="13:32">
      <c r="M344" s="126"/>
      <c r="N344" s="67"/>
      <c r="O344" s="60"/>
      <c r="P344" s="41">
        <v>1</v>
      </c>
      <c r="Q344" s="40">
        <f ca="1">IF(U336=5,IF(Q331=1,0,1),Q331)</f>
        <v>1</v>
      </c>
      <c r="R344" s="40">
        <f ca="1">IF(V336=5,IF(R331=1,0,1),R331)</f>
        <v>0</v>
      </c>
      <c r="S344" s="41">
        <f t="shared" si="114"/>
        <v>2</v>
      </c>
      <c r="T344" s="60"/>
      <c r="U344" s="60"/>
      <c r="V344" s="61"/>
      <c r="W344" s="127"/>
      <c r="X344" s="67"/>
      <c r="Y344" s="60"/>
      <c r="Z344" s="41">
        <v>1</v>
      </c>
      <c r="AA344" s="40">
        <f ca="1">IF(AE336=5,IF(AA331=1,0,1),AA331)</f>
        <v>0</v>
      </c>
      <c r="AB344" s="40">
        <f ca="1">IF(AF336=5,IF(AB331=1,0,1),AB331)</f>
        <v>0</v>
      </c>
      <c r="AC344" s="41">
        <f t="shared" si="115"/>
        <v>2</v>
      </c>
      <c r="AD344" s="60"/>
      <c r="AE344" s="60"/>
      <c r="AF344" s="61"/>
    </row>
    <row r="345" spans="13:32">
      <c r="M345" s="126"/>
      <c r="N345" s="67"/>
      <c r="O345" s="60"/>
      <c r="P345" s="41">
        <v>0</v>
      </c>
      <c r="Q345" s="40">
        <f ca="1">IF(U336=6,IF(Q332=1,0,1),Q332)</f>
        <v>0</v>
      </c>
      <c r="R345" s="40">
        <f ca="1">IF(V336=6,IF(R332=1,0,1),R332)</f>
        <v>0</v>
      </c>
      <c r="S345" s="41">
        <f t="shared" si="114"/>
        <v>1</v>
      </c>
      <c r="T345" s="60"/>
      <c r="U345" s="60"/>
      <c r="V345" s="61"/>
      <c r="W345" s="127"/>
      <c r="X345" s="67"/>
      <c r="Y345" s="60"/>
      <c r="Z345" s="41">
        <v>0</v>
      </c>
      <c r="AA345" s="40">
        <f ca="1">IF(AE336=6,IF(AA332=1,0,1),AA332)</f>
        <v>0</v>
      </c>
      <c r="AB345" s="40">
        <f ca="1">IF(AF336=6,IF(AB332=1,0,1),AB332)</f>
        <v>0</v>
      </c>
      <c r="AC345" s="41">
        <f t="shared" si="115"/>
        <v>1</v>
      </c>
      <c r="AD345" s="60"/>
      <c r="AE345" s="60"/>
      <c r="AF345" s="61"/>
    </row>
    <row r="346" spans="13:32">
      <c r="M346" s="126"/>
      <c r="N346" s="67"/>
      <c r="O346" s="60"/>
      <c r="P346" s="41"/>
      <c r="Q346" s="42" t="s">
        <v>108</v>
      </c>
      <c r="R346" s="42" t="s">
        <v>109</v>
      </c>
      <c r="S346" s="41"/>
      <c r="T346" s="60"/>
      <c r="U346" s="60"/>
      <c r="V346" s="61"/>
      <c r="W346" s="127"/>
      <c r="X346" s="67"/>
      <c r="Y346" s="60"/>
      <c r="Z346" s="41"/>
      <c r="AA346" s="42" t="s">
        <v>108</v>
      </c>
      <c r="AB346" s="42" t="s">
        <v>109</v>
      </c>
      <c r="AC346" s="41"/>
      <c r="AD346" s="60"/>
      <c r="AE346" s="60"/>
      <c r="AF346" s="61"/>
    </row>
    <row r="347" spans="13:32">
      <c r="M347" s="126"/>
      <c r="N347" s="67"/>
      <c r="O347" s="60"/>
      <c r="P347" s="41"/>
      <c r="Q347" s="44">
        <f ca="1">Q340*2^P340+Q341*2^P341+Q342*2^P342+Q343*2^P343+Q344*2^P344+Q345*2^P345</f>
        <v>58</v>
      </c>
      <c r="R347" s="44">
        <f ca="1">R340*2^P340+R341*2^P341+R342*2^P342+R343*2^P343+R344*2^P344+R345*2^P345</f>
        <v>0</v>
      </c>
      <c r="S347" s="41"/>
      <c r="T347" s="60"/>
      <c r="U347" s="60"/>
      <c r="V347" s="61"/>
      <c r="W347" s="127"/>
      <c r="X347" s="67"/>
      <c r="Y347" s="60"/>
      <c r="Z347" s="41"/>
      <c r="AA347" s="44">
        <f ca="1">AA340*2^Z340+AA341*2^Z341+AA342*2^Z342+AA343*2^Z343+AA344*2^Z344+AA345*2^Z345</f>
        <v>0</v>
      </c>
      <c r="AB347" s="44">
        <f ca="1">AB340*2^Z340+AB341*2^Z341+AB342*2^Z342+AB343*2^Z343+AB344*2^Z344+AB345*2^Z345</f>
        <v>40</v>
      </c>
      <c r="AC347" s="41"/>
      <c r="AD347" s="60"/>
      <c r="AE347" s="60"/>
      <c r="AF347" s="61"/>
    </row>
    <row r="348" spans="13:32">
      <c r="M348" s="126"/>
      <c r="N348" s="67"/>
      <c r="O348" s="60"/>
      <c r="P348" s="60"/>
      <c r="Q348" s="60"/>
      <c r="R348" s="60"/>
      <c r="S348" s="60"/>
      <c r="T348" s="60"/>
      <c r="U348" s="60"/>
      <c r="V348" s="61"/>
      <c r="W348" s="127"/>
      <c r="X348" s="67"/>
      <c r="Y348" s="60"/>
      <c r="Z348" s="60"/>
      <c r="AA348" s="60"/>
      <c r="AB348" s="60"/>
      <c r="AC348" s="60"/>
      <c r="AD348" s="60"/>
      <c r="AE348" s="60"/>
      <c r="AF348" s="61"/>
    </row>
    <row r="349" spans="13:32">
      <c r="M349" s="126"/>
      <c r="N349" s="72" t="s">
        <v>116</v>
      </c>
      <c r="O349" s="73"/>
      <c r="P349" s="73"/>
      <c r="Q349" s="74">
        <f ca="1">(Q347/P309)*(S311-P311)+P311</f>
        <v>4.2063492063492056</v>
      </c>
      <c r="R349" s="74">
        <f ca="1">(R347/P309)*(S311-P311)+P311</f>
        <v>-5</v>
      </c>
      <c r="S349" s="75"/>
      <c r="T349" s="75"/>
      <c r="U349" s="75"/>
      <c r="V349" s="76"/>
      <c r="W349" s="127"/>
      <c r="X349" s="72" t="s">
        <v>116</v>
      </c>
      <c r="Y349" s="73"/>
      <c r="Z349" s="73"/>
      <c r="AA349" s="74">
        <f ca="1">(AA347/Z309)*(AC311-Z311)+Z311</f>
        <v>-5</v>
      </c>
      <c r="AB349" s="74">
        <f ca="1">(AB347/Z309)*(AC311-Z311)+Z311</f>
        <v>1.3492063492063489</v>
      </c>
      <c r="AC349" s="75"/>
      <c r="AD349" s="75"/>
      <c r="AE349" s="75"/>
      <c r="AF349" s="76"/>
    </row>
    <row r="350" spans="13:32">
      <c r="M350" s="126"/>
      <c r="N350" s="122" t="s">
        <v>157</v>
      </c>
      <c r="O350" s="123"/>
      <c r="P350" s="123"/>
      <c r="Q350" s="123"/>
      <c r="R350" s="123"/>
      <c r="S350" s="123"/>
      <c r="T350" s="123"/>
      <c r="U350" s="123"/>
      <c r="V350" s="124"/>
      <c r="W350" s="127"/>
      <c r="X350" s="122" t="s">
        <v>157</v>
      </c>
      <c r="Y350" s="123"/>
      <c r="Z350" s="123"/>
      <c r="AA350" s="123"/>
      <c r="AB350" s="123"/>
      <c r="AC350" s="123"/>
      <c r="AD350" s="123"/>
      <c r="AE350" s="123"/>
      <c r="AF350" s="124"/>
    </row>
    <row r="351" spans="13:32">
      <c r="M351" s="126"/>
      <c r="N351" s="59" t="s">
        <v>100</v>
      </c>
      <c r="O351" s="60">
        <v>6</v>
      </c>
      <c r="P351" s="60"/>
      <c r="Q351" s="60"/>
      <c r="R351" s="60"/>
      <c r="S351" s="60"/>
      <c r="T351" s="60"/>
      <c r="U351" s="60"/>
      <c r="V351" s="61"/>
      <c r="W351" s="127"/>
      <c r="X351" s="59" t="s">
        <v>100</v>
      </c>
      <c r="Y351" s="60">
        <v>6</v>
      </c>
      <c r="Z351" s="60"/>
      <c r="AA351" s="60"/>
      <c r="AB351" s="60"/>
      <c r="AC351" s="60"/>
      <c r="AD351" s="60"/>
      <c r="AE351" s="60"/>
      <c r="AF351" s="61"/>
    </row>
    <row r="352" spans="13:32" ht="30">
      <c r="M352" s="126"/>
      <c r="N352" s="59" t="s">
        <v>101</v>
      </c>
      <c r="O352" s="60">
        <v>0</v>
      </c>
      <c r="P352" s="60">
        <f>(2^O351)-1</f>
        <v>63</v>
      </c>
      <c r="Q352" s="60"/>
      <c r="R352" s="60"/>
      <c r="S352" s="60"/>
      <c r="T352" s="60"/>
      <c r="U352" s="60"/>
      <c r="V352" s="61"/>
      <c r="W352" s="127"/>
      <c r="X352" s="59" t="s">
        <v>101</v>
      </c>
      <c r="Y352" s="60">
        <v>0</v>
      </c>
      <c r="Z352" s="60">
        <f>(2^Y351)-1</f>
        <v>63</v>
      </c>
      <c r="AA352" s="60"/>
      <c r="AB352" s="60"/>
      <c r="AC352" s="60"/>
      <c r="AD352" s="60"/>
      <c r="AE352" s="60"/>
      <c r="AF352" s="61"/>
    </row>
    <row r="353" spans="13:32">
      <c r="M353" s="126"/>
      <c r="N353" s="62" t="s">
        <v>72</v>
      </c>
      <c r="O353" s="4" t="s">
        <v>73</v>
      </c>
      <c r="P353" s="4" t="s">
        <v>91</v>
      </c>
      <c r="Q353" s="4" t="s">
        <v>155</v>
      </c>
      <c r="R353" s="4" t="s">
        <v>156</v>
      </c>
      <c r="S353" s="4" t="s">
        <v>94</v>
      </c>
      <c r="T353" s="4" t="s">
        <v>95</v>
      </c>
      <c r="U353" s="4" t="s">
        <v>96</v>
      </c>
      <c r="V353" s="63" t="s">
        <v>97</v>
      </c>
      <c r="W353" s="127"/>
      <c r="X353" s="62" t="s">
        <v>72</v>
      </c>
      <c r="Y353" s="4" t="s">
        <v>73</v>
      </c>
      <c r="Z353" s="4" t="s">
        <v>91</v>
      </c>
      <c r="AA353" s="4" t="s">
        <v>155</v>
      </c>
      <c r="AB353" s="4" t="s">
        <v>156</v>
      </c>
      <c r="AC353" s="4" t="s">
        <v>94</v>
      </c>
      <c r="AD353" s="4" t="s">
        <v>95</v>
      </c>
      <c r="AE353" s="4" t="s">
        <v>96</v>
      </c>
      <c r="AF353" s="63" t="s">
        <v>97</v>
      </c>
    </row>
    <row r="354" spans="13:32">
      <c r="M354" s="126"/>
      <c r="N354" s="64" t="s">
        <v>1</v>
      </c>
      <c r="O354" s="53"/>
      <c r="P354" s="53">
        <v>-5</v>
      </c>
      <c r="Q354" s="65">
        <f ca="1">E46</f>
        <v>-3.7573898508751693</v>
      </c>
      <c r="R354" s="65">
        <f ca="1">F46</f>
        <v>0.38224804589572425</v>
      </c>
      <c r="S354" s="53">
        <v>5</v>
      </c>
      <c r="T354" s="53">
        <f ca="1">RAND()</f>
        <v>0.81933894953533781</v>
      </c>
      <c r="U354" s="53">
        <f t="shared" ref="U354:V354" ca="1" si="116">RAND()</f>
        <v>0.6524898820211289</v>
      </c>
      <c r="V354" s="28">
        <f t="shared" ca="1" si="116"/>
        <v>0.27906235033123639</v>
      </c>
      <c r="W354" s="127"/>
      <c r="X354" s="64" t="s">
        <v>1</v>
      </c>
      <c r="Y354" s="53"/>
      <c r="Z354" s="53">
        <v>-5</v>
      </c>
      <c r="AA354" s="65">
        <f ca="1">E85</f>
        <v>-0.87301587301587347</v>
      </c>
      <c r="AB354" s="65">
        <f ca="1">F85</f>
        <v>0.23809523809523814</v>
      </c>
      <c r="AC354" s="53">
        <v>5</v>
      </c>
      <c r="AD354" s="53">
        <f ca="1">RAND()</f>
        <v>0.94045395296787315</v>
      </c>
      <c r="AE354" s="53">
        <f t="shared" ref="AE354:AF354" ca="1" si="117">RAND()</f>
        <v>0.72747615601885074</v>
      </c>
      <c r="AF354" s="28">
        <f t="shared" ca="1" si="117"/>
        <v>0.72523074050073122</v>
      </c>
    </row>
    <row r="355" spans="13:32" ht="30">
      <c r="M355" s="126"/>
      <c r="N355" s="59" t="s">
        <v>110</v>
      </c>
      <c r="O355" s="60"/>
      <c r="P355" s="60"/>
      <c r="Q355" s="60">
        <f ca="1">(ABS(Q354-P354)/(S354-P354))*(P352-O352)</f>
        <v>7.8284439394864327</v>
      </c>
      <c r="R355" s="60">
        <f ca="1">(ABS(R354-P354)/(S354-P354))*(P352-O352)</f>
        <v>33.908162689143062</v>
      </c>
      <c r="S355" s="60"/>
      <c r="T355" s="60"/>
      <c r="U355" s="60"/>
      <c r="V355" s="61"/>
      <c r="W355" s="127"/>
      <c r="X355" s="59" t="s">
        <v>110</v>
      </c>
      <c r="Y355" s="60"/>
      <c r="Z355" s="60"/>
      <c r="AA355" s="60">
        <f ca="1">(ABS(AA354-Z354)/(AC354-Z354))*(Z352-Y352)</f>
        <v>26</v>
      </c>
      <c r="AB355" s="60">
        <f ca="1">(ABS(AB354-Z354)/(AC354-Z354))*(Z352-Y352)</f>
        <v>33</v>
      </c>
      <c r="AC355" s="60"/>
      <c r="AD355" s="60"/>
      <c r="AE355" s="60"/>
      <c r="AF355" s="61"/>
    </row>
    <row r="356" spans="13:32">
      <c r="M356" s="126"/>
      <c r="N356" s="66"/>
      <c r="O356" s="53"/>
      <c r="P356" s="42" t="s">
        <v>103</v>
      </c>
      <c r="Q356" s="42"/>
      <c r="R356" s="42"/>
      <c r="S356" s="42" t="s">
        <v>104</v>
      </c>
      <c r="T356" s="60"/>
      <c r="U356" s="60"/>
      <c r="V356" s="61"/>
      <c r="W356" s="127"/>
      <c r="X356" s="66"/>
      <c r="Y356" s="53"/>
      <c r="Z356" s="42" t="s">
        <v>103</v>
      </c>
      <c r="AA356" s="42"/>
      <c r="AB356" s="42"/>
      <c r="AC356" s="42" t="s">
        <v>104</v>
      </c>
      <c r="AD356" s="60"/>
      <c r="AE356" s="60"/>
      <c r="AF356" s="61"/>
    </row>
    <row r="357" spans="13:32">
      <c r="M357" s="126"/>
      <c r="N357" s="66" t="s">
        <v>102</v>
      </c>
      <c r="O357" s="53"/>
      <c r="P357" s="41">
        <v>5</v>
      </c>
      <c r="Q357" s="40">
        <f ca="1">FLOOR(Q355/2^P357,1)</f>
        <v>0</v>
      </c>
      <c r="R357" s="40">
        <f ca="1">FLOOR(R355/2^P357,1)</f>
        <v>1</v>
      </c>
      <c r="S357" s="41">
        <f>2^P357</f>
        <v>32</v>
      </c>
      <c r="T357" s="60"/>
      <c r="U357" s="60"/>
      <c r="V357" s="61"/>
      <c r="W357" s="127"/>
      <c r="X357" s="66" t="s">
        <v>102</v>
      </c>
      <c r="Y357" s="53"/>
      <c r="Z357" s="41">
        <v>5</v>
      </c>
      <c r="AA357" s="40">
        <f ca="1">FLOOR(AA355/2^Z357,1)</f>
        <v>0</v>
      </c>
      <c r="AB357" s="40">
        <f ca="1">FLOOR(AB355/2^Z357,1)</f>
        <v>1</v>
      </c>
      <c r="AC357" s="41">
        <f>2^Z357</f>
        <v>32</v>
      </c>
      <c r="AD357" s="60"/>
      <c r="AE357" s="60"/>
      <c r="AF357" s="61"/>
    </row>
    <row r="358" spans="13:32">
      <c r="M358" s="126"/>
      <c r="N358" s="66" t="s">
        <v>105</v>
      </c>
      <c r="O358" s="53"/>
      <c r="P358" s="41">
        <v>4</v>
      </c>
      <c r="Q358" s="40">
        <f ca="1">FLOOR((Q355-Q357*2^P357)/(2^P358),1)</f>
        <v>0</v>
      </c>
      <c r="R358" s="40">
        <f ca="1">FLOOR((R355-R357*2^P357)/(2^P358),1)</f>
        <v>0</v>
      </c>
      <c r="S358" s="41">
        <f t="shared" ref="S358:S362" si="118">2^P358</f>
        <v>16</v>
      </c>
      <c r="T358" s="60"/>
      <c r="U358" s="60"/>
      <c r="V358" s="61"/>
      <c r="W358" s="127"/>
      <c r="X358" s="66" t="s">
        <v>105</v>
      </c>
      <c r="Y358" s="53"/>
      <c r="Z358" s="41">
        <v>4</v>
      </c>
      <c r="AA358" s="40">
        <f ca="1">FLOOR((AA355-AA357*2^Z357)/(2^Z358),1)</f>
        <v>1</v>
      </c>
      <c r="AB358" s="40">
        <f ca="1">FLOOR((AB355-AB357*2^Z357)/(2^Z358),1)</f>
        <v>0</v>
      </c>
      <c r="AC358" s="41">
        <f t="shared" ref="AC358:AC362" si="119">2^Z358</f>
        <v>16</v>
      </c>
      <c r="AD358" s="60"/>
      <c r="AE358" s="60"/>
      <c r="AF358" s="61"/>
    </row>
    <row r="359" spans="13:32">
      <c r="M359" s="126"/>
      <c r="N359" s="66" t="s">
        <v>106</v>
      </c>
      <c r="O359" s="53"/>
      <c r="P359" s="41">
        <v>3</v>
      </c>
      <c r="Q359" s="40">
        <f ca="1">FLOOR((Q355-Q357*2^P357-Q358*2^P358)/(2^P359),1)</f>
        <v>0</v>
      </c>
      <c r="R359" s="40">
        <f ca="1">FLOOR((R355-R357*2^P357-R358*2^P358)/(2^P359),1)</f>
        <v>0</v>
      </c>
      <c r="S359" s="41">
        <f t="shared" si="118"/>
        <v>8</v>
      </c>
      <c r="T359" s="60"/>
      <c r="U359" s="60"/>
      <c r="V359" s="61"/>
      <c r="W359" s="127"/>
      <c r="X359" s="66" t="s">
        <v>106</v>
      </c>
      <c r="Y359" s="53"/>
      <c r="Z359" s="41">
        <v>3</v>
      </c>
      <c r="AA359" s="40">
        <f ca="1">FLOOR((AA355-AA357*2^Z357-AA358*2^Z358)/(2^Z359),1)</f>
        <v>1</v>
      </c>
      <c r="AB359" s="40">
        <f ca="1">FLOOR((AB355-AB357*2^Z357-AB358*2^Z358)/(2^Z359),1)</f>
        <v>0</v>
      </c>
      <c r="AC359" s="41">
        <f t="shared" si="119"/>
        <v>8</v>
      </c>
      <c r="AD359" s="60"/>
      <c r="AE359" s="60"/>
      <c r="AF359" s="61"/>
    </row>
    <row r="360" spans="13:32">
      <c r="M360" s="126"/>
      <c r="N360" s="66" t="s">
        <v>107</v>
      </c>
      <c r="O360" s="53"/>
      <c r="P360" s="41">
        <v>2</v>
      </c>
      <c r="Q360" s="40">
        <f ca="1">FLOOR((Q355-Q357*2^P357-Q358*2^P358-Q359*2^P359)/(2^P360),1)</f>
        <v>1</v>
      </c>
      <c r="R360" s="40">
        <f ca="1">FLOOR((R355-R357*2^P357-R358*2^P358-R359*2^P359)/(2^P360),1)</f>
        <v>0</v>
      </c>
      <c r="S360" s="41">
        <f t="shared" si="118"/>
        <v>4</v>
      </c>
      <c r="T360" s="60"/>
      <c r="U360" s="60"/>
      <c r="V360" s="61"/>
      <c r="W360" s="127"/>
      <c r="X360" s="66" t="s">
        <v>107</v>
      </c>
      <c r="Y360" s="53"/>
      <c r="Z360" s="41">
        <v>2</v>
      </c>
      <c r="AA360" s="40">
        <f ca="1">FLOOR((AA355-AA357*2^Z357-AA358*2^Z358-AA359*2^Z359)/(2^Z360),1)</f>
        <v>0</v>
      </c>
      <c r="AB360" s="40">
        <f ca="1">FLOOR((AB355-AB357*2^Z357-AB358*2^Z358-AB359*2^Z359)/(2^Z360),1)</f>
        <v>0</v>
      </c>
      <c r="AC360" s="41">
        <f t="shared" si="119"/>
        <v>4</v>
      </c>
      <c r="AD360" s="60"/>
      <c r="AE360" s="60"/>
      <c r="AF360" s="61"/>
    </row>
    <row r="361" spans="13:32">
      <c r="M361" s="126"/>
      <c r="N361" s="66"/>
      <c r="O361" s="53"/>
      <c r="P361" s="41">
        <v>1</v>
      </c>
      <c r="Q361" s="40">
        <f ca="1">FLOOR((Q355-Q357*2^P357-Q358*2^P358-Q359*2^P359-Q360*2^P360)/(2^P361),1)</f>
        <v>1</v>
      </c>
      <c r="R361" s="40">
        <f ca="1">FLOOR((R355-R357*2^P357-R358*2^P358-R359*2^P359-R360*2^P360)/(2^P361),1)</f>
        <v>0</v>
      </c>
      <c r="S361" s="41">
        <f t="shared" si="118"/>
        <v>2</v>
      </c>
      <c r="T361" s="60"/>
      <c r="U361" s="60"/>
      <c r="V361" s="61"/>
      <c r="W361" s="127"/>
      <c r="X361" s="66"/>
      <c r="Y361" s="53"/>
      <c r="Z361" s="41">
        <v>1</v>
      </c>
      <c r="AA361" s="40">
        <f ca="1">FLOOR((AA355-AA357*2^Z357-AA358*2^Z358-AA359*2^Z359-AA360*2^Z360)/(2^Z361),1)</f>
        <v>1</v>
      </c>
      <c r="AB361" s="40">
        <f ca="1">FLOOR((AB355-AB357*2^Z357-AB358*2^Z358-AB359*2^Z359-AB360*2^Z360)/(2^Z361),1)</f>
        <v>0</v>
      </c>
      <c r="AC361" s="41">
        <f t="shared" si="119"/>
        <v>2</v>
      </c>
      <c r="AD361" s="60"/>
      <c r="AE361" s="60"/>
      <c r="AF361" s="61"/>
    </row>
    <row r="362" spans="13:32">
      <c r="M362" s="126"/>
      <c r="N362" s="66"/>
      <c r="O362" s="53"/>
      <c r="P362" s="41">
        <v>0</v>
      </c>
      <c r="Q362" s="40">
        <f ca="1">FLOOR((Q355-Q357*2^P357-Q358*2^P358-Q359*2^P359-Q360*2^P360-Q361*2^P361)/(2^P362),1)</f>
        <v>1</v>
      </c>
      <c r="R362" s="40">
        <f ca="1">FLOOR((R355-R357*2^P357-R358*2^P358-R359*2^P359-R360*2^P360-R361*2^P361)/(2^P362),1)</f>
        <v>1</v>
      </c>
      <c r="S362" s="41">
        <f t="shared" si="118"/>
        <v>1</v>
      </c>
      <c r="T362" s="60"/>
      <c r="U362" s="60"/>
      <c r="V362" s="61"/>
      <c r="W362" s="127"/>
      <c r="X362" s="66"/>
      <c r="Y362" s="53"/>
      <c r="Z362" s="41">
        <v>0</v>
      </c>
      <c r="AA362" s="40">
        <f ca="1">FLOOR((AA355-AA357*2^Z357-AA358*2^Z358-AA359*2^Z359-AA360*2^Z360-AA361*2^Z361)/(2^Z362),1)</f>
        <v>0</v>
      </c>
      <c r="AB362" s="40">
        <f ca="1">FLOOR((AB355-AB357*2^Z357-AB358*2^Z358-AB359*2^Z359-AB360*2^Z360-AB361*2^Z361)/(2^Z362),1)</f>
        <v>1</v>
      </c>
      <c r="AC362" s="41">
        <f t="shared" si="119"/>
        <v>1</v>
      </c>
      <c r="AD362" s="60"/>
      <c r="AE362" s="60"/>
      <c r="AF362" s="61"/>
    </row>
    <row r="363" spans="13:32">
      <c r="M363" s="126"/>
      <c r="N363" s="66"/>
      <c r="O363" s="53"/>
      <c r="P363" s="41"/>
      <c r="Q363" s="42" t="s">
        <v>108</v>
      </c>
      <c r="R363" s="42" t="s">
        <v>109</v>
      </c>
      <c r="S363" s="41"/>
      <c r="T363" s="60"/>
      <c r="U363" s="60"/>
      <c r="V363" s="61"/>
      <c r="W363" s="127"/>
      <c r="X363" s="66"/>
      <c r="Y363" s="53"/>
      <c r="Z363" s="41"/>
      <c r="AA363" s="42" t="s">
        <v>108</v>
      </c>
      <c r="AB363" s="42" t="s">
        <v>109</v>
      </c>
      <c r="AC363" s="41"/>
      <c r="AD363" s="60"/>
      <c r="AE363" s="60"/>
      <c r="AF363" s="61"/>
    </row>
    <row r="364" spans="13:32">
      <c r="M364" s="126"/>
      <c r="N364" s="66" t="s">
        <v>114</v>
      </c>
      <c r="O364" s="53"/>
      <c r="P364" s="41"/>
      <c r="Q364" s="44">
        <f ca="1">Q357*2^P357+Q358*2^P358+Q359*2^P359+Q360*2^P360+Q361*2^P361+Q362*2^P362</f>
        <v>7</v>
      </c>
      <c r="R364" s="44">
        <f ca="1">R357*2^P357+R358*2^P358+R359*2^P359+R360*2^P360+R361*2^P361+R362*2^P362</f>
        <v>33</v>
      </c>
      <c r="S364" s="41"/>
      <c r="T364" s="60"/>
      <c r="U364" s="60"/>
      <c r="V364" s="61"/>
      <c r="W364" s="127"/>
      <c r="X364" s="66" t="s">
        <v>114</v>
      </c>
      <c r="Y364" s="53"/>
      <c r="Z364" s="41"/>
      <c r="AA364" s="44">
        <f ca="1">AA357*2^Z357+AA358*2^Z358+AA359*2^Z359+AA360*2^Z360+AA361*2^Z361+AA362*2^Z362</f>
        <v>26</v>
      </c>
      <c r="AB364" s="44">
        <f ca="1">AB357*2^Z357+AB358*2^Z358+AB359*2^Z359+AB360*2^Z360+AB361*2^Z361+AB362*2^Z362</f>
        <v>33</v>
      </c>
      <c r="AC364" s="41"/>
      <c r="AD364" s="60"/>
      <c r="AE364" s="60"/>
      <c r="AF364" s="61"/>
    </row>
    <row r="365" spans="13:32">
      <c r="M365" s="126"/>
      <c r="N365" s="67"/>
      <c r="O365" s="60"/>
      <c r="P365" s="60"/>
      <c r="Q365" s="60"/>
      <c r="R365" s="60"/>
      <c r="S365" s="60"/>
      <c r="T365" s="60"/>
      <c r="U365" s="60"/>
      <c r="V365" s="61"/>
      <c r="W365" s="127"/>
      <c r="X365" s="67"/>
      <c r="Y365" s="60"/>
      <c r="Z365" s="60"/>
      <c r="AA365" s="60"/>
      <c r="AB365" s="60"/>
      <c r="AC365" s="60"/>
      <c r="AD365" s="60"/>
      <c r="AE365" s="60"/>
      <c r="AF365" s="61"/>
    </row>
    <row r="366" spans="13:32">
      <c r="M366" s="126"/>
      <c r="N366" s="68" t="s">
        <v>111</v>
      </c>
      <c r="O366" s="69"/>
      <c r="P366" s="69"/>
      <c r="Q366" s="69"/>
      <c r="R366" s="69"/>
      <c r="S366" s="69"/>
      <c r="T366" s="70">
        <f ca="1">FLOOR(O351*T354,1)</f>
        <v>4</v>
      </c>
      <c r="U366" s="60"/>
      <c r="V366" s="61"/>
      <c r="W366" s="127"/>
      <c r="X366" s="68" t="s">
        <v>111</v>
      </c>
      <c r="Y366" s="69"/>
      <c r="Z366" s="69"/>
      <c r="AA366" s="69"/>
      <c r="AB366" s="69"/>
      <c r="AC366" s="69"/>
      <c r="AD366" s="70">
        <f ca="1">FLOOR(Y351*AD354,1)</f>
        <v>5</v>
      </c>
      <c r="AE366" s="60"/>
      <c r="AF366" s="61"/>
    </row>
    <row r="367" spans="13:32">
      <c r="M367" s="126"/>
      <c r="N367" s="67" t="s">
        <v>112</v>
      </c>
      <c r="O367" s="60"/>
      <c r="P367" s="60"/>
      <c r="Q367" s="60"/>
      <c r="R367" s="60"/>
      <c r="S367" s="60"/>
      <c r="T367" s="60"/>
      <c r="U367" s="60"/>
      <c r="V367" s="61"/>
      <c r="W367" s="127"/>
      <c r="X367" s="67" t="s">
        <v>112</v>
      </c>
      <c r="Y367" s="60"/>
      <c r="Z367" s="60"/>
      <c r="AA367" s="60"/>
      <c r="AB367" s="60"/>
      <c r="AC367" s="60"/>
      <c r="AD367" s="60"/>
      <c r="AE367" s="60"/>
      <c r="AF367" s="61"/>
    </row>
    <row r="368" spans="13:32">
      <c r="M368" s="126"/>
      <c r="N368" s="67"/>
      <c r="O368" s="60"/>
      <c r="P368" s="60"/>
      <c r="Q368" s="60"/>
      <c r="R368" s="60"/>
      <c r="S368" s="60"/>
      <c r="T368" s="60"/>
      <c r="U368" s="60"/>
      <c r="V368" s="61"/>
      <c r="W368" s="127"/>
      <c r="X368" s="67"/>
      <c r="Y368" s="60"/>
      <c r="Z368" s="60"/>
      <c r="AA368" s="60"/>
      <c r="AB368" s="60"/>
      <c r="AC368" s="60"/>
      <c r="AD368" s="60"/>
      <c r="AE368" s="60"/>
      <c r="AF368" s="61"/>
    </row>
    <row r="369" spans="13:32">
      <c r="M369" s="126"/>
      <c r="N369" s="66" t="s">
        <v>113</v>
      </c>
      <c r="O369" s="53"/>
      <c r="P369" s="42" t="s">
        <v>103</v>
      </c>
      <c r="Q369" s="42"/>
      <c r="R369" s="42"/>
      <c r="S369" s="42" t="s">
        <v>104</v>
      </c>
      <c r="T369" s="60"/>
      <c r="U369" s="60"/>
      <c r="V369" s="61"/>
      <c r="W369" s="127"/>
      <c r="X369" s="66" t="s">
        <v>113</v>
      </c>
      <c r="Y369" s="53"/>
      <c r="Z369" s="42" t="s">
        <v>103</v>
      </c>
      <c r="AA369" s="42"/>
      <c r="AB369" s="42"/>
      <c r="AC369" s="42" t="s">
        <v>104</v>
      </c>
      <c r="AD369" s="60"/>
      <c r="AE369" s="60"/>
      <c r="AF369" s="61"/>
    </row>
    <row r="370" spans="13:32">
      <c r="M370" s="126"/>
      <c r="N370" s="66"/>
      <c r="O370" s="53"/>
      <c r="P370" s="41">
        <v>5</v>
      </c>
      <c r="Q370" s="40">
        <f ca="1">IF(T366&gt;=1,R357,Q357)</f>
        <v>1</v>
      </c>
      <c r="R370" s="40">
        <f ca="1">IF(T366&gt;=1,Q357,R357)</f>
        <v>0</v>
      </c>
      <c r="S370" s="41">
        <f>2^P370</f>
        <v>32</v>
      </c>
      <c r="T370" s="60"/>
      <c r="U370" s="60"/>
      <c r="V370" s="61"/>
      <c r="W370" s="127"/>
      <c r="X370" s="66"/>
      <c r="Y370" s="53"/>
      <c r="Z370" s="41">
        <v>5</v>
      </c>
      <c r="AA370" s="40">
        <f ca="1">IF(AD366&gt;=1,AB357,AA357)</f>
        <v>1</v>
      </c>
      <c r="AB370" s="40">
        <f ca="1">IF(AD366&gt;=1,AA357,AB357)</f>
        <v>0</v>
      </c>
      <c r="AC370" s="41">
        <f>2^Z370</f>
        <v>32</v>
      </c>
      <c r="AD370" s="60"/>
      <c r="AE370" s="60"/>
      <c r="AF370" s="61"/>
    </row>
    <row r="371" spans="13:32">
      <c r="M371" s="126"/>
      <c r="N371" s="66"/>
      <c r="O371" s="53"/>
      <c r="P371" s="41">
        <v>4</v>
      </c>
      <c r="Q371" s="40">
        <f ca="1">IF(T366&gt;=2,R358,Q358)</f>
        <v>0</v>
      </c>
      <c r="R371" s="40">
        <f ca="1">IF(T366&gt;=2,Q358,R358)</f>
        <v>0</v>
      </c>
      <c r="S371" s="41">
        <f t="shared" ref="S371:S375" si="120">2^P371</f>
        <v>16</v>
      </c>
      <c r="T371" s="60"/>
      <c r="U371" s="60"/>
      <c r="V371" s="61"/>
      <c r="W371" s="127"/>
      <c r="X371" s="66"/>
      <c r="Y371" s="53"/>
      <c r="Z371" s="41">
        <v>4</v>
      </c>
      <c r="AA371" s="40">
        <f ca="1">IF(AD366&gt;=2,AB358,AA358)</f>
        <v>0</v>
      </c>
      <c r="AB371" s="40">
        <f ca="1">IF(AD366&gt;=2,AA358,AB358)</f>
        <v>1</v>
      </c>
      <c r="AC371" s="41">
        <f t="shared" ref="AC371:AC375" si="121">2^Z371</f>
        <v>16</v>
      </c>
      <c r="AD371" s="60"/>
      <c r="AE371" s="60"/>
      <c r="AF371" s="61"/>
    </row>
    <row r="372" spans="13:32">
      <c r="M372" s="126"/>
      <c r="N372" s="66"/>
      <c r="O372" s="53"/>
      <c r="P372" s="41">
        <v>3</v>
      </c>
      <c r="Q372" s="40">
        <f ca="1">IF(T366&gt;=3,R359,Q359)</f>
        <v>0</v>
      </c>
      <c r="R372" s="40">
        <f ca="1">IF(T366&gt;=3,Q359,R359)</f>
        <v>0</v>
      </c>
      <c r="S372" s="41">
        <f t="shared" si="120"/>
        <v>8</v>
      </c>
      <c r="T372" s="60"/>
      <c r="U372" s="60"/>
      <c r="V372" s="61"/>
      <c r="W372" s="127"/>
      <c r="X372" s="66"/>
      <c r="Y372" s="53"/>
      <c r="Z372" s="41">
        <v>3</v>
      </c>
      <c r="AA372" s="40">
        <f ca="1">IF(AD366&gt;=3,AB359,AA359)</f>
        <v>0</v>
      </c>
      <c r="AB372" s="40">
        <f ca="1">IF(AD366&gt;=3,AA359,AB359)</f>
        <v>1</v>
      </c>
      <c r="AC372" s="41">
        <f t="shared" si="121"/>
        <v>8</v>
      </c>
      <c r="AD372" s="60"/>
      <c r="AE372" s="60"/>
      <c r="AF372" s="61"/>
    </row>
    <row r="373" spans="13:32">
      <c r="M373" s="126"/>
      <c r="N373" s="66"/>
      <c r="O373" s="53"/>
      <c r="P373" s="41">
        <v>2</v>
      </c>
      <c r="Q373" s="40">
        <f ca="1">IF(T366&gt;=4,R360,Q360)</f>
        <v>0</v>
      </c>
      <c r="R373" s="40">
        <f ca="1">IF(T366&gt;=4,Q360,R360)</f>
        <v>1</v>
      </c>
      <c r="S373" s="41">
        <f t="shared" si="120"/>
        <v>4</v>
      </c>
      <c r="T373" s="60"/>
      <c r="U373" s="60"/>
      <c r="V373" s="61"/>
      <c r="W373" s="127"/>
      <c r="X373" s="66"/>
      <c r="Y373" s="53"/>
      <c r="Z373" s="41">
        <v>2</v>
      </c>
      <c r="AA373" s="40">
        <f ca="1">IF(AD366&gt;=4,AB360,AA360)</f>
        <v>0</v>
      </c>
      <c r="AB373" s="40">
        <f ca="1">IF(AD366&gt;=4,AA360,AB360)</f>
        <v>0</v>
      </c>
      <c r="AC373" s="41">
        <f t="shared" si="121"/>
        <v>4</v>
      </c>
      <c r="AD373" s="60"/>
      <c r="AE373" s="60"/>
      <c r="AF373" s="61"/>
    </row>
    <row r="374" spans="13:32">
      <c r="M374" s="126"/>
      <c r="N374" s="66"/>
      <c r="O374" s="53"/>
      <c r="P374" s="41">
        <v>1</v>
      </c>
      <c r="Q374" s="40">
        <f ca="1">IF(T366&gt;=5,R361,Q361)</f>
        <v>1</v>
      </c>
      <c r="R374" s="40">
        <f ca="1">IF(T366&gt;=5,Q361,R361)</f>
        <v>0</v>
      </c>
      <c r="S374" s="41">
        <f t="shared" si="120"/>
        <v>2</v>
      </c>
      <c r="T374" s="60"/>
      <c r="U374" s="60"/>
      <c r="V374" s="61"/>
      <c r="W374" s="127"/>
      <c r="X374" s="66"/>
      <c r="Y374" s="53"/>
      <c r="Z374" s="41">
        <v>1</v>
      </c>
      <c r="AA374" s="40">
        <f ca="1">IF(AD366&gt;=5,AB361,AA361)</f>
        <v>0</v>
      </c>
      <c r="AB374" s="40">
        <f ca="1">IF(AD366&gt;=5,AA361,AB361)</f>
        <v>1</v>
      </c>
      <c r="AC374" s="41">
        <f t="shared" si="121"/>
        <v>2</v>
      </c>
      <c r="AD374" s="60"/>
      <c r="AE374" s="60"/>
      <c r="AF374" s="61"/>
    </row>
    <row r="375" spans="13:32">
      <c r="M375" s="126"/>
      <c r="N375" s="66"/>
      <c r="O375" s="53"/>
      <c r="P375" s="41">
        <v>0</v>
      </c>
      <c r="Q375" s="40">
        <f ca="1">IF(T366&gt;=6,R362,Q362)</f>
        <v>1</v>
      </c>
      <c r="R375" s="40">
        <f ca="1">IF(T366&gt;=6,Q362,R362)</f>
        <v>1</v>
      </c>
      <c r="S375" s="41">
        <f t="shared" si="120"/>
        <v>1</v>
      </c>
      <c r="T375" s="60"/>
      <c r="U375" s="60"/>
      <c r="V375" s="61"/>
      <c r="W375" s="127"/>
      <c r="X375" s="66"/>
      <c r="Y375" s="53"/>
      <c r="Z375" s="41">
        <v>0</v>
      </c>
      <c r="AA375" s="40">
        <f ca="1">IF(AD366&gt;=6,AB362,AA362)</f>
        <v>0</v>
      </c>
      <c r="AB375" s="40">
        <f ca="1">IF(AD366&gt;=6,AA362,AB362)</f>
        <v>1</v>
      </c>
      <c r="AC375" s="41">
        <f t="shared" si="121"/>
        <v>1</v>
      </c>
      <c r="AD375" s="60"/>
      <c r="AE375" s="60"/>
      <c r="AF375" s="61"/>
    </row>
    <row r="376" spans="13:32">
      <c r="M376" s="126"/>
      <c r="N376" s="66"/>
      <c r="O376" s="53"/>
      <c r="P376" s="41"/>
      <c r="Q376" s="42" t="s">
        <v>108</v>
      </c>
      <c r="R376" s="42" t="s">
        <v>109</v>
      </c>
      <c r="S376" s="41"/>
      <c r="T376" s="60"/>
      <c r="U376" s="60"/>
      <c r="V376" s="61"/>
      <c r="W376" s="127"/>
      <c r="X376" s="66"/>
      <c r="Y376" s="53"/>
      <c r="Z376" s="41"/>
      <c r="AA376" s="42" t="s">
        <v>108</v>
      </c>
      <c r="AB376" s="42" t="s">
        <v>109</v>
      </c>
      <c r="AC376" s="41"/>
      <c r="AD376" s="60"/>
      <c r="AE376" s="60"/>
      <c r="AF376" s="61"/>
    </row>
    <row r="377" spans="13:32">
      <c r="M377" s="126"/>
      <c r="N377" s="66" t="s">
        <v>114</v>
      </c>
      <c r="O377" s="53"/>
      <c r="P377" s="41"/>
      <c r="Q377" s="44">
        <f ca="1">Q370*2^P370+Q371*2^P371+Q372*2^P372+Q373*2^P373+Q374*2^P374+Q375*2^P375</f>
        <v>35</v>
      </c>
      <c r="R377" s="44">
        <f ca="1">R370*2^P370+R371*2^P371+R372*2^P372+R373*2^P373+R374*2^P374+R375*2^P375</f>
        <v>5</v>
      </c>
      <c r="S377" s="41"/>
      <c r="T377" s="60"/>
      <c r="U377" s="60"/>
      <c r="V377" s="61"/>
      <c r="W377" s="127"/>
      <c r="X377" s="66" t="s">
        <v>114</v>
      </c>
      <c r="Y377" s="53"/>
      <c r="Z377" s="41"/>
      <c r="AA377" s="44">
        <f ca="1">AA370*2^Z370+AA371*2^Z371+AA372*2^Z372+AA373*2^Z373+AA374*2^Z374+AA375*2^Z375</f>
        <v>32</v>
      </c>
      <c r="AB377" s="44">
        <f ca="1">AB370*2^Z370+AB371*2^Z371+AB372*2^Z372+AB373*2^Z373+AB374*2^Z374+AB375*2^Z375</f>
        <v>27</v>
      </c>
      <c r="AC377" s="41"/>
      <c r="AD377" s="60"/>
      <c r="AE377" s="60"/>
      <c r="AF377" s="61"/>
    </row>
    <row r="378" spans="13:32">
      <c r="M378" s="126"/>
      <c r="N378" s="67"/>
      <c r="O378" s="60"/>
      <c r="P378" s="60"/>
      <c r="Q378" s="60"/>
      <c r="R378" s="60"/>
      <c r="S378" s="60"/>
      <c r="T378" s="60"/>
      <c r="U378" s="60"/>
      <c r="V378" s="61"/>
      <c r="W378" s="127"/>
      <c r="X378" s="67"/>
      <c r="Y378" s="60"/>
      <c r="Z378" s="60"/>
      <c r="AA378" s="60"/>
      <c r="AB378" s="60"/>
      <c r="AC378" s="60"/>
      <c r="AD378" s="60"/>
      <c r="AE378" s="60"/>
      <c r="AF378" s="61"/>
    </row>
    <row r="379" spans="13:32">
      <c r="M379" s="126"/>
      <c r="N379" s="68" t="s">
        <v>115</v>
      </c>
      <c r="O379" s="69"/>
      <c r="P379" s="69"/>
      <c r="Q379" s="69"/>
      <c r="R379" s="69"/>
      <c r="S379" s="69"/>
      <c r="T379" s="69"/>
      <c r="U379" s="70">
        <f ca="1">FLOOR(O351*U354,1)</f>
        <v>3</v>
      </c>
      <c r="V379" s="71">
        <f ca="1">FLOOR(O351*V354,1)</f>
        <v>1</v>
      </c>
      <c r="W379" s="127"/>
      <c r="X379" s="68" t="s">
        <v>115</v>
      </c>
      <c r="Y379" s="69"/>
      <c r="Z379" s="69"/>
      <c r="AA379" s="69"/>
      <c r="AB379" s="69"/>
      <c r="AC379" s="69"/>
      <c r="AD379" s="69"/>
      <c r="AE379" s="70">
        <f ca="1">FLOOR(Y351*AE354,1)</f>
        <v>4</v>
      </c>
      <c r="AF379" s="71">
        <f ca="1">FLOOR(Y351*AF354,1)</f>
        <v>4</v>
      </c>
    </row>
    <row r="380" spans="13:32">
      <c r="M380" s="126"/>
      <c r="N380" s="67"/>
      <c r="O380" s="60"/>
      <c r="P380" s="60"/>
      <c r="Q380" s="60"/>
      <c r="R380" s="60"/>
      <c r="S380" s="60"/>
      <c r="T380" s="60"/>
      <c r="U380" s="60"/>
      <c r="V380" s="61"/>
      <c r="W380" s="127"/>
      <c r="X380" s="67"/>
      <c r="Y380" s="60"/>
      <c r="Z380" s="60"/>
      <c r="AA380" s="60"/>
      <c r="AB380" s="60"/>
      <c r="AC380" s="60"/>
      <c r="AD380" s="60"/>
      <c r="AE380" s="60"/>
      <c r="AF380" s="61"/>
    </row>
    <row r="381" spans="13:32">
      <c r="M381" s="126"/>
      <c r="N381" s="67"/>
      <c r="O381" s="60"/>
      <c r="P381" s="60"/>
      <c r="Q381" s="60"/>
      <c r="R381" s="60"/>
      <c r="S381" s="60"/>
      <c r="T381" s="60"/>
      <c r="U381" s="60"/>
      <c r="V381" s="61"/>
      <c r="W381" s="127"/>
      <c r="X381" s="67"/>
      <c r="Y381" s="60"/>
      <c r="Z381" s="60"/>
      <c r="AA381" s="60"/>
      <c r="AB381" s="60"/>
      <c r="AC381" s="60"/>
      <c r="AD381" s="60"/>
      <c r="AE381" s="60"/>
      <c r="AF381" s="61"/>
    </row>
    <row r="382" spans="13:32">
      <c r="M382" s="126"/>
      <c r="N382" s="67"/>
      <c r="O382" s="60"/>
      <c r="P382" s="42" t="s">
        <v>103</v>
      </c>
      <c r="Q382" s="42"/>
      <c r="R382" s="42"/>
      <c r="S382" s="42" t="s">
        <v>104</v>
      </c>
      <c r="T382" s="60"/>
      <c r="U382" s="60"/>
      <c r="V382" s="61"/>
      <c r="W382" s="127"/>
      <c r="X382" s="67"/>
      <c r="Y382" s="60"/>
      <c r="Z382" s="42" t="s">
        <v>103</v>
      </c>
      <c r="AA382" s="42"/>
      <c r="AB382" s="42"/>
      <c r="AC382" s="42" t="s">
        <v>104</v>
      </c>
      <c r="AD382" s="60"/>
      <c r="AE382" s="60"/>
      <c r="AF382" s="61"/>
    </row>
    <row r="383" spans="13:32">
      <c r="M383" s="126"/>
      <c r="N383" s="67"/>
      <c r="O383" s="60"/>
      <c r="P383" s="41">
        <v>5</v>
      </c>
      <c r="Q383" s="40">
        <f ca="1">IF(U379=1,IF(Q370=1,0,1),Q370)</f>
        <v>1</v>
      </c>
      <c r="R383" s="40">
        <f ca="1">IF(V379=1,IF(R370=1,0,1),R370)</f>
        <v>1</v>
      </c>
      <c r="S383" s="41">
        <f>2^P383</f>
        <v>32</v>
      </c>
      <c r="T383" s="60"/>
      <c r="U383" s="60"/>
      <c r="V383" s="61"/>
      <c r="W383" s="127"/>
      <c r="X383" s="67"/>
      <c r="Y383" s="60"/>
      <c r="Z383" s="41">
        <v>5</v>
      </c>
      <c r="AA383" s="40">
        <f ca="1">IF(AE379=1,IF(AA370=1,0,1),AA370)</f>
        <v>1</v>
      </c>
      <c r="AB383" s="40">
        <f ca="1">IF(AF379=1,IF(AB370=1,0,1),AB370)</f>
        <v>0</v>
      </c>
      <c r="AC383" s="41">
        <f>2^Z383</f>
        <v>32</v>
      </c>
      <c r="AD383" s="60"/>
      <c r="AE383" s="60"/>
      <c r="AF383" s="61"/>
    </row>
    <row r="384" spans="13:32">
      <c r="M384" s="126"/>
      <c r="N384" s="67"/>
      <c r="O384" s="60"/>
      <c r="P384" s="41">
        <v>4</v>
      </c>
      <c r="Q384" s="40">
        <f ca="1">IF(U379=2,IF(Q371=1,0,1),Q371)</f>
        <v>0</v>
      </c>
      <c r="R384" s="40">
        <f ca="1">IF(V379=2,IF(R371=1,0,1),R371)</f>
        <v>0</v>
      </c>
      <c r="S384" s="41">
        <f t="shared" ref="S384:S388" si="122">2^P384</f>
        <v>16</v>
      </c>
      <c r="T384" s="60"/>
      <c r="U384" s="60"/>
      <c r="V384" s="61"/>
      <c r="W384" s="127"/>
      <c r="X384" s="67"/>
      <c r="Y384" s="60"/>
      <c r="Z384" s="41">
        <v>4</v>
      </c>
      <c r="AA384" s="40">
        <f ca="1">IF(AE379=2,IF(AA371=1,0,1),AA371)</f>
        <v>0</v>
      </c>
      <c r="AB384" s="40">
        <f ca="1">IF(AF379=2,IF(AB371=1,0,1),AB371)</f>
        <v>1</v>
      </c>
      <c r="AC384" s="41">
        <f t="shared" ref="AC384:AC388" si="123">2^Z384</f>
        <v>16</v>
      </c>
      <c r="AD384" s="60"/>
      <c r="AE384" s="60"/>
      <c r="AF384" s="61"/>
    </row>
    <row r="385" spans="13:32">
      <c r="M385" s="126"/>
      <c r="N385" s="67"/>
      <c r="O385" s="60"/>
      <c r="P385" s="41">
        <v>3</v>
      </c>
      <c r="Q385" s="40">
        <f ca="1">IF(U379=3,IF(Q372=1,0,1),Q372)</f>
        <v>1</v>
      </c>
      <c r="R385" s="40">
        <f ca="1">IF(V379=3,IF(R372=1,0,1),R372)</f>
        <v>0</v>
      </c>
      <c r="S385" s="41">
        <f t="shared" si="122"/>
        <v>8</v>
      </c>
      <c r="T385" s="60"/>
      <c r="U385" s="60"/>
      <c r="V385" s="61"/>
      <c r="W385" s="127"/>
      <c r="X385" s="67"/>
      <c r="Y385" s="60"/>
      <c r="Z385" s="41">
        <v>3</v>
      </c>
      <c r="AA385" s="40">
        <f ca="1">IF(AE379=3,IF(AA372=1,0,1),AA372)</f>
        <v>0</v>
      </c>
      <c r="AB385" s="40">
        <f ca="1">IF(AF379=3,IF(AB372=1,0,1),AB372)</f>
        <v>1</v>
      </c>
      <c r="AC385" s="41">
        <f t="shared" si="123"/>
        <v>8</v>
      </c>
      <c r="AD385" s="60"/>
      <c r="AE385" s="60"/>
      <c r="AF385" s="61"/>
    </row>
    <row r="386" spans="13:32">
      <c r="M386" s="126"/>
      <c r="N386" s="67"/>
      <c r="O386" s="60"/>
      <c r="P386" s="41">
        <v>2</v>
      </c>
      <c r="Q386" s="40">
        <f ca="1">IF(U379=4,IF(Q373=1,0,1),Q373)</f>
        <v>0</v>
      </c>
      <c r="R386" s="40">
        <f ca="1">IF(V379=4,IF(R373=1,0,1),R373)</f>
        <v>1</v>
      </c>
      <c r="S386" s="41">
        <f t="shared" si="122"/>
        <v>4</v>
      </c>
      <c r="T386" s="60"/>
      <c r="U386" s="60"/>
      <c r="V386" s="61"/>
      <c r="W386" s="127"/>
      <c r="X386" s="67"/>
      <c r="Y386" s="60"/>
      <c r="Z386" s="41">
        <v>2</v>
      </c>
      <c r="AA386" s="40">
        <f ca="1">IF(AE379=4,IF(AA373=1,0,1),AA373)</f>
        <v>1</v>
      </c>
      <c r="AB386" s="40">
        <f ca="1">IF(AF379=4,IF(AB373=1,0,1),AB373)</f>
        <v>1</v>
      </c>
      <c r="AC386" s="41">
        <f t="shared" si="123"/>
        <v>4</v>
      </c>
      <c r="AD386" s="60"/>
      <c r="AE386" s="60"/>
      <c r="AF386" s="61"/>
    </row>
    <row r="387" spans="13:32">
      <c r="M387" s="126"/>
      <c r="N387" s="67"/>
      <c r="O387" s="60"/>
      <c r="P387" s="41">
        <v>1</v>
      </c>
      <c r="Q387" s="40">
        <f ca="1">IF(U379=5,IF(Q374=1,0,1),Q374)</f>
        <v>1</v>
      </c>
      <c r="R387" s="40">
        <f ca="1">IF(V379=5,IF(R374=1,0,1),R374)</f>
        <v>0</v>
      </c>
      <c r="S387" s="41">
        <f t="shared" si="122"/>
        <v>2</v>
      </c>
      <c r="T387" s="60"/>
      <c r="U387" s="60"/>
      <c r="V387" s="61"/>
      <c r="W387" s="127"/>
      <c r="X387" s="67"/>
      <c r="Y387" s="60"/>
      <c r="Z387" s="41">
        <v>1</v>
      </c>
      <c r="AA387" s="40">
        <f ca="1">IF(AE379=5,IF(AA374=1,0,1),AA374)</f>
        <v>0</v>
      </c>
      <c r="AB387" s="40">
        <f ca="1">IF(AF379=5,IF(AB374=1,0,1),AB374)</f>
        <v>1</v>
      </c>
      <c r="AC387" s="41">
        <f t="shared" si="123"/>
        <v>2</v>
      </c>
      <c r="AD387" s="60"/>
      <c r="AE387" s="60"/>
      <c r="AF387" s="61"/>
    </row>
    <row r="388" spans="13:32">
      <c r="M388" s="126"/>
      <c r="N388" s="67"/>
      <c r="O388" s="60"/>
      <c r="P388" s="41">
        <v>0</v>
      </c>
      <c r="Q388" s="40">
        <f ca="1">IF(U379=6,IF(Q375=1,0,1),Q375)</f>
        <v>1</v>
      </c>
      <c r="R388" s="40">
        <f ca="1">IF(V379=6,IF(R375=1,0,1),R375)</f>
        <v>1</v>
      </c>
      <c r="S388" s="41">
        <f t="shared" si="122"/>
        <v>1</v>
      </c>
      <c r="T388" s="60"/>
      <c r="U388" s="60"/>
      <c r="V388" s="61"/>
      <c r="W388" s="127"/>
      <c r="X388" s="67"/>
      <c r="Y388" s="60"/>
      <c r="Z388" s="41">
        <v>0</v>
      </c>
      <c r="AA388" s="40">
        <f ca="1">IF(AE379=6,IF(AA375=1,0,1),AA375)</f>
        <v>0</v>
      </c>
      <c r="AB388" s="40">
        <f ca="1">IF(AF379=6,IF(AB375=1,0,1),AB375)</f>
        <v>1</v>
      </c>
      <c r="AC388" s="41">
        <f t="shared" si="123"/>
        <v>1</v>
      </c>
      <c r="AD388" s="60"/>
      <c r="AE388" s="60"/>
      <c r="AF388" s="61"/>
    </row>
    <row r="389" spans="13:32">
      <c r="M389" s="126"/>
      <c r="N389" s="67"/>
      <c r="O389" s="60"/>
      <c r="P389" s="41"/>
      <c r="Q389" s="42" t="s">
        <v>108</v>
      </c>
      <c r="R389" s="42" t="s">
        <v>109</v>
      </c>
      <c r="S389" s="41"/>
      <c r="T389" s="60"/>
      <c r="U389" s="60"/>
      <c r="V389" s="61"/>
      <c r="W389" s="127"/>
      <c r="X389" s="67"/>
      <c r="Y389" s="60"/>
      <c r="Z389" s="41"/>
      <c r="AA389" s="42" t="s">
        <v>108</v>
      </c>
      <c r="AB389" s="42" t="s">
        <v>109</v>
      </c>
      <c r="AC389" s="41"/>
      <c r="AD389" s="60"/>
      <c r="AE389" s="60"/>
      <c r="AF389" s="61"/>
    </row>
    <row r="390" spans="13:32">
      <c r="M390" s="126"/>
      <c r="N390" s="67"/>
      <c r="O390" s="60"/>
      <c r="P390" s="41"/>
      <c r="Q390" s="44">
        <f ca="1">Q383*2^P383+Q384*2^P384+Q385*2^P385+Q386*2^P386+Q387*2^P387+Q388*2^P388</f>
        <v>43</v>
      </c>
      <c r="R390" s="44">
        <f ca="1">R383*2^P383+R384*2^P384+R385*2^P385+R386*2^P386+R387*2^P387+R388*2^P388</f>
        <v>37</v>
      </c>
      <c r="S390" s="41"/>
      <c r="T390" s="60"/>
      <c r="U390" s="60"/>
      <c r="V390" s="61"/>
      <c r="W390" s="127"/>
      <c r="X390" s="67"/>
      <c r="Y390" s="60"/>
      <c r="Z390" s="41"/>
      <c r="AA390" s="44">
        <f ca="1">AA383*2^Z383+AA384*2^Z384+AA385*2^Z385+AA386*2^Z386+AA387*2^Z387+AA388*2^Z388</f>
        <v>36</v>
      </c>
      <c r="AB390" s="44">
        <f ca="1">AB383*2^Z383+AB384*2^Z384+AB385*2^Z385+AB386*2^Z386+AB387*2^Z387+AB388*2^Z388</f>
        <v>31</v>
      </c>
      <c r="AC390" s="41"/>
      <c r="AD390" s="60"/>
      <c r="AE390" s="60"/>
      <c r="AF390" s="61"/>
    </row>
    <row r="391" spans="13:32">
      <c r="M391" s="126"/>
      <c r="N391" s="67"/>
      <c r="O391" s="60"/>
      <c r="P391" s="60"/>
      <c r="Q391" s="60"/>
      <c r="R391" s="60"/>
      <c r="S391" s="60"/>
      <c r="T391" s="60"/>
      <c r="U391" s="60"/>
      <c r="V391" s="61"/>
      <c r="W391" s="127"/>
      <c r="X391" s="67"/>
      <c r="Y391" s="60"/>
      <c r="Z391" s="60"/>
      <c r="AA391" s="60"/>
      <c r="AB391" s="60"/>
      <c r="AC391" s="60"/>
      <c r="AD391" s="60"/>
      <c r="AE391" s="60"/>
      <c r="AF391" s="61"/>
    </row>
    <row r="392" spans="13:32">
      <c r="M392" s="126"/>
      <c r="N392" s="72" t="s">
        <v>116</v>
      </c>
      <c r="O392" s="73"/>
      <c r="P392" s="73"/>
      <c r="Q392" s="74">
        <f ca="1">(Q390/P352)*(S354-P354)+P354</f>
        <v>1.825396825396826</v>
      </c>
      <c r="R392" s="74">
        <f ca="1">(R390/P352)*(S354-P354)+P354</f>
        <v>0.87301587301587347</v>
      </c>
      <c r="S392" s="75"/>
      <c r="T392" s="75"/>
      <c r="U392" s="75"/>
      <c r="V392" s="76"/>
      <c r="W392" s="127"/>
      <c r="X392" s="72" t="s">
        <v>116</v>
      </c>
      <c r="Y392" s="73"/>
      <c r="Z392" s="73"/>
      <c r="AA392" s="74">
        <f ca="1">(AA390/Z352)*(AC354-Z354)+Z354</f>
        <v>0.71428571428571352</v>
      </c>
      <c r="AB392" s="74">
        <f ca="1">(AB390/Z352)*(AC354-Z354)+Z354</f>
        <v>-7.9365079365079971E-2</v>
      </c>
      <c r="AC392" s="75"/>
      <c r="AD392" s="75"/>
      <c r="AE392" s="75"/>
      <c r="AF392" s="76"/>
    </row>
    <row r="393" spans="13:32">
      <c r="M393" s="126"/>
      <c r="N393" s="122" t="s">
        <v>158</v>
      </c>
      <c r="O393" s="123"/>
      <c r="P393" s="123"/>
      <c r="Q393" s="123"/>
      <c r="R393" s="123"/>
      <c r="S393" s="123"/>
      <c r="T393" s="123"/>
      <c r="U393" s="123"/>
      <c r="V393" s="124"/>
      <c r="W393" s="127"/>
      <c r="X393" s="122" t="s">
        <v>158</v>
      </c>
      <c r="Y393" s="123"/>
      <c r="Z393" s="123"/>
      <c r="AA393" s="123"/>
      <c r="AB393" s="123"/>
      <c r="AC393" s="123"/>
      <c r="AD393" s="123"/>
      <c r="AE393" s="123"/>
      <c r="AF393" s="124"/>
    </row>
    <row r="394" spans="13:32">
      <c r="M394" s="126"/>
      <c r="N394" s="59" t="s">
        <v>100</v>
      </c>
      <c r="O394" s="60">
        <v>6</v>
      </c>
      <c r="P394" s="60"/>
      <c r="Q394" s="60"/>
      <c r="R394" s="60"/>
      <c r="S394" s="60"/>
      <c r="T394" s="60"/>
      <c r="U394" s="60"/>
      <c r="V394" s="61"/>
      <c r="W394" s="127"/>
      <c r="X394" s="59" t="s">
        <v>100</v>
      </c>
      <c r="Y394" s="60">
        <v>6</v>
      </c>
      <c r="Z394" s="60"/>
      <c r="AA394" s="60"/>
      <c r="AB394" s="60"/>
      <c r="AC394" s="60"/>
      <c r="AD394" s="60"/>
      <c r="AE394" s="60"/>
      <c r="AF394" s="61"/>
    </row>
    <row r="395" spans="13:32" ht="30">
      <c r="M395" s="126"/>
      <c r="N395" s="59" t="s">
        <v>101</v>
      </c>
      <c r="O395" s="60">
        <v>0</v>
      </c>
      <c r="P395" s="60">
        <f>(2^O394)-1</f>
        <v>63</v>
      </c>
      <c r="Q395" s="60"/>
      <c r="R395" s="60"/>
      <c r="S395" s="60"/>
      <c r="T395" s="60"/>
      <c r="U395" s="60"/>
      <c r="V395" s="61"/>
      <c r="W395" s="127"/>
      <c r="X395" s="59" t="s">
        <v>101</v>
      </c>
      <c r="Y395" s="60">
        <v>0</v>
      </c>
      <c r="Z395" s="60">
        <f>(2^Y394)-1</f>
        <v>63</v>
      </c>
      <c r="AA395" s="60"/>
      <c r="AB395" s="60"/>
      <c r="AC395" s="60"/>
      <c r="AD395" s="60"/>
      <c r="AE395" s="60"/>
      <c r="AF395" s="61"/>
    </row>
    <row r="396" spans="13:32">
      <c r="M396" s="126"/>
      <c r="N396" s="62" t="s">
        <v>72</v>
      </c>
      <c r="O396" s="4" t="s">
        <v>73</v>
      </c>
      <c r="P396" s="4" t="s">
        <v>91</v>
      </c>
      <c r="Q396" s="4" t="s">
        <v>155</v>
      </c>
      <c r="R396" s="4" t="s">
        <v>156</v>
      </c>
      <c r="S396" s="4" t="s">
        <v>94</v>
      </c>
      <c r="T396" s="4" t="s">
        <v>95</v>
      </c>
      <c r="U396" s="4" t="s">
        <v>96</v>
      </c>
      <c r="V396" s="63" t="s">
        <v>97</v>
      </c>
      <c r="W396" s="127"/>
      <c r="X396" s="62" t="s">
        <v>72</v>
      </c>
      <c r="Y396" s="4" t="s">
        <v>73</v>
      </c>
      <c r="Z396" s="4" t="s">
        <v>91</v>
      </c>
      <c r="AA396" s="4" t="s">
        <v>155</v>
      </c>
      <c r="AB396" s="4" t="s">
        <v>156</v>
      </c>
      <c r="AC396" s="4" t="s">
        <v>94</v>
      </c>
      <c r="AD396" s="4" t="s">
        <v>95</v>
      </c>
      <c r="AE396" s="4" t="s">
        <v>96</v>
      </c>
      <c r="AF396" s="63" t="s">
        <v>97</v>
      </c>
    </row>
    <row r="397" spans="13:32">
      <c r="M397" s="126"/>
      <c r="N397" s="64" t="s">
        <v>1</v>
      </c>
      <c r="O397" s="53"/>
      <c r="P397" s="53">
        <v>-5</v>
      </c>
      <c r="Q397" s="65">
        <f ca="1">E47</f>
        <v>3.1943832302450197</v>
      </c>
      <c r="R397" s="65">
        <f ca="1">F47</f>
        <v>0.43886824295215376</v>
      </c>
      <c r="S397" s="53">
        <v>5</v>
      </c>
      <c r="T397" s="53">
        <f ca="1">RAND()</f>
        <v>0.33322705180453427</v>
      </c>
      <c r="U397" s="53">
        <f t="shared" ref="U397:V397" ca="1" si="124">RAND()</f>
        <v>0.36781724114690506</v>
      </c>
      <c r="V397" s="28">
        <f t="shared" ca="1" si="124"/>
        <v>6.2352076656657207E-2</v>
      </c>
      <c r="W397" s="127"/>
      <c r="X397" s="64" t="s">
        <v>1</v>
      </c>
      <c r="Y397" s="53"/>
      <c r="Z397" s="53">
        <v>-5</v>
      </c>
      <c r="AA397" s="65">
        <f ca="1">E86</f>
        <v>4.2063492063492056</v>
      </c>
      <c r="AB397" s="65">
        <f ca="1">F86</f>
        <v>-5</v>
      </c>
      <c r="AC397" s="53">
        <v>5</v>
      </c>
      <c r="AD397" s="53">
        <f ca="1">RAND()</f>
        <v>0.18580020432629241</v>
      </c>
      <c r="AE397" s="53">
        <f t="shared" ref="AE397:AF397" ca="1" si="125">RAND()</f>
        <v>0.16966356238470637</v>
      </c>
      <c r="AF397" s="28">
        <f t="shared" ca="1" si="125"/>
        <v>0.71139800350663329</v>
      </c>
    </row>
    <row r="398" spans="13:32" ht="30">
      <c r="M398" s="126"/>
      <c r="N398" s="59" t="s">
        <v>110</v>
      </c>
      <c r="O398" s="60"/>
      <c r="P398" s="60"/>
      <c r="Q398" s="60">
        <f ca="1">(ABS(Q397-P397)/(S397-P397))*(P395-O395)</f>
        <v>51.624614350543624</v>
      </c>
      <c r="R398" s="60">
        <f ca="1">(ABS(R397-P397)/(S397-P397))*(P395-O395)</f>
        <v>34.264869930598572</v>
      </c>
      <c r="S398" s="60"/>
      <c r="T398" s="60"/>
      <c r="U398" s="60"/>
      <c r="V398" s="61"/>
      <c r="W398" s="127"/>
      <c r="X398" s="59" t="s">
        <v>110</v>
      </c>
      <c r="Y398" s="60"/>
      <c r="Z398" s="60"/>
      <c r="AA398" s="60">
        <f ca="1">(ABS(AA397-Z397)/(AC397-Z397))*(Z395-Y395)</f>
        <v>58</v>
      </c>
      <c r="AB398" s="60">
        <f ca="1">(ABS(AB397-Z397)/(AC397-Z397))*(Z395-Y395)</f>
        <v>0</v>
      </c>
      <c r="AC398" s="60"/>
      <c r="AD398" s="60"/>
      <c r="AE398" s="60"/>
      <c r="AF398" s="61"/>
    </row>
    <row r="399" spans="13:32">
      <c r="M399" s="126"/>
      <c r="N399" s="66"/>
      <c r="O399" s="53"/>
      <c r="P399" s="42" t="s">
        <v>103</v>
      </c>
      <c r="Q399" s="42"/>
      <c r="R399" s="42"/>
      <c r="S399" s="42" t="s">
        <v>104</v>
      </c>
      <c r="T399" s="60"/>
      <c r="U399" s="60"/>
      <c r="V399" s="61"/>
      <c r="W399" s="127"/>
      <c r="X399" s="66"/>
      <c r="Y399" s="53"/>
      <c r="Z399" s="42" t="s">
        <v>103</v>
      </c>
      <c r="AA399" s="42"/>
      <c r="AB399" s="42"/>
      <c r="AC399" s="42" t="s">
        <v>104</v>
      </c>
      <c r="AD399" s="60"/>
      <c r="AE399" s="60"/>
      <c r="AF399" s="61"/>
    </row>
    <row r="400" spans="13:32">
      <c r="M400" s="126"/>
      <c r="N400" s="66" t="s">
        <v>102</v>
      </c>
      <c r="O400" s="53"/>
      <c r="P400" s="41">
        <v>5</v>
      </c>
      <c r="Q400" s="40">
        <f ca="1">FLOOR(Q398/2^P400,1)</f>
        <v>1</v>
      </c>
      <c r="R400" s="40">
        <f ca="1">FLOOR(R398/2^P400,1)</f>
        <v>1</v>
      </c>
      <c r="S400" s="41">
        <f>2^P400</f>
        <v>32</v>
      </c>
      <c r="T400" s="60"/>
      <c r="U400" s="60"/>
      <c r="V400" s="61"/>
      <c r="W400" s="127"/>
      <c r="X400" s="66" t="s">
        <v>102</v>
      </c>
      <c r="Y400" s="53"/>
      <c r="Z400" s="41">
        <v>5</v>
      </c>
      <c r="AA400" s="40">
        <f ca="1">FLOOR(AA398/2^Z400,1)</f>
        <v>1</v>
      </c>
      <c r="AB400" s="40">
        <f ca="1">FLOOR(AB398/2^Z400,1)</f>
        <v>0</v>
      </c>
      <c r="AC400" s="41">
        <f>2^Z400</f>
        <v>32</v>
      </c>
      <c r="AD400" s="60"/>
      <c r="AE400" s="60"/>
      <c r="AF400" s="61"/>
    </row>
    <row r="401" spans="13:32">
      <c r="M401" s="126"/>
      <c r="N401" s="66" t="s">
        <v>105</v>
      </c>
      <c r="O401" s="53"/>
      <c r="P401" s="41">
        <v>4</v>
      </c>
      <c r="Q401" s="40">
        <f ca="1">FLOOR((Q398-Q400*2^P400)/(2^P401),1)</f>
        <v>1</v>
      </c>
      <c r="R401" s="40">
        <f ca="1">FLOOR((R398-R400*2^P400)/(2^P401),1)</f>
        <v>0</v>
      </c>
      <c r="S401" s="41">
        <f t="shared" ref="S401:S405" si="126">2^P401</f>
        <v>16</v>
      </c>
      <c r="T401" s="60"/>
      <c r="U401" s="60"/>
      <c r="V401" s="61"/>
      <c r="W401" s="127"/>
      <c r="X401" s="66" t="s">
        <v>105</v>
      </c>
      <c r="Y401" s="53"/>
      <c r="Z401" s="41">
        <v>4</v>
      </c>
      <c r="AA401" s="40">
        <f ca="1">FLOOR((AA398-AA400*2^Z400)/(2^Z401),1)</f>
        <v>1</v>
      </c>
      <c r="AB401" s="40">
        <f ca="1">FLOOR((AB398-AB400*2^Z400)/(2^Z401),1)</f>
        <v>0</v>
      </c>
      <c r="AC401" s="41">
        <f t="shared" ref="AC401:AC405" si="127">2^Z401</f>
        <v>16</v>
      </c>
      <c r="AD401" s="60"/>
      <c r="AE401" s="60"/>
      <c r="AF401" s="61"/>
    </row>
    <row r="402" spans="13:32">
      <c r="M402" s="126"/>
      <c r="N402" s="66" t="s">
        <v>106</v>
      </c>
      <c r="O402" s="53"/>
      <c r="P402" s="41">
        <v>3</v>
      </c>
      <c r="Q402" s="40">
        <f ca="1">FLOOR((Q398-Q400*2^P400-Q401*2^P401)/(2^P402),1)</f>
        <v>0</v>
      </c>
      <c r="R402" s="40">
        <f ca="1">FLOOR((R398-R400*2^P400-R401*2^P401)/(2^P402),1)</f>
        <v>0</v>
      </c>
      <c r="S402" s="41">
        <f t="shared" si="126"/>
        <v>8</v>
      </c>
      <c r="T402" s="60"/>
      <c r="U402" s="60"/>
      <c r="V402" s="61"/>
      <c r="W402" s="127"/>
      <c r="X402" s="66" t="s">
        <v>106</v>
      </c>
      <c r="Y402" s="53"/>
      <c r="Z402" s="41">
        <v>3</v>
      </c>
      <c r="AA402" s="40">
        <f ca="1">FLOOR((AA398-AA400*2^Z400-AA401*2^Z401)/(2^Z402),1)</f>
        <v>1</v>
      </c>
      <c r="AB402" s="40">
        <f ca="1">FLOOR((AB398-AB400*2^Z400-AB401*2^Z401)/(2^Z402),1)</f>
        <v>0</v>
      </c>
      <c r="AC402" s="41">
        <f t="shared" si="127"/>
        <v>8</v>
      </c>
      <c r="AD402" s="60"/>
      <c r="AE402" s="60"/>
      <c r="AF402" s="61"/>
    </row>
    <row r="403" spans="13:32">
      <c r="M403" s="126"/>
      <c r="N403" s="66" t="s">
        <v>107</v>
      </c>
      <c r="O403" s="53"/>
      <c r="P403" s="41">
        <v>2</v>
      </c>
      <c r="Q403" s="40">
        <f ca="1">FLOOR((Q398-Q400*2^P400-Q401*2^P401-Q402*2^P402)/(2^P403),1)</f>
        <v>0</v>
      </c>
      <c r="R403" s="40">
        <f ca="1">FLOOR((R398-R400*2^P400-R401*2^P401-R402*2^P402)/(2^P403),1)</f>
        <v>0</v>
      </c>
      <c r="S403" s="41">
        <f t="shared" si="126"/>
        <v>4</v>
      </c>
      <c r="T403" s="60"/>
      <c r="U403" s="60"/>
      <c r="V403" s="61"/>
      <c r="W403" s="127"/>
      <c r="X403" s="66" t="s">
        <v>107</v>
      </c>
      <c r="Y403" s="53"/>
      <c r="Z403" s="41">
        <v>2</v>
      </c>
      <c r="AA403" s="40">
        <f ca="1">FLOOR((AA398-AA400*2^Z400-AA401*2^Z401-AA402*2^Z402)/(2^Z403),1)</f>
        <v>0</v>
      </c>
      <c r="AB403" s="40">
        <f ca="1">FLOOR((AB398-AB400*2^Z400-AB401*2^Z401-AB402*2^Z402)/(2^Z403),1)</f>
        <v>0</v>
      </c>
      <c r="AC403" s="41">
        <f t="shared" si="127"/>
        <v>4</v>
      </c>
      <c r="AD403" s="60"/>
      <c r="AE403" s="60"/>
      <c r="AF403" s="61"/>
    </row>
    <row r="404" spans="13:32">
      <c r="M404" s="126"/>
      <c r="N404" s="66"/>
      <c r="O404" s="53"/>
      <c r="P404" s="41">
        <v>1</v>
      </c>
      <c r="Q404" s="40">
        <f ca="1">FLOOR((Q398-Q400*2^P400-Q401*2^P401-Q402*2^P402-Q403*2^P403)/(2^P404),1)</f>
        <v>1</v>
      </c>
      <c r="R404" s="40">
        <f ca="1">FLOOR((R398-R400*2^P400-R401*2^P401-R402*2^P402-R403*2^P403)/(2^P404),1)</f>
        <v>1</v>
      </c>
      <c r="S404" s="41">
        <f t="shared" si="126"/>
        <v>2</v>
      </c>
      <c r="T404" s="60"/>
      <c r="U404" s="60"/>
      <c r="V404" s="61"/>
      <c r="W404" s="127"/>
      <c r="X404" s="66"/>
      <c r="Y404" s="53"/>
      <c r="Z404" s="41">
        <v>1</v>
      </c>
      <c r="AA404" s="40">
        <f ca="1">FLOOR((AA398-AA400*2^Z400-AA401*2^Z401-AA402*2^Z402-AA403*2^Z403)/(2^Z404),1)</f>
        <v>1</v>
      </c>
      <c r="AB404" s="40">
        <f ca="1">FLOOR((AB398-AB400*2^Z400-AB401*2^Z401-AB402*2^Z402-AB403*2^Z403)/(2^Z404),1)</f>
        <v>0</v>
      </c>
      <c r="AC404" s="41">
        <f t="shared" si="127"/>
        <v>2</v>
      </c>
      <c r="AD404" s="60"/>
      <c r="AE404" s="60"/>
      <c r="AF404" s="61"/>
    </row>
    <row r="405" spans="13:32">
      <c r="M405" s="126"/>
      <c r="N405" s="66"/>
      <c r="O405" s="53"/>
      <c r="P405" s="41">
        <v>0</v>
      </c>
      <c r="Q405" s="40">
        <f ca="1">FLOOR((Q398-Q400*2^P400-Q401*2^P401-Q402*2^P402-Q403*2^P403-Q404*2^P404)/(2^P405),1)</f>
        <v>1</v>
      </c>
      <c r="R405" s="40">
        <f ca="1">FLOOR((R398-R400*2^P400-R401*2^P401-R402*2^P402-R403*2^P403-R404*2^P404)/(2^P405),1)</f>
        <v>0</v>
      </c>
      <c r="S405" s="41">
        <f t="shared" si="126"/>
        <v>1</v>
      </c>
      <c r="T405" s="60"/>
      <c r="U405" s="60"/>
      <c r="V405" s="61"/>
      <c r="W405" s="127"/>
      <c r="X405" s="66"/>
      <c r="Y405" s="53"/>
      <c r="Z405" s="41">
        <v>0</v>
      </c>
      <c r="AA405" s="40">
        <f ca="1">FLOOR((AA398-AA400*2^Z400-AA401*2^Z401-AA402*2^Z402-AA403*2^Z403-AA404*2^Z404)/(2^Z405),1)</f>
        <v>0</v>
      </c>
      <c r="AB405" s="40">
        <f ca="1">FLOOR((AB398-AB400*2^Z400-AB401*2^Z401-AB402*2^Z402-AB403*2^Z403-AB404*2^Z404)/(2^Z405),1)</f>
        <v>0</v>
      </c>
      <c r="AC405" s="41">
        <f t="shared" si="127"/>
        <v>1</v>
      </c>
      <c r="AD405" s="60"/>
      <c r="AE405" s="60"/>
      <c r="AF405" s="61"/>
    </row>
    <row r="406" spans="13:32">
      <c r="M406" s="126"/>
      <c r="N406" s="66"/>
      <c r="O406" s="53"/>
      <c r="P406" s="41"/>
      <c r="Q406" s="42" t="s">
        <v>108</v>
      </c>
      <c r="R406" s="42" t="s">
        <v>109</v>
      </c>
      <c r="S406" s="41"/>
      <c r="T406" s="60"/>
      <c r="U406" s="60"/>
      <c r="V406" s="61"/>
      <c r="W406" s="127"/>
      <c r="X406" s="66"/>
      <c r="Y406" s="53"/>
      <c r="Z406" s="41"/>
      <c r="AA406" s="42" t="s">
        <v>108</v>
      </c>
      <c r="AB406" s="42" t="s">
        <v>109</v>
      </c>
      <c r="AC406" s="41"/>
      <c r="AD406" s="60"/>
      <c r="AE406" s="60"/>
      <c r="AF406" s="61"/>
    </row>
    <row r="407" spans="13:32">
      <c r="M407" s="126"/>
      <c r="N407" s="66" t="s">
        <v>114</v>
      </c>
      <c r="O407" s="53"/>
      <c r="P407" s="41"/>
      <c r="Q407" s="44">
        <f ca="1">Q400*2^P400+Q401*2^P401+Q402*2^P402+Q403*2^P403+Q404*2^P404+Q405*2^P405</f>
        <v>51</v>
      </c>
      <c r="R407" s="44">
        <f ca="1">R400*2^P400+R401*2^P401+R402*2^P402+R403*2^P403+R404*2^P404+R405*2^P405</f>
        <v>34</v>
      </c>
      <c r="S407" s="41"/>
      <c r="T407" s="60"/>
      <c r="U407" s="60"/>
      <c r="V407" s="61"/>
      <c r="W407" s="127"/>
      <c r="X407" s="66" t="s">
        <v>114</v>
      </c>
      <c r="Y407" s="53"/>
      <c r="Z407" s="41"/>
      <c r="AA407" s="44">
        <f ca="1">AA400*2^Z400+AA401*2^Z401+AA402*2^Z402+AA403*2^Z403+AA404*2^Z404+AA405*2^Z405</f>
        <v>58</v>
      </c>
      <c r="AB407" s="44">
        <f ca="1">AB400*2^Z400+AB401*2^Z401+AB402*2^Z402+AB403*2^Z403+AB404*2^Z404+AB405*2^Z405</f>
        <v>0</v>
      </c>
      <c r="AC407" s="41"/>
      <c r="AD407" s="60"/>
      <c r="AE407" s="60"/>
      <c r="AF407" s="61"/>
    </row>
    <row r="408" spans="13:32">
      <c r="M408" s="126"/>
      <c r="N408" s="67"/>
      <c r="O408" s="60"/>
      <c r="P408" s="60"/>
      <c r="Q408" s="60"/>
      <c r="R408" s="60"/>
      <c r="S408" s="60"/>
      <c r="T408" s="60"/>
      <c r="U408" s="60"/>
      <c r="V408" s="61"/>
      <c r="W408" s="127"/>
      <c r="X408" s="67"/>
      <c r="Y408" s="60"/>
      <c r="Z408" s="60"/>
      <c r="AA408" s="60"/>
      <c r="AB408" s="60"/>
      <c r="AC408" s="60"/>
      <c r="AD408" s="60"/>
      <c r="AE408" s="60"/>
      <c r="AF408" s="61"/>
    </row>
    <row r="409" spans="13:32">
      <c r="M409" s="126"/>
      <c r="N409" s="68" t="s">
        <v>111</v>
      </c>
      <c r="O409" s="69"/>
      <c r="P409" s="69"/>
      <c r="Q409" s="69"/>
      <c r="R409" s="69"/>
      <c r="S409" s="69"/>
      <c r="T409" s="70">
        <f ca="1">FLOOR(O394*T397,1)</f>
        <v>1</v>
      </c>
      <c r="U409" s="60"/>
      <c r="V409" s="61"/>
      <c r="W409" s="127"/>
      <c r="X409" s="68" t="s">
        <v>111</v>
      </c>
      <c r="Y409" s="69"/>
      <c r="Z409" s="69"/>
      <c r="AA409" s="69"/>
      <c r="AB409" s="69"/>
      <c r="AC409" s="69"/>
      <c r="AD409" s="70">
        <f ca="1">FLOOR(Y394*AD397,1)</f>
        <v>1</v>
      </c>
      <c r="AE409" s="60"/>
      <c r="AF409" s="61"/>
    </row>
    <row r="410" spans="13:32">
      <c r="M410" s="126"/>
      <c r="N410" s="67" t="s">
        <v>112</v>
      </c>
      <c r="O410" s="60"/>
      <c r="P410" s="60"/>
      <c r="Q410" s="60"/>
      <c r="R410" s="60"/>
      <c r="S410" s="60"/>
      <c r="T410" s="60"/>
      <c r="U410" s="60"/>
      <c r="V410" s="61"/>
      <c r="W410" s="127"/>
      <c r="X410" s="67" t="s">
        <v>112</v>
      </c>
      <c r="Y410" s="60"/>
      <c r="Z410" s="60"/>
      <c r="AA410" s="60"/>
      <c r="AB410" s="60"/>
      <c r="AC410" s="60"/>
      <c r="AD410" s="60"/>
      <c r="AE410" s="60"/>
      <c r="AF410" s="61"/>
    </row>
    <row r="411" spans="13:32">
      <c r="M411" s="126"/>
      <c r="N411" s="67"/>
      <c r="O411" s="60"/>
      <c r="P411" s="60"/>
      <c r="Q411" s="60"/>
      <c r="R411" s="60"/>
      <c r="S411" s="60"/>
      <c r="T411" s="60"/>
      <c r="U411" s="60"/>
      <c r="V411" s="61"/>
      <c r="W411" s="127"/>
      <c r="X411" s="67"/>
      <c r="Y411" s="60"/>
      <c r="Z411" s="60"/>
      <c r="AA411" s="60"/>
      <c r="AB411" s="60"/>
      <c r="AC411" s="60"/>
      <c r="AD411" s="60"/>
      <c r="AE411" s="60"/>
      <c r="AF411" s="61"/>
    </row>
    <row r="412" spans="13:32">
      <c r="M412" s="126"/>
      <c r="N412" s="66" t="s">
        <v>113</v>
      </c>
      <c r="O412" s="53"/>
      <c r="P412" s="42" t="s">
        <v>103</v>
      </c>
      <c r="Q412" s="42"/>
      <c r="R412" s="42"/>
      <c r="S412" s="42" t="s">
        <v>104</v>
      </c>
      <c r="T412" s="60"/>
      <c r="U412" s="60"/>
      <c r="V412" s="61"/>
      <c r="W412" s="127"/>
      <c r="X412" s="66" t="s">
        <v>113</v>
      </c>
      <c r="Y412" s="53"/>
      <c r="Z412" s="42" t="s">
        <v>103</v>
      </c>
      <c r="AA412" s="42"/>
      <c r="AB412" s="42"/>
      <c r="AC412" s="42" t="s">
        <v>104</v>
      </c>
      <c r="AD412" s="60"/>
      <c r="AE412" s="60"/>
      <c r="AF412" s="61"/>
    </row>
    <row r="413" spans="13:32">
      <c r="M413" s="126"/>
      <c r="N413" s="66"/>
      <c r="O413" s="53"/>
      <c r="P413" s="41">
        <v>5</v>
      </c>
      <c r="Q413" s="40">
        <f ca="1">IF(T409&gt;=1,R400,Q400)</f>
        <v>1</v>
      </c>
      <c r="R413" s="40">
        <f ca="1">IF(T409&gt;=1,Q400,R400)</f>
        <v>1</v>
      </c>
      <c r="S413" s="41">
        <f>2^P413</f>
        <v>32</v>
      </c>
      <c r="T413" s="60"/>
      <c r="U413" s="60"/>
      <c r="V413" s="61"/>
      <c r="W413" s="127"/>
      <c r="X413" s="66"/>
      <c r="Y413" s="53"/>
      <c r="Z413" s="41">
        <v>5</v>
      </c>
      <c r="AA413" s="40">
        <f ca="1">IF(AD409&gt;=1,AB400,AA400)</f>
        <v>0</v>
      </c>
      <c r="AB413" s="40">
        <f ca="1">IF(AD409&gt;=1,AA400,AB400)</f>
        <v>1</v>
      </c>
      <c r="AC413" s="41">
        <f>2^Z413</f>
        <v>32</v>
      </c>
      <c r="AD413" s="60"/>
      <c r="AE413" s="60"/>
      <c r="AF413" s="61"/>
    </row>
    <row r="414" spans="13:32">
      <c r="M414" s="126"/>
      <c r="N414" s="66"/>
      <c r="O414" s="53"/>
      <c r="P414" s="41">
        <v>4</v>
      </c>
      <c r="Q414" s="40">
        <f ca="1">IF(T409&gt;=2,R401,Q401)</f>
        <v>1</v>
      </c>
      <c r="R414" s="40">
        <f ca="1">IF(T409&gt;=2,Q401,R401)</f>
        <v>0</v>
      </c>
      <c r="S414" s="41">
        <f t="shared" ref="S414:S418" si="128">2^P414</f>
        <v>16</v>
      </c>
      <c r="T414" s="60"/>
      <c r="U414" s="60"/>
      <c r="V414" s="61"/>
      <c r="W414" s="127"/>
      <c r="X414" s="66"/>
      <c r="Y414" s="53"/>
      <c r="Z414" s="41">
        <v>4</v>
      </c>
      <c r="AA414" s="40">
        <f ca="1">IF(AD409&gt;=2,AB401,AA401)</f>
        <v>1</v>
      </c>
      <c r="AB414" s="40">
        <f ca="1">IF(AD409&gt;=2,AA401,AB401)</f>
        <v>0</v>
      </c>
      <c r="AC414" s="41">
        <f t="shared" ref="AC414:AC418" si="129">2^Z414</f>
        <v>16</v>
      </c>
      <c r="AD414" s="60"/>
      <c r="AE414" s="60"/>
      <c r="AF414" s="61"/>
    </row>
    <row r="415" spans="13:32">
      <c r="M415" s="126"/>
      <c r="N415" s="66"/>
      <c r="O415" s="53"/>
      <c r="P415" s="41">
        <v>3</v>
      </c>
      <c r="Q415" s="40">
        <f ca="1">IF(T409&gt;=3,R402,Q402)</f>
        <v>0</v>
      </c>
      <c r="R415" s="40">
        <f ca="1">IF(T409&gt;=3,Q402,R402)</f>
        <v>0</v>
      </c>
      <c r="S415" s="41">
        <f t="shared" si="128"/>
        <v>8</v>
      </c>
      <c r="T415" s="60"/>
      <c r="U415" s="60"/>
      <c r="V415" s="61"/>
      <c r="W415" s="127"/>
      <c r="X415" s="66"/>
      <c r="Y415" s="53"/>
      <c r="Z415" s="41">
        <v>3</v>
      </c>
      <c r="AA415" s="40">
        <f ca="1">IF(AD409&gt;=3,AB402,AA402)</f>
        <v>1</v>
      </c>
      <c r="AB415" s="40">
        <f ca="1">IF(AD409&gt;=3,AA402,AB402)</f>
        <v>0</v>
      </c>
      <c r="AC415" s="41">
        <f t="shared" si="129"/>
        <v>8</v>
      </c>
      <c r="AD415" s="60"/>
      <c r="AE415" s="60"/>
      <c r="AF415" s="61"/>
    </row>
    <row r="416" spans="13:32">
      <c r="M416" s="126"/>
      <c r="N416" s="66"/>
      <c r="O416" s="53"/>
      <c r="P416" s="41">
        <v>2</v>
      </c>
      <c r="Q416" s="40">
        <f ca="1">IF(T409&gt;=4,R403,Q403)</f>
        <v>0</v>
      </c>
      <c r="R416" s="40">
        <f ca="1">IF(T409&gt;=4,Q403,R403)</f>
        <v>0</v>
      </c>
      <c r="S416" s="41">
        <f t="shared" si="128"/>
        <v>4</v>
      </c>
      <c r="T416" s="60"/>
      <c r="U416" s="60"/>
      <c r="V416" s="61"/>
      <c r="W416" s="127"/>
      <c r="X416" s="66"/>
      <c r="Y416" s="53"/>
      <c r="Z416" s="41">
        <v>2</v>
      </c>
      <c r="AA416" s="40">
        <f ca="1">IF(AD409&gt;=4,AB403,AA403)</f>
        <v>0</v>
      </c>
      <c r="AB416" s="40">
        <f ca="1">IF(AD409&gt;=4,AA403,AB403)</f>
        <v>0</v>
      </c>
      <c r="AC416" s="41">
        <f t="shared" si="129"/>
        <v>4</v>
      </c>
      <c r="AD416" s="60"/>
      <c r="AE416" s="60"/>
      <c r="AF416" s="61"/>
    </row>
    <row r="417" spans="13:32">
      <c r="M417" s="126"/>
      <c r="N417" s="66"/>
      <c r="O417" s="53"/>
      <c r="P417" s="41">
        <v>1</v>
      </c>
      <c r="Q417" s="40">
        <f ca="1">IF(T409&gt;=5,R404,Q404)</f>
        <v>1</v>
      </c>
      <c r="R417" s="40">
        <f ca="1">IF(T409&gt;=5,Q404,R404)</f>
        <v>1</v>
      </c>
      <c r="S417" s="41">
        <f t="shared" si="128"/>
        <v>2</v>
      </c>
      <c r="T417" s="60"/>
      <c r="U417" s="60"/>
      <c r="V417" s="61"/>
      <c r="W417" s="127"/>
      <c r="X417" s="66"/>
      <c r="Y417" s="53"/>
      <c r="Z417" s="41">
        <v>1</v>
      </c>
      <c r="AA417" s="40">
        <f ca="1">IF(AD409&gt;=5,AB404,AA404)</f>
        <v>1</v>
      </c>
      <c r="AB417" s="40">
        <f ca="1">IF(AD409&gt;=5,AA404,AB404)</f>
        <v>0</v>
      </c>
      <c r="AC417" s="41">
        <f t="shared" si="129"/>
        <v>2</v>
      </c>
      <c r="AD417" s="60"/>
      <c r="AE417" s="60"/>
      <c r="AF417" s="61"/>
    </row>
    <row r="418" spans="13:32">
      <c r="M418" s="126"/>
      <c r="N418" s="66"/>
      <c r="O418" s="53"/>
      <c r="P418" s="41">
        <v>0</v>
      </c>
      <c r="Q418" s="40">
        <f ca="1">IF(T409&gt;=6,R405,Q405)</f>
        <v>1</v>
      </c>
      <c r="R418" s="40">
        <f ca="1">IF(T409&gt;=6,Q405,R405)</f>
        <v>0</v>
      </c>
      <c r="S418" s="41">
        <f t="shared" si="128"/>
        <v>1</v>
      </c>
      <c r="T418" s="60"/>
      <c r="U418" s="60"/>
      <c r="V418" s="61"/>
      <c r="W418" s="127"/>
      <c r="X418" s="66"/>
      <c r="Y418" s="53"/>
      <c r="Z418" s="41">
        <v>0</v>
      </c>
      <c r="AA418" s="40">
        <f ca="1">IF(AD409&gt;=6,AB405,AA405)</f>
        <v>0</v>
      </c>
      <c r="AB418" s="40">
        <f ca="1">IF(AD409&gt;=6,AA405,AB405)</f>
        <v>0</v>
      </c>
      <c r="AC418" s="41">
        <f t="shared" si="129"/>
        <v>1</v>
      </c>
      <c r="AD418" s="60"/>
      <c r="AE418" s="60"/>
      <c r="AF418" s="61"/>
    </row>
    <row r="419" spans="13:32">
      <c r="M419" s="126"/>
      <c r="N419" s="66"/>
      <c r="O419" s="53"/>
      <c r="P419" s="41"/>
      <c r="Q419" s="42" t="s">
        <v>108</v>
      </c>
      <c r="R419" s="42" t="s">
        <v>109</v>
      </c>
      <c r="S419" s="41"/>
      <c r="T419" s="60"/>
      <c r="U419" s="60"/>
      <c r="V419" s="61"/>
      <c r="W419" s="127"/>
      <c r="X419" s="66"/>
      <c r="Y419" s="53"/>
      <c r="Z419" s="41"/>
      <c r="AA419" s="42" t="s">
        <v>108</v>
      </c>
      <c r="AB419" s="42" t="s">
        <v>109</v>
      </c>
      <c r="AC419" s="41"/>
      <c r="AD419" s="60"/>
      <c r="AE419" s="60"/>
      <c r="AF419" s="61"/>
    </row>
    <row r="420" spans="13:32">
      <c r="M420" s="126"/>
      <c r="N420" s="66" t="s">
        <v>114</v>
      </c>
      <c r="O420" s="53"/>
      <c r="P420" s="41"/>
      <c r="Q420" s="44">
        <f ca="1">Q413*2^P413+Q414*2^P414+Q415*2^P415+Q416*2^P416+Q417*2^P417+Q418*2^P418</f>
        <v>51</v>
      </c>
      <c r="R420" s="44">
        <f ca="1">R413*2^P413+R414*2^P414+R415*2^P415+R416*2^P416+R417*2^P417+R418*2^P418</f>
        <v>34</v>
      </c>
      <c r="S420" s="41"/>
      <c r="T420" s="60"/>
      <c r="U420" s="60"/>
      <c r="V420" s="61"/>
      <c r="W420" s="127"/>
      <c r="X420" s="66" t="s">
        <v>114</v>
      </c>
      <c r="Y420" s="53"/>
      <c r="Z420" s="41"/>
      <c r="AA420" s="44">
        <f ca="1">AA413*2^Z413+AA414*2^Z414+AA415*2^Z415+AA416*2^Z416+AA417*2^Z417+AA418*2^Z418</f>
        <v>26</v>
      </c>
      <c r="AB420" s="44">
        <f ca="1">AB413*2^Z413+AB414*2^Z414+AB415*2^Z415+AB416*2^Z416+AB417*2^Z417+AB418*2^Z418</f>
        <v>32</v>
      </c>
      <c r="AC420" s="41"/>
      <c r="AD420" s="60"/>
      <c r="AE420" s="60"/>
      <c r="AF420" s="61"/>
    </row>
    <row r="421" spans="13:32">
      <c r="M421" s="126"/>
      <c r="N421" s="67"/>
      <c r="O421" s="60"/>
      <c r="P421" s="60"/>
      <c r="Q421" s="60"/>
      <c r="R421" s="60"/>
      <c r="S421" s="60"/>
      <c r="T421" s="60"/>
      <c r="U421" s="60"/>
      <c r="V421" s="61"/>
      <c r="W421" s="127"/>
      <c r="X421" s="67"/>
      <c r="Y421" s="60"/>
      <c r="Z421" s="60"/>
      <c r="AA421" s="60"/>
      <c r="AB421" s="60"/>
      <c r="AC421" s="60"/>
      <c r="AD421" s="60"/>
      <c r="AE421" s="60"/>
      <c r="AF421" s="61"/>
    </row>
    <row r="422" spans="13:32">
      <c r="M422" s="126"/>
      <c r="N422" s="68" t="s">
        <v>115</v>
      </c>
      <c r="O422" s="69"/>
      <c r="P422" s="69"/>
      <c r="Q422" s="69"/>
      <c r="R422" s="69"/>
      <c r="S422" s="69"/>
      <c r="T422" s="69"/>
      <c r="U422" s="70">
        <f ca="1">FLOOR(O394*U397,1)</f>
        <v>2</v>
      </c>
      <c r="V422" s="71">
        <f ca="1">FLOOR(O394*V397,1)</f>
        <v>0</v>
      </c>
      <c r="W422" s="127"/>
      <c r="X422" s="68" t="s">
        <v>115</v>
      </c>
      <c r="Y422" s="69"/>
      <c r="Z422" s="69"/>
      <c r="AA422" s="69"/>
      <c r="AB422" s="69"/>
      <c r="AC422" s="69"/>
      <c r="AD422" s="69"/>
      <c r="AE422" s="70">
        <f ca="1">FLOOR(Y394*AE397,1)</f>
        <v>1</v>
      </c>
      <c r="AF422" s="71">
        <f ca="1">FLOOR(Y394*AF397,1)</f>
        <v>4</v>
      </c>
    </row>
    <row r="423" spans="13:32">
      <c r="M423" s="126"/>
      <c r="N423" s="67"/>
      <c r="O423" s="60"/>
      <c r="P423" s="60"/>
      <c r="Q423" s="60"/>
      <c r="R423" s="60"/>
      <c r="S423" s="60"/>
      <c r="T423" s="60"/>
      <c r="U423" s="60"/>
      <c r="V423" s="61"/>
      <c r="W423" s="127"/>
      <c r="X423" s="67"/>
      <c r="Y423" s="60"/>
      <c r="Z423" s="60"/>
      <c r="AA423" s="60"/>
      <c r="AB423" s="60"/>
      <c r="AC423" s="60"/>
      <c r="AD423" s="60"/>
      <c r="AE423" s="60"/>
      <c r="AF423" s="61"/>
    </row>
    <row r="424" spans="13:32">
      <c r="M424" s="126"/>
      <c r="N424" s="67"/>
      <c r="O424" s="60"/>
      <c r="P424" s="60"/>
      <c r="Q424" s="60"/>
      <c r="R424" s="60"/>
      <c r="S424" s="60"/>
      <c r="T424" s="60"/>
      <c r="U424" s="60"/>
      <c r="V424" s="61"/>
      <c r="W424" s="127"/>
      <c r="X424" s="67"/>
      <c r="Y424" s="60"/>
      <c r="Z424" s="60"/>
      <c r="AA424" s="60"/>
      <c r="AB424" s="60"/>
      <c r="AC424" s="60"/>
      <c r="AD424" s="60"/>
      <c r="AE424" s="60"/>
      <c r="AF424" s="61"/>
    </row>
    <row r="425" spans="13:32">
      <c r="M425" s="126"/>
      <c r="N425" s="67"/>
      <c r="O425" s="60"/>
      <c r="P425" s="42" t="s">
        <v>103</v>
      </c>
      <c r="Q425" s="42"/>
      <c r="R425" s="42"/>
      <c r="S425" s="42" t="s">
        <v>104</v>
      </c>
      <c r="T425" s="60"/>
      <c r="U425" s="60"/>
      <c r="V425" s="61"/>
      <c r="W425" s="127"/>
      <c r="X425" s="67"/>
      <c r="Y425" s="60"/>
      <c r="Z425" s="42" t="s">
        <v>103</v>
      </c>
      <c r="AA425" s="42"/>
      <c r="AB425" s="42"/>
      <c r="AC425" s="42" t="s">
        <v>104</v>
      </c>
      <c r="AD425" s="60"/>
      <c r="AE425" s="60"/>
      <c r="AF425" s="61"/>
    </row>
    <row r="426" spans="13:32">
      <c r="M426" s="126"/>
      <c r="N426" s="67"/>
      <c r="O426" s="60"/>
      <c r="P426" s="41">
        <v>5</v>
      </c>
      <c r="Q426" s="40">
        <f ca="1">IF(U422=1,IF(Q413=1,0,1),Q413)</f>
        <v>1</v>
      </c>
      <c r="R426" s="40">
        <f ca="1">IF(V422=1,IF(R413=1,0,1),R413)</f>
        <v>1</v>
      </c>
      <c r="S426" s="41">
        <f>2^P426</f>
        <v>32</v>
      </c>
      <c r="T426" s="60"/>
      <c r="U426" s="60"/>
      <c r="V426" s="61"/>
      <c r="W426" s="127"/>
      <c r="X426" s="67"/>
      <c r="Y426" s="60"/>
      <c r="Z426" s="41">
        <v>5</v>
      </c>
      <c r="AA426" s="40">
        <f ca="1">IF(AE422=1,IF(AA413=1,0,1),AA413)</f>
        <v>1</v>
      </c>
      <c r="AB426" s="40">
        <f ca="1">IF(AF422=1,IF(AB413=1,0,1),AB413)</f>
        <v>1</v>
      </c>
      <c r="AC426" s="41">
        <f>2^Z426</f>
        <v>32</v>
      </c>
      <c r="AD426" s="60"/>
      <c r="AE426" s="60"/>
      <c r="AF426" s="61"/>
    </row>
    <row r="427" spans="13:32">
      <c r="M427" s="126"/>
      <c r="N427" s="67"/>
      <c r="O427" s="60"/>
      <c r="P427" s="41">
        <v>4</v>
      </c>
      <c r="Q427" s="40">
        <f ca="1">IF(U422=2,IF(Q414=1,0,1),Q414)</f>
        <v>0</v>
      </c>
      <c r="R427" s="40">
        <f ca="1">IF(V422=2,IF(R414=1,0,1),R414)</f>
        <v>0</v>
      </c>
      <c r="S427" s="41">
        <f t="shared" ref="S427:S431" si="130">2^P427</f>
        <v>16</v>
      </c>
      <c r="T427" s="60"/>
      <c r="U427" s="60"/>
      <c r="V427" s="61"/>
      <c r="W427" s="127"/>
      <c r="X427" s="67"/>
      <c r="Y427" s="60"/>
      <c r="Z427" s="41">
        <v>4</v>
      </c>
      <c r="AA427" s="40">
        <f ca="1">IF(AE422=2,IF(AA414=1,0,1),AA414)</f>
        <v>1</v>
      </c>
      <c r="AB427" s="40">
        <f ca="1">IF(AF422=2,IF(AB414=1,0,1),AB414)</f>
        <v>0</v>
      </c>
      <c r="AC427" s="41">
        <f t="shared" ref="AC427:AC431" si="131">2^Z427</f>
        <v>16</v>
      </c>
      <c r="AD427" s="60"/>
      <c r="AE427" s="60"/>
      <c r="AF427" s="61"/>
    </row>
    <row r="428" spans="13:32">
      <c r="M428" s="126"/>
      <c r="N428" s="67"/>
      <c r="O428" s="60"/>
      <c r="P428" s="41">
        <v>3</v>
      </c>
      <c r="Q428" s="40">
        <f ca="1">IF(U422=3,IF(Q415=1,0,1),Q415)</f>
        <v>0</v>
      </c>
      <c r="R428" s="40">
        <f ca="1">IF(V422=3,IF(R415=1,0,1),R415)</f>
        <v>0</v>
      </c>
      <c r="S428" s="41">
        <f t="shared" si="130"/>
        <v>8</v>
      </c>
      <c r="T428" s="60"/>
      <c r="U428" s="60"/>
      <c r="V428" s="61"/>
      <c r="W428" s="127"/>
      <c r="X428" s="67"/>
      <c r="Y428" s="60"/>
      <c r="Z428" s="41">
        <v>3</v>
      </c>
      <c r="AA428" s="40">
        <f ca="1">IF(AE422=3,IF(AA415=1,0,1),AA415)</f>
        <v>1</v>
      </c>
      <c r="AB428" s="40">
        <f ca="1">IF(AF422=3,IF(AB415=1,0,1),AB415)</f>
        <v>0</v>
      </c>
      <c r="AC428" s="41">
        <f t="shared" si="131"/>
        <v>8</v>
      </c>
      <c r="AD428" s="60"/>
      <c r="AE428" s="60"/>
      <c r="AF428" s="61"/>
    </row>
    <row r="429" spans="13:32">
      <c r="M429" s="126"/>
      <c r="N429" s="67"/>
      <c r="O429" s="60"/>
      <c r="P429" s="41">
        <v>2</v>
      </c>
      <c r="Q429" s="40">
        <f ca="1">IF(U422=4,IF(Q416=1,0,1),Q416)</f>
        <v>0</v>
      </c>
      <c r="R429" s="40">
        <f ca="1">IF(V422=4,IF(R416=1,0,1),R416)</f>
        <v>0</v>
      </c>
      <c r="S429" s="41">
        <f t="shared" si="130"/>
        <v>4</v>
      </c>
      <c r="T429" s="60"/>
      <c r="U429" s="60"/>
      <c r="V429" s="61"/>
      <c r="W429" s="127"/>
      <c r="X429" s="67"/>
      <c r="Y429" s="60"/>
      <c r="Z429" s="41">
        <v>2</v>
      </c>
      <c r="AA429" s="40">
        <f ca="1">IF(AE422=4,IF(AA416=1,0,1),AA416)</f>
        <v>0</v>
      </c>
      <c r="AB429" s="40">
        <f ca="1">IF(AF422=4,IF(AB416=1,0,1),AB416)</f>
        <v>1</v>
      </c>
      <c r="AC429" s="41">
        <f t="shared" si="131"/>
        <v>4</v>
      </c>
      <c r="AD429" s="60"/>
      <c r="AE429" s="60"/>
      <c r="AF429" s="61"/>
    </row>
    <row r="430" spans="13:32">
      <c r="M430" s="126"/>
      <c r="N430" s="67"/>
      <c r="O430" s="60"/>
      <c r="P430" s="41">
        <v>1</v>
      </c>
      <c r="Q430" s="40">
        <f ca="1">IF(U422=5,IF(Q417=1,0,1),Q417)</f>
        <v>1</v>
      </c>
      <c r="R430" s="40">
        <f ca="1">IF(V422=5,IF(R417=1,0,1),R417)</f>
        <v>1</v>
      </c>
      <c r="S430" s="41">
        <f t="shared" si="130"/>
        <v>2</v>
      </c>
      <c r="T430" s="60"/>
      <c r="U430" s="60"/>
      <c r="V430" s="61"/>
      <c r="W430" s="127"/>
      <c r="X430" s="67"/>
      <c r="Y430" s="60"/>
      <c r="Z430" s="41">
        <v>1</v>
      </c>
      <c r="AA430" s="40">
        <f ca="1">IF(AE422=5,IF(AA417=1,0,1),AA417)</f>
        <v>1</v>
      </c>
      <c r="AB430" s="40">
        <f ca="1">IF(AF422=5,IF(AB417=1,0,1),AB417)</f>
        <v>0</v>
      </c>
      <c r="AC430" s="41">
        <f t="shared" si="131"/>
        <v>2</v>
      </c>
      <c r="AD430" s="60"/>
      <c r="AE430" s="60"/>
      <c r="AF430" s="61"/>
    </row>
    <row r="431" spans="13:32">
      <c r="M431" s="126"/>
      <c r="N431" s="67"/>
      <c r="O431" s="60"/>
      <c r="P431" s="41">
        <v>0</v>
      </c>
      <c r="Q431" s="40">
        <f ca="1">IF(U422=6,IF(Q418=1,0,1),Q418)</f>
        <v>1</v>
      </c>
      <c r="R431" s="40">
        <f ca="1">IF(V422=6,IF(R418=1,0,1),R418)</f>
        <v>0</v>
      </c>
      <c r="S431" s="41">
        <f t="shared" si="130"/>
        <v>1</v>
      </c>
      <c r="T431" s="60"/>
      <c r="U431" s="60"/>
      <c r="V431" s="61"/>
      <c r="W431" s="127"/>
      <c r="X431" s="67"/>
      <c r="Y431" s="60"/>
      <c r="Z431" s="41">
        <v>0</v>
      </c>
      <c r="AA431" s="40">
        <f ca="1">IF(AE422=6,IF(AA418=1,0,1),AA418)</f>
        <v>0</v>
      </c>
      <c r="AB431" s="40">
        <f ca="1">IF(AF422=6,IF(AB418=1,0,1),AB418)</f>
        <v>0</v>
      </c>
      <c r="AC431" s="41">
        <f t="shared" si="131"/>
        <v>1</v>
      </c>
      <c r="AD431" s="60"/>
      <c r="AE431" s="60"/>
      <c r="AF431" s="61"/>
    </row>
    <row r="432" spans="13:32">
      <c r="M432" s="126"/>
      <c r="N432" s="67"/>
      <c r="O432" s="60"/>
      <c r="P432" s="41"/>
      <c r="Q432" s="42" t="s">
        <v>108</v>
      </c>
      <c r="R432" s="42" t="s">
        <v>109</v>
      </c>
      <c r="S432" s="41"/>
      <c r="T432" s="60"/>
      <c r="U432" s="60"/>
      <c r="V432" s="61"/>
      <c r="W432" s="127"/>
      <c r="X432" s="67"/>
      <c r="Y432" s="60"/>
      <c r="Z432" s="41"/>
      <c r="AA432" s="42" t="s">
        <v>108</v>
      </c>
      <c r="AB432" s="42" t="s">
        <v>109</v>
      </c>
      <c r="AC432" s="41"/>
      <c r="AD432" s="60"/>
      <c r="AE432" s="60"/>
      <c r="AF432" s="61"/>
    </row>
    <row r="433" spans="13:32">
      <c r="M433" s="126"/>
      <c r="N433" s="67"/>
      <c r="O433" s="60"/>
      <c r="P433" s="41"/>
      <c r="Q433" s="44">
        <f ca="1">Q426*2^P426+Q427*2^P427+Q428*2^P428+Q429*2^P429+Q430*2^P430+Q431*2^P431</f>
        <v>35</v>
      </c>
      <c r="R433" s="44">
        <f ca="1">R426*2^P426+R427*2^P427+R428*2^P428+R429*2^P429+R430*2^P430+R431*2^P431</f>
        <v>34</v>
      </c>
      <c r="S433" s="41"/>
      <c r="T433" s="60"/>
      <c r="U433" s="60"/>
      <c r="V433" s="61"/>
      <c r="W433" s="127"/>
      <c r="X433" s="67"/>
      <c r="Y433" s="60"/>
      <c r="Z433" s="41"/>
      <c r="AA433" s="44">
        <f ca="1">AA426*2^Z426+AA427*2^Z427+AA428*2^Z428+AA429*2^Z429+AA430*2^Z430+AA431*2^Z431</f>
        <v>58</v>
      </c>
      <c r="AB433" s="44">
        <f ca="1">AB426*2^Z426+AB427*2^Z427+AB428*2^Z428+AB429*2^Z429+AB430*2^Z430+AB431*2^Z431</f>
        <v>36</v>
      </c>
      <c r="AC433" s="41"/>
      <c r="AD433" s="60"/>
      <c r="AE433" s="60"/>
      <c r="AF433" s="61"/>
    </row>
    <row r="434" spans="13:32">
      <c r="M434" s="126"/>
      <c r="N434" s="67"/>
      <c r="O434" s="60"/>
      <c r="P434" s="60"/>
      <c r="Q434" s="60"/>
      <c r="R434" s="60"/>
      <c r="S434" s="60"/>
      <c r="T434" s="60"/>
      <c r="U434" s="60"/>
      <c r="V434" s="61"/>
      <c r="W434" s="127"/>
      <c r="X434" s="67"/>
      <c r="Y434" s="60"/>
      <c r="Z434" s="60"/>
      <c r="AA434" s="60"/>
      <c r="AB434" s="60"/>
      <c r="AC434" s="60"/>
      <c r="AD434" s="60"/>
      <c r="AE434" s="60"/>
      <c r="AF434" s="61"/>
    </row>
    <row r="435" spans="13:32">
      <c r="M435" s="126"/>
      <c r="N435" s="72" t="s">
        <v>116</v>
      </c>
      <c r="O435" s="73"/>
      <c r="P435" s="73"/>
      <c r="Q435" s="74">
        <f ca="1">(Q433/P395)*(S397-P397)+P397</f>
        <v>0.55555555555555536</v>
      </c>
      <c r="R435" s="74">
        <f ca="1">(R433/P395)*(S397-P397)+P397</f>
        <v>0.3968253968253963</v>
      </c>
      <c r="S435" s="75"/>
      <c r="T435" s="75"/>
      <c r="U435" s="75"/>
      <c r="V435" s="76"/>
      <c r="W435" s="127"/>
      <c r="X435" s="72" t="s">
        <v>116</v>
      </c>
      <c r="Y435" s="73"/>
      <c r="Z435" s="73"/>
      <c r="AA435" s="74">
        <f ca="1">(AA433/Z395)*(AC397-Z397)+Z397</f>
        <v>4.2063492063492056</v>
      </c>
      <c r="AB435" s="74">
        <f ca="1">(AB433/Z395)*(AC397-Z397)+Z397</f>
        <v>0.71428571428571352</v>
      </c>
      <c r="AC435" s="75"/>
      <c r="AD435" s="75"/>
      <c r="AE435" s="75"/>
      <c r="AF435" s="76"/>
    </row>
    <row r="436" spans="13:32">
      <c r="M436" s="126"/>
      <c r="N436" s="122" t="s">
        <v>159</v>
      </c>
      <c r="O436" s="123"/>
      <c r="P436" s="123"/>
      <c r="Q436" s="123"/>
      <c r="R436" s="123"/>
      <c r="S436" s="123"/>
      <c r="T436" s="123"/>
      <c r="U436" s="123"/>
      <c r="V436" s="124"/>
      <c r="W436" s="127"/>
      <c r="X436" s="122" t="s">
        <v>159</v>
      </c>
      <c r="Y436" s="123"/>
      <c r="Z436" s="123"/>
      <c r="AA436" s="123"/>
      <c r="AB436" s="123"/>
      <c r="AC436" s="123"/>
      <c r="AD436" s="123"/>
      <c r="AE436" s="123"/>
      <c r="AF436" s="124"/>
    </row>
    <row r="437" spans="13:32">
      <c r="M437" s="126"/>
      <c r="N437" s="59" t="s">
        <v>100</v>
      </c>
      <c r="O437" s="60">
        <v>6</v>
      </c>
      <c r="P437" s="60"/>
      <c r="Q437" s="60"/>
      <c r="R437" s="60"/>
      <c r="S437" s="60"/>
      <c r="T437" s="60"/>
      <c r="U437" s="60"/>
      <c r="V437" s="61"/>
      <c r="W437" s="127"/>
      <c r="X437" s="59" t="s">
        <v>100</v>
      </c>
      <c r="Y437" s="60">
        <v>6</v>
      </c>
      <c r="Z437" s="60"/>
      <c r="AA437" s="60"/>
      <c r="AB437" s="60"/>
      <c r="AC437" s="60"/>
      <c r="AD437" s="60"/>
      <c r="AE437" s="60"/>
      <c r="AF437" s="61"/>
    </row>
    <row r="438" spans="13:32" ht="30">
      <c r="M438" s="126"/>
      <c r="N438" s="59" t="s">
        <v>101</v>
      </c>
      <c r="O438" s="60">
        <v>0</v>
      </c>
      <c r="P438" s="60">
        <f>(2^O437)-1</f>
        <v>63</v>
      </c>
      <c r="Q438" s="60"/>
      <c r="R438" s="60"/>
      <c r="S438" s="60"/>
      <c r="T438" s="60"/>
      <c r="U438" s="60"/>
      <c r="V438" s="61"/>
      <c r="W438" s="127"/>
      <c r="X438" s="59" t="s">
        <v>101</v>
      </c>
      <c r="Y438" s="60">
        <v>0</v>
      </c>
      <c r="Z438" s="60">
        <f>(2^Y437)-1</f>
        <v>63</v>
      </c>
      <c r="AA438" s="60"/>
      <c r="AB438" s="60"/>
      <c r="AC438" s="60"/>
      <c r="AD438" s="60"/>
      <c r="AE438" s="60"/>
      <c r="AF438" s="61"/>
    </row>
    <row r="439" spans="13:32">
      <c r="M439" s="126"/>
      <c r="N439" s="62" t="s">
        <v>72</v>
      </c>
      <c r="O439" s="4" t="s">
        <v>73</v>
      </c>
      <c r="P439" s="4" t="s">
        <v>91</v>
      </c>
      <c r="Q439" s="4" t="s">
        <v>155</v>
      </c>
      <c r="R439" s="4" t="s">
        <v>156</v>
      </c>
      <c r="S439" s="4" t="s">
        <v>94</v>
      </c>
      <c r="T439" s="4" t="s">
        <v>95</v>
      </c>
      <c r="U439" s="4" t="s">
        <v>96</v>
      </c>
      <c r="V439" s="63" t="s">
        <v>97</v>
      </c>
      <c r="W439" s="127"/>
      <c r="X439" s="62" t="s">
        <v>72</v>
      </c>
      <c r="Y439" s="4" t="s">
        <v>73</v>
      </c>
      <c r="Z439" s="4" t="s">
        <v>91</v>
      </c>
      <c r="AA439" s="4" t="s">
        <v>155</v>
      </c>
      <c r="AB439" s="4" t="s">
        <v>156</v>
      </c>
      <c r="AC439" s="4" t="s">
        <v>94</v>
      </c>
      <c r="AD439" s="4" t="s">
        <v>95</v>
      </c>
      <c r="AE439" s="4" t="s">
        <v>96</v>
      </c>
      <c r="AF439" s="63" t="s">
        <v>97</v>
      </c>
    </row>
    <row r="440" spans="13:32">
      <c r="M440" s="126"/>
      <c r="N440" s="64" t="s">
        <v>1</v>
      </c>
      <c r="O440" s="53"/>
      <c r="P440" s="53">
        <v>-5</v>
      </c>
      <c r="Q440" s="65">
        <f ca="1">E48</f>
        <v>-3.7573898508751693</v>
      </c>
      <c r="R440" s="65">
        <f ca="1">F48</f>
        <v>0.38224804589572425</v>
      </c>
      <c r="S440" s="53">
        <v>5</v>
      </c>
      <c r="T440" s="53">
        <f ca="1">RAND()</f>
        <v>0.48041708637702751</v>
      </c>
      <c r="U440" s="53">
        <f t="shared" ref="U440:V440" ca="1" si="132">RAND()</f>
        <v>0.75509933659398998</v>
      </c>
      <c r="V440" s="28">
        <f t="shared" ca="1" si="132"/>
        <v>0.68079680236049633</v>
      </c>
      <c r="W440" s="127"/>
      <c r="X440" s="64" t="s">
        <v>1</v>
      </c>
      <c r="Y440" s="53"/>
      <c r="Z440" s="53">
        <v>-5</v>
      </c>
      <c r="AA440" s="65">
        <f ca="1">E87</f>
        <v>7.9365079365079083E-2</v>
      </c>
      <c r="AB440" s="65">
        <f ca="1">F87</f>
        <v>1.3492063492063489</v>
      </c>
      <c r="AC440" s="53">
        <v>5</v>
      </c>
      <c r="AD440" s="53">
        <f ca="1">RAND()</f>
        <v>0.14167270137692423</v>
      </c>
      <c r="AE440" s="53">
        <f t="shared" ref="AE440:AF440" ca="1" si="133">RAND()</f>
        <v>0.21600270553253242</v>
      </c>
      <c r="AF440" s="28">
        <f t="shared" ca="1" si="133"/>
        <v>4.1535042266972133E-2</v>
      </c>
    </row>
    <row r="441" spans="13:32" ht="30">
      <c r="M441" s="126"/>
      <c r="N441" s="59" t="s">
        <v>110</v>
      </c>
      <c r="O441" s="60"/>
      <c r="P441" s="60"/>
      <c r="Q441" s="60">
        <f ca="1">(ABS(Q440-P440)/(S440-P440))*(P438-O438)</f>
        <v>7.8284439394864327</v>
      </c>
      <c r="R441" s="60">
        <f ca="1">(ABS(R440-P440)/(S440-P440))*(P438-O438)</f>
        <v>33.908162689143062</v>
      </c>
      <c r="S441" s="60"/>
      <c r="T441" s="60"/>
      <c r="U441" s="60"/>
      <c r="V441" s="61"/>
      <c r="W441" s="127"/>
      <c r="X441" s="59" t="s">
        <v>110</v>
      </c>
      <c r="Y441" s="60"/>
      <c r="Z441" s="60"/>
      <c r="AA441" s="60">
        <f ca="1">(ABS(AA440-Z440)/(AC440-Z440))*(Z438-Y438)</f>
        <v>32</v>
      </c>
      <c r="AB441" s="60">
        <f ca="1">(ABS(AB440-Z440)/(AC440-Z440))*(Z438-Y438)</f>
        <v>40</v>
      </c>
      <c r="AC441" s="60"/>
      <c r="AD441" s="60"/>
      <c r="AE441" s="60"/>
      <c r="AF441" s="61"/>
    </row>
    <row r="442" spans="13:32">
      <c r="M442" s="126"/>
      <c r="N442" s="66"/>
      <c r="O442" s="53"/>
      <c r="P442" s="42" t="s">
        <v>103</v>
      </c>
      <c r="Q442" s="42"/>
      <c r="R442" s="42"/>
      <c r="S442" s="42" t="s">
        <v>104</v>
      </c>
      <c r="T442" s="60"/>
      <c r="U442" s="60"/>
      <c r="V442" s="61"/>
      <c r="W442" s="127"/>
      <c r="X442" s="66"/>
      <c r="Y442" s="53"/>
      <c r="Z442" s="42" t="s">
        <v>103</v>
      </c>
      <c r="AA442" s="42"/>
      <c r="AB442" s="42"/>
      <c r="AC442" s="42" t="s">
        <v>104</v>
      </c>
      <c r="AD442" s="60"/>
      <c r="AE442" s="60"/>
      <c r="AF442" s="61"/>
    </row>
    <row r="443" spans="13:32">
      <c r="M443" s="126"/>
      <c r="N443" s="66" t="s">
        <v>102</v>
      </c>
      <c r="O443" s="53"/>
      <c r="P443" s="41">
        <v>5</v>
      </c>
      <c r="Q443" s="40">
        <f ca="1">FLOOR(Q441/2^P443,1)</f>
        <v>0</v>
      </c>
      <c r="R443" s="40">
        <f ca="1">FLOOR(R441/2^P443,1)</f>
        <v>1</v>
      </c>
      <c r="S443" s="41">
        <f>2^P443</f>
        <v>32</v>
      </c>
      <c r="T443" s="60"/>
      <c r="U443" s="60"/>
      <c r="V443" s="61"/>
      <c r="W443" s="127"/>
      <c r="X443" s="66" t="s">
        <v>102</v>
      </c>
      <c r="Y443" s="53"/>
      <c r="Z443" s="41">
        <v>5</v>
      </c>
      <c r="AA443" s="40">
        <f ca="1">FLOOR(AA441/2^Z443,1)</f>
        <v>1</v>
      </c>
      <c r="AB443" s="40">
        <f ca="1">FLOOR(AB441/2^Z443,1)</f>
        <v>1</v>
      </c>
      <c r="AC443" s="41">
        <f>2^Z443</f>
        <v>32</v>
      </c>
      <c r="AD443" s="60"/>
      <c r="AE443" s="60"/>
      <c r="AF443" s="61"/>
    </row>
    <row r="444" spans="13:32">
      <c r="M444" s="126"/>
      <c r="N444" s="66" t="s">
        <v>105</v>
      </c>
      <c r="O444" s="53"/>
      <c r="P444" s="41">
        <v>4</v>
      </c>
      <c r="Q444" s="40">
        <f ca="1">FLOOR((Q441-Q443*2^P443)/(2^P444),1)</f>
        <v>0</v>
      </c>
      <c r="R444" s="40">
        <f ca="1">FLOOR((R441-R443*2^P443)/(2^P444),1)</f>
        <v>0</v>
      </c>
      <c r="S444" s="41">
        <f t="shared" ref="S444:S448" si="134">2^P444</f>
        <v>16</v>
      </c>
      <c r="T444" s="60"/>
      <c r="U444" s="60"/>
      <c r="V444" s="61"/>
      <c r="W444" s="127"/>
      <c r="X444" s="66" t="s">
        <v>105</v>
      </c>
      <c r="Y444" s="53"/>
      <c r="Z444" s="41">
        <v>4</v>
      </c>
      <c r="AA444" s="40">
        <f ca="1">FLOOR((AA441-AA443*2^Z443)/(2^Z444),1)</f>
        <v>0</v>
      </c>
      <c r="AB444" s="40">
        <f ca="1">FLOOR((AB441-AB443*2^Z443)/(2^Z444),1)</f>
        <v>0</v>
      </c>
      <c r="AC444" s="41">
        <f t="shared" ref="AC444:AC448" si="135">2^Z444</f>
        <v>16</v>
      </c>
      <c r="AD444" s="60"/>
      <c r="AE444" s="60"/>
      <c r="AF444" s="61"/>
    </row>
    <row r="445" spans="13:32">
      <c r="M445" s="126"/>
      <c r="N445" s="66" t="s">
        <v>106</v>
      </c>
      <c r="O445" s="53"/>
      <c r="P445" s="41">
        <v>3</v>
      </c>
      <c r="Q445" s="40">
        <f ca="1">FLOOR((Q441-Q443*2^P443-Q444*2^P444)/(2^P445),1)</f>
        <v>0</v>
      </c>
      <c r="R445" s="40">
        <f ca="1">FLOOR((R441-R443*2^P443-R444*2^P444)/(2^P445),1)</f>
        <v>0</v>
      </c>
      <c r="S445" s="41">
        <f t="shared" si="134"/>
        <v>8</v>
      </c>
      <c r="T445" s="60"/>
      <c r="U445" s="60"/>
      <c r="V445" s="61"/>
      <c r="W445" s="127"/>
      <c r="X445" s="66" t="s">
        <v>106</v>
      </c>
      <c r="Y445" s="53"/>
      <c r="Z445" s="41">
        <v>3</v>
      </c>
      <c r="AA445" s="40">
        <f ca="1">FLOOR((AA441-AA443*2^Z443-AA444*2^Z444)/(2^Z445),1)</f>
        <v>0</v>
      </c>
      <c r="AB445" s="40">
        <f ca="1">FLOOR((AB441-AB443*2^Z443-AB444*2^Z444)/(2^Z445),1)</f>
        <v>1</v>
      </c>
      <c r="AC445" s="41">
        <f t="shared" si="135"/>
        <v>8</v>
      </c>
      <c r="AD445" s="60"/>
      <c r="AE445" s="60"/>
      <c r="AF445" s="61"/>
    </row>
    <row r="446" spans="13:32">
      <c r="M446" s="126"/>
      <c r="N446" s="66" t="s">
        <v>107</v>
      </c>
      <c r="O446" s="53"/>
      <c r="P446" s="41">
        <v>2</v>
      </c>
      <c r="Q446" s="40">
        <f ca="1">FLOOR((Q441-Q443*2^P443-Q444*2^P444-Q445*2^P445)/(2^P446),1)</f>
        <v>1</v>
      </c>
      <c r="R446" s="40">
        <f ca="1">FLOOR((R441-R443*2^P443-R444*2^P444-R445*2^P445)/(2^P446),1)</f>
        <v>0</v>
      </c>
      <c r="S446" s="41">
        <f t="shared" si="134"/>
        <v>4</v>
      </c>
      <c r="T446" s="60"/>
      <c r="U446" s="60"/>
      <c r="V446" s="61"/>
      <c r="W446" s="127"/>
      <c r="X446" s="66" t="s">
        <v>107</v>
      </c>
      <c r="Y446" s="53"/>
      <c r="Z446" s="41">
        <v>2</v>
      </c>
      <c r="AA446" s="40">
        <f ca="1">FLOOR((AA441-AA443*2^Z443-AA444*2^Z444-AA445*2^Z445)/(2^Z446),1)</f>
        <v>0</v>
      </c>
      <c r="AB446" s="40">
        <f ca="1">FLOOR((AB441-AB443*2^Z443-AB444*2^Z444-AB445*2^Z445)/(2^Z446),1)</f>
        <v>0</v>
      </c>
      <c r="AC446" s="41">
        <f t="shared" si="135"/>
        <v>4</v>
      </c>
      <c r="AD446" s="60"/>
      <c r="AE446" s="60"/>
      <c r="AF446" s="61"/>
    </row>
    <row r="447" spans="13:32">
      <c r="M447" s="126"/>
      <c r="N447" s="66"/>
      <c r="O447" s="53"/>
      <c r="P447" s="41">
        <v>1</v>
      </c>
      <c r="Q447" s="40">
        <f ca="1">FLOOR((Q441-Q443*2^P443-Q444*2^P444-Q445*2^P445-Q446*2^P446)/(2^P447),1)</f>
        <v>1</v>
      </c>
      <c r="R447" s="40">
        <f ca="1">FLOOR((R441-R443*2^P443-R444*2^P444-R445*2^P445-R446*2^P446)/(2^P447),1)</f>
        <v>0</v>
      </c>
      <c r="S447" s="41">
        <f t="shared" si="134"/>
        <v>2</v>
      </c>
      <c r="T447" s="60"/>
      <c r="U447" s="60"/>
      <c r="V447" s="61"/>
      <c r="W447" s="127"/>
      <c r="X447" s="66"/>
      <c r="Y447" s="53"/>
      <c r="Z447" s="41">
        <v>1</v>
      </c>
      <c r="AA447" s="40">
        <f ca="1">FLOOR((AA441-AA443*2^Z443-AA444*2^Z444-AA445*2^Z445-AA446*2^Z446)/(2^Z447),1)</f>
        <v>0</v>
      </c>
      <c r="AB447" s="40">
        <f ca="1">FLOOR((AB441-AB443*2^Z443-AB444*2^Z444-AB445*2^Z445-AB446*2^Z446)/(2^Z447),1)</f>
        <v>0</v>
      </c>
      <c r="AC447" s="41">
        <f t="shared" si="135"/>
        <v>2</v>
      </c>
      <c r="AD447" s="60"/>
      <c r="AE447" s="60"/>
      <c r="AF447" s="61"/>
    </row>
    <row r="448" spans="13:32">
      <c r="M448" s="126"/>
      <c r="N448" s="66"/>
      <c r="O448" s="53"/>
      <c r="P448" s="41">
        <v>0</v>
      </c>
      <c r="Q448" s="40">
        <f ca="1">FLOOR((Q441-Q443*2^P443-Q444*2^P444-Q445*2^P445-Q446*2^P446-Q447*2^P447)/(2^P448),1)</f>
        <v>1</v>
      </c>
      <c r="R448" s="40">
        <f ca="1">FLOOR((R441-R443*2^P443-R444*2^P444-R445*2^P445-R446*2^P446-R447*2^P447)/(2^P448),1)</f>
        <v>1</v>
      </c>
      <c r="S448" s="41">
        <f t="shared" si="134"/>
        <v>1</v>
      </c>
      <c r="T448" s="60"/>
      <c r="U448" s="60"/>
      <c r="V448" s="61"/>
      <c r="W448" s="127"/>
      <c r="X448" s="66"/>
      <c r="Y448" s="53"/>
      <c r="Z448" s="41">
        <v>0</v>
      </c>
      <c r="AA448" s="40">
        <f ca="1">FLOOR((AA441-AA443*2^Z443-AA444*2^Z444-AA445*2^Z445-AA446*2^Z446-AA447*2^Z447)/(2^Z448),1)</f>
        <v>0</v>
      </c>
      <c r="AB448" s="40">
        <f ca="1">FLOOR((AB441-AB443*2^Z443-AB444*2^Z444-AB445*2^Z445-AB446*2^Z446-AB447*2^Z447)/(2^Z448),1)</f>
        <v>0</v>
      </c>
      <c r="AC448" s="41">
        <f t="shared" si="135"/>
        <v>1</v>
      </c>
      <c r="AD448" s="60"/>
      <c r="AE448" s="60"/>
      <c r="AF448" s="61"/>
    </row>
    <row r="449" spans="13:32">
      <c r="M449" s="126"/>
      <c r="N449" s="66"/>
      <c r="O449" s="53"/>
      <c r="P449" s="41"/>
      <c r="Q449" s="42" t="s">
        <v>108</v>
      </c>
      <c r="R449" s="42" t="s">
        <v>109</v>
      </c>
      <c r="S449" s="41"/>
      <c r="T449" s="60"/>
      <c r="U449" s="60"/>
      <c r="V449" s="61"/>
      <c r="W449" s="127"/>
      <c r="X449" s="66"/>
      <c r="Y449" s="53"/>
      <c r="Z449" s="41"/>
      <c r="AA449" s="42" t="s">
        <v>108</v>
      </c>
      <c r="AB449" s="42" t="s">
        <v>109</v>
      </c>
      <c r="AC449" s="41"/>
      <c r="AD449" s="60"/>
      <c r="AE449" s="60"/>
      <c r="AF449" s="61"/>
    </row>
    <row r="450" spans="13:32">
      <c r="M450" s="126"/>
      <c r="N450" s="66" t="s">
        <v>114</v>
      </c>
      <c r="O450" s="53"/>
      <c r="P450" s="41"/>
      <c r="Q450" s="44">
        <f ca="1">Q443*2^P443+Q444*2^P444+Q445*2^P445+Q446*2^P446+Q447*2^P447+Q448*2^P448</f>
        <v>7</v>
      </c>
      <c r="R450" s="44">
        <f ca="1">R443*2^P443+R444*2^P444+R445*2^P445+R446*2^P446+R447*2^P447+R448*2^P448</f>
        <v>33</v>
      </c>
      <c r="S450" s="41"/>
      <c r="T450" s="60"/>
      <c r="U450" s="60"/>
      <c r="V450" s="61"/>
      <c r="W450" s="127"/>
      <c r="X450" s="66" t="s">
        <v>114</v>
      </c>
      <c r="Y450" s="53"/>
      <c r="Z450" s="41"/>
      <c r="AA450" s="44">
        <f ca="1">AA443*2^Z443+AA444*2^Z444+AA445*2^Z445+AA446*2^Z446+AA447*2^Z447+AA448*2^Z448</f>
        <v>32</v>
      </c>
      <c r="AB450" s="44">
        <f ca="1">AB443*2^Z443+AB444*2^Z444+AB445*2^Z445+AB446*2^Z446+AB447*2^Z447+AB448*2^Z448</f>
        <v>40</v>
      </c>
      <c r="AC450" s="41"/>
      <c r="AD450" s="60"/>
      <c r="AE450" s="60"/>
      <c r="AF450" s="61"/>
    </row>
    <row r="451" spans="13:32">
      <c r="M451" s="126"/>
      <c r="N451" s="67"/>
      <c r="O451" s="60"/>
      <c r="P451" s="60"/>
      <c r="Q451" s="60"/>
      <c r="R451" s="60"/>
      <c r="S451" s="60"/>
      <c r="T451" s="60"/>
      <c r="U451" s="60"/>
      <c r="V451" s="61"/>
      <c r="W451" s="127"/>
      <c r="X451" s="67"/>
      <c r="Y451" s="60"/>
      <c r="Z451" s="60"/>
      <c r="AA451" s="60"/>
      <c r="AB451" s="60"/>
      <c r="AC451" s="60"/>
      <c r="AD451" s="60"/>
      <c r="AE451" s="60"/>
      <c r="AF451" s="61"/>
    </row>
    <row r="452" spans="13:32">
      <c r="M452" s="126"/>
      <c r="N452" s="68" t="s">
        <v>111</v>
      </c>
      <c r="O452" s="69"/>
      <c r="P452" s="69"/>
      <c r="Q452" s="69"/>
      <c r="R452" s="69"/>
      <c r="S452" s="69"/>
      <c r="T452" s="70">
        <f ca="1">FLOOR(O437*T440,1)</f>
        <v>2</v>
      </c>
      <c r="U452" s="60"/>
      <c r="V452" s="61"/>
      <c r="W452" s="127"/>
      <c r="X452" s="68" t="s">
        <v>111</v>
      </c>
      <c r="Y452" s="69"/>
      <c r="Z452" s="69"/>
      <c r="AA452" s="69"/>
      <c r="AB452" s="69"/>
      <c r="AC452" s="69"/>
      <c r="AD452" s="70">
        <f ca="1">FLOOR(Y437*AD440,1)</f>
        <v>0</v>
      </c>
      <c r="AE452" s="60"/>
      <c r="AF452" s="61"/>
    </row>
    <row r="453" spans="13:32">
      <c r="M453" s="126"/>
      <c r="N453" s="67" t="s">
        <v>112</v>
      </c>
      <c r="O453" s="60"/>
      <c r="P453" s="60"/>
      <c r="Q453" s="60"/>
      <c r="R453" s="60"/>
      <c r="S453" s="60"/>
      <c r="T453" s="60"/>
      <c r="U453" s="60"/>
      <c r="V453" s="61"/>
      <c r="W453" s="127"/>
      <c r="X453" s="67" t="s">
        <v>112</v>
      </c>
      <c r="Y453" s="60"/>
      <c r="Z453" s="60"/>
      <c r="AA453" s="60"/>
      <c r="AB453" s="60"/>
      <c r="AC453" s="60"/>
      <c r="AD453" s="60"/>
      <c r="AE453" s="60"/>
      <c r="AF453" s="61"/>
    </row>
    <row r="454" spans="13:32">
      <c r="M454" s="126"/>
      <c r="N454" s="67"/>
      <c r="O454" s="60"/>
      <c r="P454" s="60"/>
      <c r="Q454" s="60"/>
      <c r="R454" s="60"/>
      <c r="S454" s="60"/>
      <c r="T454" s="60"/>
      <c r="U454" s="60"/>
      <c r="V454" s="61"/>
      <c r="W454" s="127"/>
      <c r="X454" s="67"/>
      <c r="Y454" s="60"/>
      <c r="Z454" s="60"/>
      <c r="AA454" s="60"/>
      <c r="AB454" s="60"/>
      <c r="AC454" s="60"/>
      <c r="AD454" s="60"/>
      <c r="AE454" s="60"/>
      <c r="AF454" s="61"/>
    </row>
    <row r="455" spans="13:32">
      <c r="M455" s="126"/>
      <c r="N455" s="66" t="s">
        <v>113</v>
      </c>
      <c r="O455" s="53"/>
      <c r="P455" s="42" t="s">
        <v>103</v>
      </c>
      <c r="Q455" s="42"/>
      <c r="R455" s="42"/>
      <c r="S455" s="42" t="s">
        <v>104</v>
      </c>
      <c r="T455" s="60"/>
      <c r="U455" s="60"/>
      <c r="V455" s="61"/>
      <c r="W455" s="127"/>
      <c r="X455" s="66" t="s">
        <v>113</v>
      </c>
      <c r="Y455" s="53"/>
      <c r="Z455" s="42" t="s">
        <v>103</v>
      </c>
      <c r="AA455" s="42"/>
      <c r="AB455" s="42"/>
      <c r="AC455" s="42" t="s">
        <v>104</v>
      </c>
      <c r="AD455" s="60"/>
      <c r="AE455" s="60"/>
      <c r="AF455" s="61"/>
    </row>
    <row r="456" spans="13:32">
      <c r="M456" s="126"/>
      <c r="N456" s="66"/>
      <c r="O456" s="53"/>
      <c r="P456" s="41">
        <v>5</v>
      </c>
      <c r="Q456" s="40">
        <f ca="1">IF(T452&gt;=1,R443,Q443)</f>
        <v>1</v>
      </c>
      <c r="R456" s="40">
        <f ca="1">IF(T452&gt;=1,Q443,R443)</f>
        <v>0</v>
      </c>
      <c r="S456" s="41">
        <f>2^P456</f>
        <v>32</v>
      </c>
      <c r="T456" s="60"/>
      <c r="U456" s="60"/>
      <c r="V456" s="61"/>
      <c r="W456" s="127"/>
      <c r="X456" s="66"/>
      <c r="Y456" s="53"/>
      <c r="Z456" s="41">
        <v>5</v>
      </c>
      <c r="AA456" s="40">
        <f ca="1">IF(AD452&gt;=1,AB443,AA443)</f>
        <v>1</v>
      </c>
      <c r="AB456" s="40">
        <f ca="1">IF(AD452&gt;=1,AA443,AB443)</f>
        <v>1</v>
      </c>
      <c r="AC456" s="41">
        <f>2^Z456</f>
        <v>32</v>
      </c>
      <c r="AD456" s="60"/>
      <c r="AE456" s="60"/>
      <c r="AF456" s="61"/>
    </row>
    <row r="457" spans="13:32">
      <c r="M457" s="126"/>
      <c r="N457" s="66"/>
      <c r="O457" s="53"/>
      <c r="P457" s="41">
        <v>4</v>
      </c>
      <c r="Q457" s="40">
        <f ca="1">IF(T452&gt;=2,R444,Q444)</f>
        <v>0</v>
      </c>
      <c r="R457" s="40">
        <f ca="1">IF(T452&gt;=2,Q444,R444)</f>
        <v>0</v>
      </c>
      <c r="S457" s="41">
        <f t="shared" ref="S457:S461" si="136">2^P457</f>
        <v>16</v>
      </c>
      <c r="T457" s="60"/>
      <c r="U457" s="60"/>
      <c r="V457" s="61"/>
      <c r="W457" s="127"/>
      <c r="X457" s="66"/>
      <c r="Y457" s="53"/>
      <c r="Z457" s="41">
        <v>4</v>
      </c>
      <c r="AA457" s="40">
        <f ca="1">IF(AD452&gt;=2,AB444,AA444)</f>
        <v>0</v>
      </c>
      <c r="AB457" s="40">
        <f ca="1">IF(AD452&gt;=2,AA444,AB444)</f>
        <v>0</v>
      </c>
      <c r="AC457" s="41">
        <f t="shared" ref="AC457:AC461" si="137">2^Z457</f>
        <v>16</v>
      </c>
      <c r="AD457" s="60"/>
      <c r="AE457" s="60"/>
      <c r="AF457" s="61"/>
    </row>
    <row r="458" spans="13:32">
      <c r="M458" s="126"/>
      <c r="N458" s="66"/>
      <c r="O458" s="53"/>
      <c r="P458" s="41">
        <v>3</v>
      </c>
      <c r="Q458" s="40">
        <f ca="1">IF(T452&gt;=3,R445,Q445)</f>
        <v>0</v>
      </c>
      <c r="R458" s="40">
        <f ca="1">IF(T452&gt;=3,Q445,R445)</f>
        <v>0</v>
      </c>
      <c r="S458" s="41">
        <f t="shared" si="136"/>
        <v>8</v>
      </c>
      <c r="T458" s="60"/>
      <c r="U458" s="60"/>
      <c r="V458" s="61"/>
      <c r="W458" s="127"/>
      <c r="X458" s="66"/>
      <c r="Y458" s="53"/>
      <c r="Z458" s="41">
        <v>3</v>
      </c>
      <c r="AA458" s="40">
        <f ca="1">IF(AD452&gt;=3,AB445,AA445)</f>
        <v>0</v>
      </c>
      <c r="AB458" s="40">
        <f ca="1">IF(AD452&gt;=3,AA445,AB445)</f>
        <v>1</v>
      </c>
      <c r="AC458" s="41">
        <f t="shared" si="137"/>
        <v>8</v>
      </c>
      <c r="AD458" s="60"/>
      <c r="AE458" s="60"/>
      <c r="AF458" s="61"/>
    </row>
    <row r="459" spans="13:32">
      <c r="M459" s="126"/>
      <c r="N459" s="66"/>
      <c r="O459" s="53"/>
      <c r="P459" s="41">
        <v>2</v>
      </c>
      <c r="Q459" s="40">
        <f ca="1">IF(T452&gt;=4,R446,Q446)</f>
        <v>1</v>
      </c>
      <c r="R459" s="40">
        <f ca="1">IF(T452&gt;=4,Q446,R446)</f>
        <v>0</v>
      </c>
      <c r="S459" s="41">
        <f t="shared" si="136"/>
        <v>4</v>
      </c>
      <c r="T459" s="60"/>
      <c r="U459" s="60"/>
      <c r="V459" s="61"/>
      <c r="W459" s="127"/>
      <c r="X459" s="66"/>
      <c r="Y459" s="53"/>
      <c r="Z459" s="41">
        <v>2</v>
      </c>
      <c r="AA459" s="40">
        <f ca="1">IF(AD452&gt;=4,AB446,AA446)</f>
        <v>0</v>
      </c>
      <c r="AB459" s="40">
        <f ca="1">IF(AD452&gt;=4,AA446,AB446)</f>
        <v>0</v>
      </c>
      <c r="AC459" s="41">
        <f t="shared" si="137"/>
        <v>4</v>
      </c>
      <c r="AD459" s="60"/>
      <c r="AE459" s="60"/>
      <c r="AF459" s="61"/>
    </row>
    <row r="460" spans="13:32">
      <c r="M460" s="126"/>
      <c r="N460" s="66"/>
      <c r="O460" s="53"/>
      <c r="P460" s="41">
        <v>1</v>
      </c>
      <c r="Q460" s="40">
        <f ca="1">IF(T452&gt;=5,R447,Q447)</f>
        <v>1</v>
      </c>
      <c r="R460" s="40">
        <f ca="1">IF(T452&gt;=5,Q447,R447)</f>
        <v>0</v>
      </c>
      <c r="S460" s="41">
        <f t="shared" si="136"/>
        <v>2</v>
      </c>
      <c r="T460" s="60"/>
      <c r="U460" s="60"/>
      <c r="V460" s="61"/>
      <c r="W460" s="127"/>
      <c r="X460" s="66"/>
      <c r="Y460" s="53"/>
      <c r="Z460" s="41">
        <v>1</v>
      </c>
      <c r="AA460" s="40">
        <f ca="1">IF(AD452&gt;=5,AB447,AA447)</f>
        <v>0</v>
      </c>
      <c r="AB460" s="40">
        <f ca="1">IF(AD452&gt;=5,AA447,AB447)</f>
        <v>0</v>
      </c>
      <c r="AC460" s="41">
        <f t="shared" si="137"/>
        <v>2</v>
      </c>
      <c r="AD460" s="60"/>
      <c r="AE460" s="60"/>
      <c r="AF460" s="61"/>
    </row>
    <row r="461" spans="13:32">
      <c r="M461" s="126"/>
      <c r="N461" s="66"/>
      <c r="O461" s="53"/>
      <c r="P461" s="41">
        <v>0</v>
      </c>
      <c r="Q461" s="40">
        <f ca="1">IF(T452&gt;=6,R448,Q448)</f>
        <v>1</v>
      </c>
      <c r="R461" s="40">
        <f ca="1">IF(T452&gt;=6,Q448,R448)</f>
        <v>1</v>
      </c>
      <c r="S461" s="41">
        <f t="shared" si="136"/>
        <v>1</v>
      </c>
      <c r="T461" s="60"/>
      <c r="U461" s="60"/>
      <c r="V461" s="61"/>
      <c r="W461" s="127"/>
      <c r="X461" s="66"/>
      <c r="Y461" s="53"/>
      <c r="Z461" s="41">
        <v>0</v>
      </c>
      <c r="AA461" s="40">
        <f ca="1">IF(AD452&gt;=6,AB448,AA448)</f>
        <v>0</v>
      </c>
      <c r="AB461" s="40">
        <f ca="1">IF(AD452&gt;=6,AA448,AB448)</f>
        <v>0</v>
      </c>
      <c r="AC461" s="41">
        <f t="shared" si="137"/>
        <v>1</v>
      </c>
      <c r="AD461" s="60"/>
      <c r="AE461" s="60"/>
      <c r="AF461" s="61"/>
    </row>
    <row r="462" spans="13:32">
      <c r="M462" s="126"/>
      <c r="N462" s="66"/>
      <c r="O462" s="53"/>
      <c r="P462" s="41"/>
      <c r="Q462" s="42" t="s">
        <v>108</v>
      </c>
      <c r="R462" s="42" t="s">
        <v>109</v>
      </c>
      <c r="S462" s="41"/>
      <c r="T462" s="60"/>
      <c r="U462" s="60"/>
      <c r="V462" s="61"/>
      <c r="W462" s="127"/>
      <c r="X462" s="66"/>
      <c r="Y462" s="53"/>
      <c r="Z462" s="41"/>
      <c r="AA462" s="42" t="s">
        <v>108</v>
      </c>
      <c r="AB462" s="42" t="s">
        <v>109</v>
      </c>
      <c r="AC462" s="41"/>
      <c r="AD462" s="60"/>
      <c r="AE462" s="60"/>
      <c r="AF462" s="61"/>
    </row>
    <row r="463" spans="13:32">
      <c r="M463" s="126"/>
      <c r="N463" s="66" t="s">
        <v>114</v>
      </c>
      <c r="O463" s="53"/>
      <c r="P463" s="41"/>
      <c r="Q463" s="44">
        <f ca="1">Q456*2^P456+Q457*2^P457+Q458*2^P458+Q459*2^P459+Q460*2^P460+Q461*2^P461</f>
        <v>39</v>
      </c>
      <c r="R463" s="44">
        <f ca="1">R456*2^P456+R457*2^P457+R458*2^P458+R459*2^P459+R460*2^P460+R461*2^P461</f>
        <v>1</v>
      </c>
      <c r="S463" s="41"/>
      <c r="T463" s="60"/>
      <c r="U463" s="60"/>
      <c r="V463" s="61"/>
      <c r="W463" s="127"/>
      <c r="X463" s="66" t="s">
        <v>114</v>
      </c>
      <c r="Y463" s="53"/>
      <c r="Z463" s="41"/>
      <c r="AA463" s="44">
        <f ca="1">AA456*2^Z456+AA457*2^Z457+AA458*2^Z458+AA459*2^Z459+AA460*2^Z460+AA461*2^Z461</f>
        <v>32</v>
      </c>
      <c r="AB463" s="44">
        <f ca="1">AB456*2^Z456+AB457*2^Z457+AB458*2^Z458+AB459*2^Z459+AB460*2^Z460+AB461*2^Z461</f>
        <v>40</v>
      </c>
      <c r="AC463" s="41"/>
      <c r="AD463" s="60"/>
      <c r="AE463" s="60"/>
      <c r="AF463" s="61"/>
    </row>
    <row r="464" spans="13:32">
      <c r="M464" s="126"/>
      <c r="N464" s="67"/>
      <c r="O464" s="60"/>
      <c r="P464" s="60"/>
      <c r="Q464" s="60"/>
      <c r="R464" s="60"/>
      <c r="S464" s="60"/>
      <c r="T464" s="60"/>
      <c r="U464" s="60"/>
      <c r="V464" s="61"/>
      <c r="W464" s="127"/>
      <c r="X464" s="67"/>
      <c r="Y464" s="60"/>
      <c r="Z464" s="60"/>
      <c r="AA464" s="60"/>
      <c r="AB464" s="60"/>
      <c r="AC464" s="60"/>
      <c r="AD464" s="60"/>
      <c r="AE464" s="60"/>
      <c r="AF464" s="61"/>
    </row>
    <row r="465" spans="13:32">
      <c r="M465" s="126"/>
      <c r="N465" s="68" t="s">
        <v>115</v>
      </c>
      <c r="O465" s="69"/>
      <c r="P465" s="69"/>
      <c r="Q465" s="69"/>
      <c r="R465" s="69"/>
      <c r="S465" s="69"/>
      <c r="T465" s="69"/>
      <c r="U465" s="70">
        <f ca="1">FLOOR(O437*U440,1)</f>
        <v>4</v>
      </c>
      <c r="V465" s="71">
        <f ca="1">FLOOR(O437*V440,1)</f>
        <v>4</v>
      </c>
      <c r="W465" s="127"/>
      <c r="X465" s="68" t="s">
        <v>115</v>
      </c>
      <c r="Y465" s="69"/>
      <c r="Z465" s="69"/>
      <c r="AA465" s="69"/>
      <c r="AB465" s="69"/>
      <c r="AC465" s="69"/>
      <c r="AD465" s="69"/>
      <c r="AE465" s="70">
        <f ca="1">FLOOR(Y437*AE440,1)</f>
        <v>1</v>
      </c>
      <c r="AF465" s="71">
        <f ca="1">FLOOR(Y437*AF440,1)</f>
        <v>0</v>
      </c>
    </row>
    <row r="466" spans="13:32">
      <c r="M466" s="126"/>
      <c r="N466" s="67"/>
      <c r="O466" s="60"/>
      <c r="P466" s="60"/>
      <c r="Q466" s="60"/>
      <c r="R466" s="60"/>
      <c r="S466" s="60"/>
      <c r="T466" s="60"/>
      <c r="U466" s="60"/>
      <c r="V466" s="61"/>
      <c r="W466" s="127"/>
      <c r="X466" s="67"/>
      <c r="Y466" s="60"/>
      <c r="Z466" s="60"/>
      <c r="AA466" s="60"/>
      <c r="AB466" s="60"/>
      <c r="AC466" s="60"/>
      <c r="AD466" s="60"/>
      <c r="AE466" s="60"/>
      <c r="AF466" s="61"/>
    </row>
    <row r="467" spans="13:32">
      <c r="M467" s="126"/>
      <c r="N467" s="67"/>
      <c r="O467" s="60"/>
      <c r="P467" s="60"/>
      <c r="Q467" s="60"/>
      <c r="R467" s="60"/>
      <c r="S467" s="60"/>
      <c r="T467" s="60"/>
      <c r="U467" s="60"/>
      <c r="V467" s="61"/>
      <c r="W467" s="127"/>
      <c r="X467" s="67"/>
      <c r="Y467" s="60"/>
      <c r="Z467" s="60"/>
      <c r="AA467" s="60"/>
      <c r="AB467" s="60"/>
      <c r="AC467" s="60"/>
      <c r="AD467" s="60"/>
      <c r="AE467" s="60"/>
      <c r="AF467" s="61"/>
    </row>
    <row r="468" spans="13:32">
      <c r="M468" s="126"/>
      <c r="N468" s="67"/>
      <c r="O468" s="60"/>
      <c r="P468" s="42" t="s">
        <v>103</v>
      </c>
      <c r="Q468" s="42"/>
      <c r="R468" s="42"/>
      <c r="S468" s="42" t="s">
        <v>104</v>
      </c>
      <c r="T468" s="60"/>
      <c r="U468" s="60"/>
      <c r="V468" s="61"/>
      <c r="W468" s="127"/>
      <c r="X468" s="67"/>
      <c r="Y468" s="60"/>
      <c r="Z468" s="42" t="s">
        <v>103</v>
      </c>
      <c r="AA468" s="42"/>
      <c r="AB468" s="42"/>
      <c r="AC468" s="42" t="s">
        <v>104</v>
      </c>
      <c r="AD468" s="60"/>
      <c r="AE468" s="60"/>
      <c r="AF468" s="61"/>
    </row>
    <row r="469" spans="13:32">
      <c r="M469" s="126"/>
      <c r="N469" s="67"/>
      <c r="O469" s="60"/>
      <c r="P469" s="41">
        <v>5</v>
      </c>
      <c r="Q469" s="40">
        <f ca="1">IF(U465=1,IF(Q456=1,0,1),Q456)</f>
        <v>1</v>
      </c>
      <c r="R469" s="40">
        <f ca="1">IF(V465=1,IF(R456=1,0,1),R456)</f>
        <v>0</v>
      </c>
      <c r="S469" s="41">
        <f>2^P469</f>
        <v>32</v>
      </c>
      <c r="T469" s="60"/>
      <c r="U469" s="60"/>
      <c r="V469" s="61"/>
      <c r="W469" s="127"/>
      <c r="X469" s="67"/>
      <c r="Y469" s="60"/>
      <c r="Z469" s="41">
        <v>5</v>
      </c>
      <c r="AA469" s="40">
        <f ca="1">IF(AE465=1,IF(AA456=1,0,1),AA456)</f>
        <v>0</v>
      </c>
      <c r="AB469" s="40">
        <f ca="1">IF(AF465=1,IF(AB456=1,0,1),AB456)</f>
        <v>1</v>
      </c>
      <c r="AC469" s="41">
        <f>2^Z469</f>
        <v>32</v>
      </c>
      <c r="AD469" s="60"/>
      <c r="AE469" s="60"/>
      <c r="AF469" s="61"/>
    </row>
    <row r="470" spans="13:32">
      <c r="M470" s="126"/>
      <c r="N470" s="67"/>
      <c r="O470" s="60"/>
      <c r="P470" s="41">
        <v>4</v>
      </c>
      <c r="Q470" s="40">
        <f ca="1">IF(U465=2,IF(Q457=1,0,1),Q457)</f>
        <v>0</v>
      </c>
      <c r="R470" s="40">
        <f ca="1">IF(V465=2,IF(R457=1,0,1),R457)</f>
        <v>0</v>
      </c>
      <c r="S470" s="41">
        <f t="shared" ref="S470:S474" si="138">2^P470</f>
        <v>16</v>
      </c>
      <c r="T470" s="60"/>
      <c r="U470" s="60"/>
      <c r="V470" s="61"/>
      <c r="W470" s="127"/>
      <c r="X470" s="67"/>
      <c r="Y470" s="60"/>
      <c r="Z470" s="41">
        <v>4</v>
      </c>
      <c r="AA470" s="40">
        <f ca="1">IF(AE465=2,IF(AA457=1,0,1),AA457)</f>
        <v>0</v>
      </c>
      <c r="AB470" s="40">
        <f ca="1">IF(AF465=2,IF(AB457=1,0,1),AB457)</f>
        <v>0</v>
      </c>
      <c r="AC470" s="41">
        <f t="shared" ref="AC470:AC474" si="139">2^Z470</f>
        <v>16</v>
      </c>
      <c r="AD470" s="60"/>
      <c r="AE470" s="60"/>
      <c r="AF470" s="61"/>
    </row>
    <row r="471" spans="13:32">
      <c r="M471" s="126"/>
      <c r="N471" s="67"/>
      <c r="O471" s="60"/>
      <c r="P471" s="41">
        <v>3</v>
      </c>
      <c r="Q471" s="40">
        <f ca="1">IF(U465=3,IF(Q458=1,0,1),Q458)</f>
        <v>0</v>
      </c>
      <c r="R471" s="40">
        <f ca="1">IF(V465=3,IF(R458=1,0,1),R458)</f>
        <v>0</v>
      </c>
      <c r="S471" s="41">
        <f t="shared" si="138"/>
        <v>8</v>
      </c>
      <c r="T471" s="60"/>
      <c r="U471" s="60"/>
      <c r="V471" s="61"/>
      <c r="W471" s="127"/>
      <c r="X471" s="67"/>
      <c r="Y471" s="60"/>
      <c r="Z471" s="41">
        <v>3</v>
      </c>
      <c r="AA471" s="40">
        <f ca="1">IF(AE465=3,IF(AA458=1,0,1),AA458)</f>
        <v>0</v>
      </c>
      <c r="AB471" s="40">
        <f ca="1">IF(AF465=3,IF(AB458=1,0,1),AB458)</f>
        <v>1</v>
      </c>
      <c r="AC471" s="41">
        <f t="shared" si="139"/>
        <v>8</v>
      </c>
      <c r="AD471" s="60"/>
      <c r="AE471" s="60"/>
      <c r="AF471" s="61"/>
    </row>
    <row r="472" spans="13:32">
      <c r="M472" s="126"/>
      <c r="N472" s="67"/>
      <c r="O472" s="60"/>
      <c r="P472" s="41">
        <v>2</v>
      </c>
      <c r="Q472" s="40">
        <f ca="1">IF(U465=4,IF(Q459=1,0,1),Q459)</f>
        <v>0</v>
      </c>
      <c r="R472" s="40">
        <f ca="1">IF(V465=4,IF(R459=1,0,1),R459)</f>
        <v>1</v>
      </c>
      <c r="S472" s="41">
        <f t="shared" si="138"/>
        <v>4</v>
      </c>
      <c r="T472" s="60"/>
      <c r="U472" s="60"/>
      <c r="V472" s="61"/>
      <c r="W472" s="127"/>
      <c r="X472" s="67"/>
      <c r="Y472" s="60"/>
      <c r="Z472" s="41">
        <v>2</v>
      </c>
      <c r="AA472" s="40">
        <f ca="1">IF(AE465=4,IF(AA459=1,0,1),AA459)</f>
        <v>0</v>
      </c>
      <c r="AB472" s="40">
        <f ca="1">IF(AF465=4,IF(AB459=1,0,1),AB459)</f>
        <v>0</v>
      </c>
      <c r="AC472" s="41">
        <f t="shared" si="139"/>
        <v>4</v>
      </c>
      <c r="AD472" s="60"/>
      <c r="AE472" s="60"/>
      <c r="AF472" s="61"/>
    </row>
    <row r="473" spans="13:32">
      <c r="M473" s="126"/>
      <c r="N473" s="67"/>
      <c r="O473" s="60"/>
      <c r="P473" s="41">
        <v>1</v>
      </c>
      <c r="Q473" s="40">
        <f ca="1">IF(U465=5,IF(Q460=1,0,1),Q460)</f>
        <v>1</v>
      </c>
      <c r="R473" s="40">
        <f ca="1">IF(V465=5,IF(R460=1,0,1),R460)</f>
        <v>0</v>
      </c>
      <c r="S473" s="41">
        <f t="shared" si="138"/>
        <v>2</v>
      </c>
      <c r="T473" s="60"/>
      <c r="U473" s="60"/>
      <c r="V473" s="61"/>
      <c r="W473" s="127"/>
      <c r="X473" s="67"/>
      <c r="Y473" s="60"/>
      <c r="Z473" s="41">
        <v>1</v>
      </c>
      <c r="AA473" s="40">
        <f ca="1">IF(AE465=5,IF(AA460=1,0,1),AA460)</f>
        <v>0</v>
      </c>
      <c r="AB473" s="40">
        <f ca="1">IF(AF465=5,IF(AB460=1,0,1),AB460)</f>
        <v>0</v>
      </c>
      <c r="AC473" s="41">
        <f t="shared" si="139"/>
        <v>2</v>
      </c>
      <c r="AD473" s="60"/>
      <c r="AE473" s="60"/>
      <c r="AF473" s="61"/>
    </row>
    <row r="474" spans="13:32">
      <c r="M474" s="126"/>
      <c r="N474" s="67"/>
      <c r="O474" s="60"/>
      <c r="P474" s="41">
        <v>0</v>
      </c>
      <c r="Q474" s="40">
        <f ca="1">IF(U465=6,IF(Q461=1,0,1),Q461)</f>
        <v>1</v>
      </c>
      <c r="R474" s="40">
        <f ca="1">IF(V465=6,IF(R461=1,0,1),R461)</f>
        <v>1</v>
      </c>
      <c r="S474" s="41">
        <f t="shared" si="138"/>
        <v>1</v>
      </c>
      <c r="T474" s="60"/>
      <c r="U474" s="60"/>
      <c r="V474" s="61"/>
      <c r="W474" s="127"/>
      <c r="X474" s="67"/>
      <c r="Y474" s="60"/>
      <c r="Z474" s="41">
        <v>0</v>
      </c>
      <c r="AA474" s="40">
        <f ca="1">IF(AE465=6,IF(AA461=1,0,1),AA461)</f>
        <v>0</v>
      </c>
      <c r="AB474" s="40">
        <f ca="1">IF(AF465=6,IF(AB461=1,0,1),AB461)</f>
        <v>0</v>
      </c>
      <c r="AC474" s="41">
        <f t="shared" si="139"/>
        <v>1</v>
      </c>
      <c r="AD474" s="60"/>
      <c r="AE474" s="60"/>
      <c r="AF474" s="61"/>
    </row>
    <row r="475" spans="13:32">
      <c r="M475" s="126"/>
      <c r="N475" s="67"/>
      <c r="O475" s="60"/>
      <c r="P475" s="41"/>
      <c r="Q475" s="42" t="s">
        <v>108</v>
      </c>
      <c r="R475" s="42" t="s">
        <v>109</v>
      </c>
      <c r="S475" s="41"/>
      <c r="T475" s="60"/>
      <c r="U475" s="60"/>
      <c r="V475" s="61"/>
      <c r="W475" s="127"/>
      <c r="X475" s="67"/>
      <c r="Y475" s="60"/>
      <c r="Z475" s="41"/>
      <c r="AA475" s="42" t="s">
        <v>108</v>
      </c>
      <c r="AB475" s="42" t="s">
        <v>109</v>
      </c>
      <c r="AC475" s="41"/>
      <c r="AD475" s="60"/>
      <c r="AE475" s="60"/>
      <c r="AF475" s="61"/>
    </row>
    <row r="476" spans="13:32">
      <c r="M476" s="126"/>
      <c r="N476" s="67"/>
      <c r="O476" s="60"/>
      <c r="P476" s="41"/>
      <c r="Q476" s="44">
        <f ca="1">Q469*2^P469+Q470*2^P470+Q471*2^P471+Q472*2^P472+Q473*2^P473+Q474*2^P474</f>
        <v>35</v>
      </c>
      <c r="R476" s="44">
        <f ca="1">R469*2^P469+R470*2^P470+R471*2^P471+R472*2^P472+R473*2^P473+R474*2^P474</f>
        <v>5</v>
      </c>
      <c r="S476" s="41"/>
      <c r="T476" s="60"/>
      <c r="U476" s="60"/>
      <c r="V476" s="61"/>
      <c r="W476" s="127"/>
      <c r="X476" s="67"/>
      <c r="Y476" s="60"/>
      <c r="Z476" s="41"/>
      <c r="AA476" s="44">
        <f ca="1">AA469*2^Z469+AA470*2^Z470+AA471*2^Z471+AA472*2^Z472+AA473*2^Z473+AA474*2^Z474</f>
        <v>0</v>
      </c>
      <c r="AB476" s="44">
        <f ca="1">AB469*2^Z469+AB470*2^Z470+AB471*2^Z471+AB472*2^Z472+AB473*2^Z473+AB474*2^Z474</f>
        <v>40</v>
      </c>
      <c r="AC476" s="41"/>
      <c r="AD476" s="60"/>
      <c r="AE476" s="60"/>
      <c r="AF476" s="61"/>
    </row>
    <row r="477" spans="13:32">
      <c r="M477" s="126"/>
      <c r="N477" s="67"/>
      <c r="O477" s="60"/>
      <c r="P477" s="60"/>
      <c r="Q477" s="60"/>
      <c r="R477" s="60"/>
      <c r="S477" s="60"/>
      <c r="T477" s="60"/>
      <c r="U477" s="60"/>
      <c r="V477" s="61"/>
      <c r="W477" s="127"/>
      <c r="X477" s="67"/>
      <c r="Y477" s="60"/>
      <c r="Z477" s="60"/>
      <c r="AA477" s="60"/>
      <c r="AB477" s="60"/>
      <c r="AC477" s="60"/>
      <c r="AD477" s="60"/>
      <c r="AE477" s="60"/>
      <c r="AF477" s="61"/>
    </row>
    <row r="478" spans="13:32">
      <c r="M478" s="126"/>
      <c r="N478" s="72" t="s">
        <v>116</v>
      </c>
      <c r="O478" s="73"/>
      <c r="P478" s="73"/>
      <c r="Q478" s="74">
        <f ca="1">(Q476/P438)*(S440-P440)+P440</f>
        <v>0.55555555555555536</v>
      </c>
      <c r="R478" s="74">
        <f ca="1">(R476/P438)*(S440-P440)+P440</f>
        <v>-4.2063492063492065</v>
      </c>
      <c r="S478" s="75"/>
      <c r="T478" s="75"/>
      <c r="U478" s="75"/>
      <c r="V478" s="76"/>
      <c r="W478" s="127"/>
      <c r="X478" s="72" t="s">
        <v>116</v>
      </c>
      <c r="Y478" s="73"/>
      <c r="Z478" s="73"/>
      <c r="AA478" s="74">
        <f ca="1">(AA476/Z438)*(AC440-Z440)+Z440</f>
        <v>-5</v>
      </c>
      <c r="AB478" s="74">
        <f ca="1">(AB476/Z438)*(AC440-Z440)+Z440</f>
        <v>1.3492063492063489</v>
      </c>
      <c r="AC478" s="75"/>
      <c r="AD478" s="75"/>
      <c r="AE478" s="75"/>
      <c r="AF478" s="76"/>
    </row>
  </sheetData>
  <mergeCells count="29">
    <mergeCell ref="X393:AF393"/>
    <mergeCell ref="X436:AF436"/>
    <mergeCell ref="M49:M478"/>
    <mergeCell ref="W49:W478"/>
    <mergeCell ref="X135:AF135"/>
    <mergeCell ref="X178:AF178"/>
    <mergeCell ref="X221:AF221"/>
    <mergeCell ref="X264:AF264"/>
    <mergeCell ref="X307:AF307"/>
    <mergeCell ref="X350:AF350"/>
    <mergeCell ref="N393:V393"/>
    <mergeCell ref="N436:V436"/>
    <mergeCell ref="N178:V178"/>
    <mergeCell ref="N221:V221"/>
    <mergeCell ref="N264:V264"/>
    <mergeCell ref="N307:V307"/>
    <mergeCell ref="X49:AF49"/>
    <mergeCell ref="X92:AF92"/>
    <mergeCell ref="N350:V350"/>
    <mergeCell ref="A13:A22"/>
    <mergeCell ref="A27:A36"/>
    <mergeCell ref="A39:A48"/>
    <mergeCell ref="N49:V49"/>
    <mergeCell ref="N92:V92"/>
    <mergeCell ref="A50:L50"/>
    <mergeCell ref="A53:A62"/>
    <mergeCell ref="A67:A76"/>
    <mergeCell ref="A79:A88"/>
    <mergeCell ref="N135:V13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64AAF-A0BB-48D9-88A7-E13D93731231}">
  <dimension ref="A1:L36"/>
  <sheetViews>
    <sheetView workbookViewId="0">
      <selection activeCell="J22" sqref="J22"/>
    </sheetView>
  </sheetViews>
  <sheetFormatPr defaultRowHeight="15"/>
  <cols>
    <col min="1" max="1" width="12" style="80" customWidth="1"/>
    <col min="2" max="2" width="27.7109375" customWidth="1"/>
  </cols>
  <sheetData>
    <row r="1" spans="1:12" ht="30">
      <c r="A1" s="80" t="s">
        <v>179</v>
      </c>
    </row>
    <row r="2" spans="1:12">
      <c r="A2" s="80" t="s">
        <v>181</v>
      </c>
      <c r="B2" t="s">
        <v>180</v>
      </c>
    </row>
    <row r="3" spans="1:12">
      <c r="A3" s="80" t="s">
        <v>182</v>
      </c>
      <c r="B3" t="s">
        <v>183</v>
      </c>
      <c r="C3" t="s">
        <v>193</v>
      </c>
      <c r="D3">
        <v>0.6</v>
      </c>
    </row>
    <row r="4" spans="1:12">
      <c r="B4" t="s">
        <v>184</v>
      </c>
      <c r="C4" t="s">
        <v>194</v>
      </c>
      <c r="D4">
        <v>0.7</v>
      </c>
    </row>
    <row r="5" spans="1:12">
      <c r="B5" t="s">
        <v>185</v>
      </c>
      <c r="C5" t="s">
        <v>195</v>
      </c>
      <c r="D5">
        <v>3.6</v>
      </c>
    </row>
    <row r="6" spans="1:12">
      <c r="B6" t="s">
        <v>186</v>
      </c>
      <c r="C6" t="s">
        <v>196</v>
      </c>
      <c r="D6">
        <v>1.1000000000000001</v>
      </c>
    </row>
    <row r="7" spans="1:12">
      <c r="B7" t="s">
        <v>187</v>
      </c>
      <c r="C7" t="s">
        <v>197</v>
      </c>
      <c r="D7">
        <v>1.2</v>
      </c>
    </row>
    <row r="8" spans="1:12">
      <c r="B8" t="s">
        <v>188</v>
      </c>
    </row>
    <row r="10" spans="1:12">
      <c r="C10" s="81" t="s">
        <v>2</v>
      </c>
      <c r="D10" s="81" t="s">
        <v>189</v>
      </c>
      <c r="E10" s="81" t="s">
        <v>190</v>
      </c>
      <c r="F10" s="81" t="s">
        <v>191</v>
      </c>
      <c r="G10" s="81" t="s">
        <v>200</v>
      </c>
      <c r="H10" s="81" t="s">
        <v>201</v>
      </c>
      <c r="I10" s="81" t="s">
        <v>202</v>
      </c>
      <c r="J10" s="81" t="s">
        <v>192</v>
      </c>
      <c r="K10" s="81" t="s">
        <v>198</v>
      </c>
      <c r="L10" s="81" t="s">
        <v>199</v>
      </c>
    </row>
    <row r="11" spans="1:12">
      <c r="B11" t="s">
        <v>67</v>
      </c>
      <c r="C11">
        <v>0.6560307215183715</v>
      </c>
      <c r="D11">
        <v>0.91459174840288404</v>
      </c>
      <c r="E11">
        <v>0.63780663467934662</v>
      </c>
      <c r="F11">
        <f>C11^2+D11^2+E11^2</f>
        <v>1.673651677063553</v>
      </c>
      <c r="G11">
        <f>C11*D11</f>
        <v>0.60000028459949295</v>
      </c>
      <c r="H11">
        <f>D7*D11*E11</f>
        <v>0.69999922218521182</v>
      </c>
      <c r="I11">
        <f>D5*C11*D11</f>
        <v>2.1600010245581744</v>
      </c>
      <c r="J11">
        <f>C11*D11-D3</f>
        <v>2.8459949297232612E-7</v>
      </c>
      <c r="K11">
        <f>D7*D11*E11-D4</f>
        <v>-7.7781478813321314E-7</v>
      </c>
      <c r="L11">
        <f>D5*C11*D11-D6</f>
        <v>1.0600010245581744</v>
      </c>
    </row>
    <row r="13" spans="1:12" ht="30">
      <c r="A13" s="80" t="s">
        <v>203</v>
      </c>
    </row>
    <row r="14" spans="1:12">
      <c r="A14" s="80" t="s">
        <v>181</v>
      </c>
      <c r="B14" t="s">
        <v>204</v>
      </c>
      <c r="D14" t="s">
        <v>193</v>
      </c>
      <c r="E14">
        <v>1.5</v>
      </c>
    </row>
    <row r="15" spans="1:12">
      <c r="A15" s="80" t="s">
        <v>182</v>
      </c>
      <c r="B15" t="s">
        <v>205</v>
      </c>
      <c r="D15" t="s">
        <v>194</v>
      </c>
      <c r="E15">
        <v>1</v>
      </c>
    </row>
    <row r="16" spans="1:12">
      <c r="B16" t="s">
        <v>206</v>
      </c>
      <c r="D16" t="s">
        <v>195</v>
      </c>
      <c r="E16">
        <v>1.7</v>
      </c>
    </row>
    <row r="17" spans="1:7">
      <c r="B17" t="s">
        <v>207</v>
      </c>
      <c r="D17" t="s">
        <v>196</v>
      </c>
      <c r="E17">
        <v>2.9</v>
      </c>
    </row>
    <row r="18" spans="1:7" s="77" customFormat="1">
      <c r="A18" s="80"/>
      <c r="B18" s="77" t="s">
        <v>209</v>
      </c>
      <c r="C18" s="77">
        <v>1</v>
      </c>
      <c r="E18" s="77">
        <v>0</v>
      </c>
    </row>
    <row r="19" spans="1:7" s="77" customFormat="1">
      <c r="A19" s="80"/>
      <c r="B19" s="77" t="s">
        <v>210</v>
      </c>
      <c r="C19" s="77">
        <v>1</v>
      </c>
    </row>
    <row r="20" spans="1:7" ht="30">
      <c r="C20" s="81" t="s">
        <v>52</v>
      </c>
      <c r="D20" s="81" t="s">
        <v>53</v>
      </c>
      <c r="E20" s="81" t="s">
        <v>3</v>
      </c>
      <c r="F20" s="82" t="s">
        <v>208</v>
      </c>
      <c r="G20" s="81" t="s">
        <v>212</v>
      </c>
    </row>
    <row r="21" spans="1:7">
      <c r="B21" t="s">
        <v>211</v>
      </c>
      <c r="C21">
        <v>1</v>
      </c>
      <c r="D21">
        <v>1</v>
      </c>
      <c r="E21">
        <f>E14+E15*C21^2+E16*D21^2</f>
        <v>4.2</v>
      </c>
      <c r="F21">
        <f>C21*D21-E17</f>
        <v>-1.9</v>
      </c>
    </row>
    <row r="22" spans="1:7">
      <c r="B22" t="s">
        <v>78</v>
      </c>
      <c r="C22">
        <v>1.8</v>
      </c>
      <c r="D22">
        <v>1.8</v>
      </c>
      <c r="E22">
        <f>E14+E15*C21^2+E16*D21^2</f>
        <v>4.2</v>
      </c>
      <c r="F22">
        <f>C21*D21-E17</f>
        <v>-1.9</v>
      </c>
      <c r="G22">
        <f>C22*D22</f>
        <v>3.24</v>
      </c>
    </row>
    <row r="24" spans="1:7" s="77" customFormat="1" ht="30">
      <c r="A24" s="80" t="s">
        <v>217</v>
      </c>
      <c r="B24" s="48" t="s">
        <v>214</v>
      </c>
    </row>
    <row r="25" spans="1:7" s="77" customFormat="1">
      <c r="A25" s="80"/>
      <c r="B25" s="48" t="s">
        <v>218</v>
      </c>
    </row>
    <row r="26" spans="1:7" s="77" customFormat="1">
      <c r="A26" s="80"/>
      <c r="B26" s="48" t="s">
        <v>219</v>
      </c>
    </row>
    <row r="27" spans="1:7" s="77" customFormat="1">
      <c r="A27" s="80"/>
      <c r="B27" s="48" t="s">
        <v>220</v>
      </c>
    </row>
    <row r="28" spans="1:7" ht="30">
      <c r="B28" s="48" t="s">
        <v>213</v>
      </c>
      <c r="C28" s="81" t="s">
        <v>52</v>
      </c>
      <c r="D28" s="81" t="s">
        <v>215</v>
      </c>
      <c r="E28" s="81" t="s">
        <v>56</v>
      </c>
      <c r="F28" s="81" t="s">
        <v>216</v>
      </c>
      <c r="G28" s="81" t="s">
        <v>221</v>
      </c>
    </row>
    <row r="29" spans="1:7">
      <c r="C29">
        <v>1</v>
      </c>
      <c r="D29">
        <f>$E$14+$E$15*C29^2+$E$16*($E$17/C29)^2</f>
        <v>16.797000000000001</v>
      </c>
      <c r="E29">
        <f>2*$E$15*C29-2*$E$16*$E$17^2/(C29^3)</f>
        <v>-26.594000000000001</v>
      </c>
      <c r="F29">
        <f>2*$E$15+6*$E$16*$E$17^2/(C29^4)</f>
        <v>87.781999999999996</v>
      </c>
      <c r="G29">
        <f>C29-E29/F29</f>
        <v>1.3029550477318812</v>
      </c>
    </row>
    <row r="30" spans="1:7">
      <c r="C30">
        <f>G29</f>
        <v>1.3029550477318812</v>
      </c>
      <c r="D30" s="77">
        <f>$E$14+$E$15*C30^2+$E$16*($E$17/C30)^2</f>
        <v>11.619125902888273</v>
      </c>
      <c r="E30" s="77">
        <f>2*$E$15*C30-2*$E$16*$E$17^2/(C30^3)</f>
        <v>-10.320758497037403</v>
      </c>
      <c r="F30" s="77">
        <f>2*$E$15+6*$E$16*$E$17^2/(C30^4)</f>
        <v>31.763118723865251</v>
      </c>
      <c r="G30" s="77">
        <f>C30-E30/F30</f>
        <v>1.6278840506664354</v>
      </c>
    </row>
    <row r="31" spans="1:7">
      <c r="C31" s="77">
        <f t="shared" ref="C31:C36" si="0">G30</f>
        <v>1.6278840506664354</v>
      </c>
      <c r="D31" s="77">
        <f t="shared" ref="D31:D36" si="1">$E$14+$E$15*C31^2+$E$16*($E$17/C31)^2</f>
        <v>9.5450876246215568</v>
      </c>
      <c r="E31" s="77">
        <f t="shared" ref="E31:E36" si="2">2*$E$15*C31-2*$E$16*$E$17^2/(C31^3)</f>
        <v>-3.3725677927361435</v>
      </c>
      <c r="F31" s="77">
        <f t="shared" ref="F31:F36" si="3">2*$E$15+6*$E$16*$E$17^2/(C31^4)</f>
        <v>14.215248176960987</v>
      </c>
      <c r="G31" s="77">
        <f t="shared" ref="G31:G36" si="4">C31-E31/F31</f>
        <v>1.8651340621155601</v>
      </c>
    </row>
    <row r="32" spans="1:7">
      <c r="C32" s="77">
        <f t="shared" si="0"/>
        <v>1.8651340621155601</v>
      </c>
      <c r="D32" s="77">
        <f t="shared" si="1"/>
        <v>9.0885640807075205</v>
      </c>
      <c r="E32" s="77">
        <f t="shared" si="2"/>
        <v>-0.67674914548961596</v>
      </c>
      <c r="F32" s="77">
        <f t="shared" si="3"/>
        <v>9.0885262768543313</v>
      </c>
      <c r="G32" s="77">
        <f t="shared" si="4"/>
        <v>1.9395959853002998</v>
      </c>
    </row>
    <row r="33" spans="3:7">
      <c r="C33" s="77">
        <f t="shared" si="0"/>
        <v>1.9395959853002998</v>
      </c>
      <c r="D33" s="77">
        <f t="shared" si="1"/>
        <v>9.0623718103856028</v>
      </c>
      <c r="E33" s="77">
        <f t="shared" si="2"/>
        <v>-3.9499605371260849E-2</v>
      </c>
      <c r="F33" s="77">
        <f t="shared" si="3"/>
        <v>8.0610945872294302</v>
      </c>
      <c r="G33" s="77">
        <f t="shared" si="4"/>
        <v>1.9444960153078668</v>
      </c>
    </row>
    <row r="34" spans="3:7">
      <c r="C34" s="77">
        <f t="shared" si="0"/>
        <v>1.9444960153078668</v>
      </c>
      <c r="D34" s="77">
        <f t="shared" si="1"/>
        <v>9.062274791430653</v>
      </c>
      <c r="E34" s="77">
        <f t="shared" si="2"/>
        <v>-1.4943135204870117E-4</v>
      </c>
      <c r="F34" s="77">
        <f t="shared" si="3"/>
        <v>8.0002305451143201</v>
      </c>
      <c r="G34" s="77">
        <f t="shared" si="4"/>
        <v>1.9445146936885966</v>
      </c>
    </row>
    <row r="35" spans="3:7">
      <c r="C35" s="77">
        <f t="shared" si="0"/>
        <v>1.9445146936885966</v>
      </c>
      <c r="D35" s="77">
        <f t="shared" si="1"/>
        <v>9.0622747900350724</v>
      </c>
      <c r="E35" s="77">
        <f t="shared" si="2"/>
        <v>-2.1530910387923541E-9</v>
      </c>
      <c r="F35" s="77">
        <f t="shared" si="3"/>
        <v>8.0000000033217908</v>
      </c>
      <c r="G35" s="77">
        <f t="shared" si="4"/>
        <v>1.9445146939577329</v>
      </c>
    </row>
    <row r="36" spans="3:7">
      <c r="C36" s="77">
        <f t="shared" si="0"/>
        <v>1.9445146939577329</v>
      </c>
      <c r="D36" s="77">
        <f t="shared" si="1"/>
        <v>9.0622747900350724</v>
      </c>
      <c r="E36" s="77">
        <f t="shared" si="2"/>
        <v>0</v>
      </c>
      <c r="F36" s="77">
        <f t="shared" si="3"/>
        <v>8</v>
      </c>
      <c r="G36" s="77">
        <f t="shared" si="4"/>
        <v>1.9445146939577329</v>
      </c>
    </row>
  </sheetData>
  <scenarios current="0">
    <scenario name="UF1" count="3" user="Kai Wen Lee" comment="Created by Kai Wen Lee on 5/19/2024">
      <inputCells r="C11" val="0"/>
      <inputCells r="D11" val="0"/>
      <inputCells r="E11" val="0"/>
    </scenario>
  </scenario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D73A3-C351-4398-99EE-F484B9D318CA}">
  <dimension ref="A1:K26"/>
  <sheetViews>
    <sheetView workbookViewId="0">
      <selection activeCell="O29" sqref="O29"/>
    </sheetView>
  </sheetViews>
  <sheetFormatPr defaultRowHeight="15"/>
  <cols>
    <col min="1" max="1" width="21.7109375" style="80" customWidth="1"/>
    <col min="2" max="2" width="20.140625" customWidth="1"/>
    <col min="7" max="7" width="10.5703125" style="78" customWidth="1"/>
    <col min="8" max="8" width="8.85546875" customWidth="1"/>
  </cols>
  <sheetData>
    <row r="1" spans="1:11">
      <c r="A1" s="92" t="s">
        <v>222</v>
      </c>
      <c r="B1" s="49"/>
      <c r="C1" s="49"/>
      <c r="D1" s="49"/>
      <c r="E1" s="49"/>
      <c r="F1" s="49"/>
      <c r="G1" s="49"/>
      <c r="H1" s="49"/>
      <c r="I1" s="49"/>
      <c r="J1" s="49"/>
      <c r="K1" s="26"/>
    </row>
    <row r="2" spans="1:11">
      <c r="A2" s="93" t="s">
        <v>223</v>
      </c>
      <c r="B2" s="69" t="s">
        <v>224</v>
      </c>
      <c r="C2" s="69" t="s">
        <v>193</v>
      </c>
      <c r="D2" s="69">
        <v>4.05</v>
      </c>
      <c r="E2" s="60"/>
      <c r="F2" s="60"/>
      <c r="G2" s="60"/>
      <c r="H2" s="60"/>
      <c r="I2" s="60"/>
      <c r="J2" s="60"/>
      <c r="K2" s="61"/>
    </row>
    <row r="3" spans="1:11">
      <c r="A3" s="93" t="s">
        <v>182</v>
      </c>
      <c r="B3" s="69" t="s">
        <v>205</v>
      </c>
      <c r="C3" s="69" t="s">
        <v>194</v>
      </c>
      <c r="D3" s="69">
        <v>0.78</v>
      </c>
      <c r="E3" s="60"/>
      <c r="F3" s="60"/>
      <c r="G3" s="60"/>
      <c r="H3" s="60"/>
      <c r="I3" s="60"/>
      <c r="J3" s="60"/>
      <c r="K3" s="61"/>
    </row>
    <row r="4" spans="1:11">
      <c r="A4" s="93"/>
      <c r="B4" s="69" t="s">
        <v>206</v>
      </c>
      <c r="C4" s="69" t="s">
        <v>195</v>
      </c>
      <c r="D4" s="69">
        <v>0.67</v>
      </c>
      <c r="E4" s="60"/>
      <c r="F4" s="60"/>
      <c r="G4" s="60"/>
      <c r="H4" s="60"/>
      <c r="I4" s="60"/>
      <c r="J4" s="60"/>
      <c r="K4" s="61"/>
    </row>
    <row r="5" spans="1:11">
      <c r="A5" s="93"/>
      <c r="B5" s="69" t="s">
        <v>226</v>
      </c>
      <c r="C5" s="69" t="s">
        <v>196</v>
      </c>
      <c r="D5" s="69">
        <v>2.08</v>
      </c>
      <c r="E5" s="60"/>
      <c r="F5" s="60"/>
      <c r="G5" s="60"/>
      <c r="H5" s="60"/>
      <c r="I5" s="60"/>
      <c r="J5" s="60"/>
      <c r="K5" s="61"/>
    </row>
    <row r="6" spans="1:11">
      <c r="A6" s="93"/>
      <c r="B6" s="96" t="s">
        <v>227</v>
      </c>
      <c r="C6" s="41">
        <v>1</v>
      </c>
      <c r="D6" s="60"/>
      <c r="E6" s="60"/>
      <c r="F6" s="60"/>
      <c r="G6" s="60"/>
      <c r="H6" s="60"/>
      <c r="I6" s="60"/>
      <c r="J6" s="60"/>
      <c r="K6" s="61"/>
    </row>
    <row r="7" spans="1:11">
      <c r="A7" s="93"/>
      <c r="B7" s="96" t="s">
        <v>228</v>
      </c>
      <c r="C7" s="41">
        <v>1</v>
      </c>
      <c r="D7" s="60"/>
      <c r="E7" s="60"/>
      <c r="F7" s="60"/>
      <c r="G7" s="60"/>
      <c r="H7" s="60"/>
      <c r="I7" s="60"/>
      <c r="J7" s="60"/>
      <c r="K7" s="61"/>
    </row>
    <row r="8" spans="1:11">
      <c r="A8" s="93"/>
      <c r="B8" s="96" t="s">
        <v>229</v>
      </c>
      <c r="C8" s="41">
        <v>1</v>
      </c>
      <c r="D8" s="60"/>
      <c r="E8" s="60"/>
      <c r="F8" s="60"/>
      <c r="G8" s="60"/>
      <c r="H8" s="60"/>
      <c r="I8" s="60"/>
      <c r="J8" s="60"/>
      <c r="K8" s="61"/>
    </row>
    <row r="9" spans="1:11" s="48" customFormat="1" ht="30">
      <c r="A9" s="93"/>
      <c r="B9" s="88"/>
      <c r="C9" s="89" t="s">
        <v>52</v>
      </c>
      <c r="D9" s="89" t="s">
        <v>53</v>
      </c>
      <c r="E9" s="89" t="s">
        <v>230</v>
      </c>
      <c r="F9" s="89" t="s">
        <v>212</v>
      </c>
      <c r="G9" s="89" t="s">
        <v>232</v>
      </c>
      <c r="H9" s="89" t="s">
        <v>65</v>
      </c>
      <c r="I9" s="89" t="s">
        <v>231</v>
      </c>
      <c r="J9" s="88"/>
      <c r="K9" s="90"/>
    </row>
    <row r="10" spans="1:11">
      <c r="A10" s="93"/>
      <c r="B10" s="60" t="s">
        <v>211</v>
      </c>
      <c r="C10" s="60">
        <v>1</v>
      </c>
      <c r="D10" s="60">
        <v>1</v>
      </c>
      <c r="E10" s="60">
        <f>D2+D3*C10^2+D4*D10^2</f>
        <v>5.5</v>
      </c>
      <c r="F10" s="60">
        <f>C10*D10</f>
        <v>1</v>
      </c>
      <c r="G10" s="60">
        <f>F10-D5</f>
        <v>-1.08</v>
      </c>
      <c r="H10" s="60">
        <f>C8</f>
        <v>1</v>
      </c>
      <c r="I10" s="60">
        <f>E10+H10*(G10)</f>
        <v>4.42</v>
      </c>
      <c r="J10" s="60"/>
      <c r="K10" s="91" t="s">
        <v>234</v>
      </c>
    </row>
    <row r="11" spans="1:11">
      <c r="A11" s="93"/>
      <c r="B11" s="60" t="s">
        <v>233</v>
      </c>
      <c r="C11" s="60">
        <v>0</v>
      </c>
      <c r="D11" s="60">
        <v>0</v>
      </c>
      <c r="E11" s="60">
        <f>D2+D3*C11^2+D4*D11^2</f>
        <v>4.05</v>
      </c>
      <c r="F11" s="60">
        <f>C11*D11</f>
        <v>0</v>
      </c>
      <c r="G11" s="60">
        <f>F11-D5</f>
        <v>-2.08</v>
      </c>
      <c r="H11" s="60">
        <v>1</v>
      </c>
      <c r="I11" s="60">
        <f>E11+H11*(G11)</f>
        <v>1.9699999999999998</v>
      </c>
      <c r="J11" s="60"/>
      <c r="K11" s="61"/>
    </row>
    <row r="12" spans="1:11">
      <c r="A12" s="94"/>
      <c r="B12" s="75"/>
      <c r="C12" s="75"/>
      <c r="D12" s="75"/>
      <c r="E12" s="75"/>
      <c r="F12" s="75"/>
      <c r="G12" s="75"/>
      <c r="H12" s="75"/>
      <c r="I12" s="75"/>
      <c r="J12" s="75"/>
      <c r="K12" s="76"/>
    </row>
    <row r="14" spans="1:11" ht="30">
      <c r="A14" s="92" t="s">
        <v>235</v>
      </c>
      <c r="B14" s="49"/>
      <c r="C14" s="49"/>
      <c r="D14" s="49"/>
      <c r="E14" s="49"/>
      <c r="F14" s="49"/>
      <c r="G14" s="49"/>
      <c r="H14" s="49"/>
      <c r="I14" s="49"/>
      <c r="J14" s="49"/>
      <c r="K14" s="26"/>
    </row>
    <row r="15" spans="1:11">
      <c r="A15" s="93" t="s">
        <v>223</v>
      </c>
      <c r="B15" s="69" t="s">
        <v>224</v>
      </c>
      <c r="C15" s="69" t="s">
        <v>193</v>
      </c>
      <c r="D15" s="69">
        <v>4.05</v>
      </c>
      <c r="E15" s="60"/>
      <c r="F15" s="60"/>
      <c r="G15" s="60"/>
      <c r="H15" s="60"/>
      <c r="I15" s="60"/>
      <c r="J15" s="60"/>
      <c r="K15" s="61"/>
    </row>
    <row r="16" spans="1:11">
      <c r="A16" s="93" t="s">
        <v>182</v>
      </c>
      <c r="B16" s="69" t="s">
        <v>205</v>
      </c>
      <c r="C16" s="69" t="s">
        <v>194</v>
      </c>
      <c r="D16" s="69">
        <v>0.78</v>
      </c>
      <c r="E16" s="60"/>
      <c r="F16" s="60"/>
      <c r="G16" s="60"/>
      <c r="H16" s="60"/>
      <c r="I16" s="60"/>
      <c r="J16" s="60"/>
      <c r="K16" s="61"/>
    </row>
    <row r="17" spans="1:11">
      <c r="A17" s="93"/>
      <c r="B17" s="69" t="s">
        <v>206</v>
      </c>
      <c r="C17" s="69" t="s">
        <v>195</v>
      </c>
      <c r="D17" s="69">
        <v>0.67</v>
      </c>
      <c r="E17" s="60"/>
      <c r="F17" s="60"/>
      <c r="G17" s="60"/>
      <c r="H17" s="60"/>
      <c r="I17" s="60"/>
      <c r="J17" s="60"/>
      <c r="K17" s="61"/>
    </row>
    <row r="18" spans="1:11">
      <c r="A18" s="93"/>
      <c r="B18" s="69" t="s">
        <v>226</v>
      </c>
      <c r="C18" s="69" t="s">
        <v>196</v>
      </c>
      <c r="D18" s="69">
        <v>2.08</v>
      </c>
      <c r="E18" s="60"/>
      <c r="F18" s="60"/>
      <c r="G18" s="60"/>
      <c r="H18" s="60"/>
      <c r="I18" s="60"/>
      <c r="J18" s="60"/>
      <c r="K18" s="61"/>
    </row>
    <row r="19" spans="1:11">
      <c r="A19" s="93"/>
      <c r="B19" s="96" t="s">
        <v>227</v>
      </c>
      <c r="C19" s="41">
        <v>1</v>
      </c>
      <c r="D19" s="60"/>
      <c r="E19" s="60"/>
      <c r="F19" s="60"/>
      <c r="G19" s="60"/>
      <c r="H19" s="60"/>
      <c r="I19" s="60"/>
      <c r="J19" s="60"/>
      <c r="K19" s="61"/>
    </row>
    <row r="20" spans="1:11">
      <c r="A20" s="93"/>
      <c r="B20" s="96" t="s">
        <v>228</v>
      </c>
      <c r="C20" s="41">
        <v>1</v>
      </c>
      <c r="D20" s="60"/>
      <c r="E20" s="60"/>
      <c r="F20" s="60"/>
      <c r="G20" s="60"/>
      <c r="H20" s="60"/>
      <c r="I20" s="60"/>
      <c r="J20" s="60"/>
      <c r="K20" s="61"/>
    </row>
    <row r="21" spans="1:11">
      <c r="A21" s="93"/>
      <c r="B21" s="96" t="s">
        <v>229</v>
      </c>
      <c r="C21" s="41">
        <v>1</v>
      </c>
      <c r="D21" s="60"/>
      <c r="E21" s="60"/>
      <c r="F21" s="60"/>
      <c r="G21" s="60"/>
      <c r="H21" s="60"/>
      <c r="I21" s="60"/>
      <c r="J21" s="60"/>
      <c r="K21" s="61"/>
    </row>
    <row r="22" spans="1:11" ht="30">
      <c r="A22" s="93"/>
      <c r="B22" s="60"/>
      <c r="C22" s="89" t="s">
        <v>52</v>
      </c>
      <c r="D22" s="89" t="s">
        <v>53</v>
      </c>
      <c r="E22" s="89" t="s">
        <v>230</v>
      </c>
      <c r="F22" s="89" t="s">
        <v>212</v>
      </c>
      <c r="G22" s="89" t="s">
        <v>232</v>
      </c>
      <c r="H22" s="89" t="s">
        <v>65</v>
      </c>
      <c r="I22" s="89" t="s">
        <v>236</v>
      </c>
      <c r="J22" s="89" t="s">
        <v>197</v>
      </c>
      <c r="K22" s="95" t="s">
        <v>237</v>
      </c>
    </row>
    <row r="23" spans="1:11">
      <c r="A23" s="93"/>
      <c r="B23" s="60"/>
      <c r="C23" s="60">
        <f>C19</f>
        <v>1</v>
      </c>
      <c r="D23" s="60">
        <f>C20</f>
        <v>1</v>
      </c>
      <c r="E23" s="60">
        <f>$D$2+$D$3*C23^2+$D$4*D23^2</f>
        <v>5.5</v>
      </c>
      <c r="F23" s="60">
        <f>C23*D23</f>
        <v>1</v>
      </c>
      <c r="G23" s="60">
        <f>F23-$D$18</f>
        <v>-1.08</v>
      </c>
      <c r="H23" s="60">
        <f>$C$21</f>
        <v>1</v>
      </c>
      <c r="I23" s="60">
        <v>1</v>
      </c>
      <c r="J23" s="60">
        <v>1</v>
      </c>
      <c r="K23" s="61">
        <f>E23+H23*G23+I23*G23^2</f>
        <v>5.5864000000000003</v>
      </c>
    </row>
    <row r="24" spans="1:11">
      <c r="A24" s="93"/>
      <c r="B24" s="60"/>
      <c r="C24" s="60">
        <v>1.3884907409546858</v>
      </c>
      <c r="D24" s="60">
        <v>1.4980292066161076</v>
      </c>
      <c r="E24" s="60">
        <f>$D$2+$D$3*C24^2+$D$4*D24^2</f>
        <v>7.0573084070153485</v>
      </c>
      <c r="F24" s="60">
        <f>C24*D24</f>
        <v>2.0799996830661596</v>
      </c>
      <c r="G24" s="60">
        <f>F24-$D$18</f>
        <v>-3.1693384050512918E-7</v>
      </c>
      <c r="H24" s="60">
        <f>H23+2*I23*G23</f>
        <v>-1.1600000000000001</v>
      </c>
      <c r="I24" s="60">
        <f>I23*2</f>
        <v>2</v>
      </c>
      <c r="J24" s="60">
        <v>1</v>
      </c>
      <c r="K24" s="61">
        <f>E24+H24*G24+I24*G24^2</f>
        <v>7.0573087746588046</v>
      </c>
    </row>
    <row r="25" spans="1:11">
      <c r="A25" s="93"/>
      <c r="B25" s="60"/>
      <c r="C25" s="60">
        <v>1.3884180699743442</v>
      </c>
      <c r="D25" s="60">
        <v>1.4981073561669929</v>
      </c>
      <c r="E25" s="60">
        <f>$D$2+$D$3*C25^2+$D$4*D25^2</f>
        <v>7.0573078807875111</v>
      </c>
      <c r="F25" s="60">
        <f>C25*D25</f>
        <v>2.0799993240637438</v>
      </c>
      <c r="G25" s="60">
        <f>F25-$D$18</f>
        <v>-6.759362563002469E-7</v>
      </c>
      <c r="H25" s="60">
        <f>H24+2*I24*G24</f>
        <v>-1.1600012677353622</v>
      </c>
      <c r="I25" s="60">
        <f>I24*2</f>
        <v>4</v>
      </c>
      <c r="J25" s="60">
        <v>2</v>
      </c>
      <c r="K25" s="61">
        <f>E25+H25*G25+I25*G25^2</f>
        <v>7.0573086648762535</v>
      </c>
    </row>
    <row r="26" spans="1:11">
      <c r="A26" s="94"/>
      <c r="B26" s="75"/>
      <c r="C26" s="75">
        <v>1.388453632259234</v>
      </c>
      <c r="D26" s="75">
        <v>1.498069525030056</v>
      </c>
      <c r="E26" s="75">
        <f>$D$2+$D$3*C26^2+$D$4*D26^2</f>
        <v>7.0573089635903425</v>
      </c>
      <c r="F26" s="75">
        <f>C26*D26</f>
        <v>2.0800000734048467</v>
      </c>
      <c r="G26" s="75">
        <f>F26-$D$18</f>
        <v>7.3404846645530597E-8</v>
      </c>
      <c r="H26" s="75">
        <f>H25+2*I25*G25</f>
        <v>-1.1600066752254126</v>
      </c>
      <c r="I26" s="75">
        <f>I25*2</f>
        <v>8</v>
      </c>
      <c r="J26" s="75">
        <v>3</v>
      </c>
      <c r="K26" s="76">
        <f>E26+H26*G26+I26*G26^2</f>
        <v>7.0573088784402742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CEBAD-EB12-4763-9319-D75DA2D3C3FA}">
  <dimension ref="A1:J22"/>
  <sheetViews>
    <sheetView topLeftCell="A3" workbookViewId="0">
      <selection activeCell="K22" sqref="K22"/>
    </sheetView>
  </sheetViews>
  <sheetFormatPr defaultRowHeight="15"/>
  <cols>
    <col min="1" max="1" width="21" style="1" customWidth="1"/>
    <col min="2" max="2" width="37.42578125" style="34" customWidth="1"/>
    <col min="5" max="5" width="9.140625" style="78"/>
    <col min="6" max="6" width="11.140625" customWidth="1"/>
    <col min="7" max="7" width="13.7109375" customWidth="1"/>
    <col min="9" max="9" width="11.28515625" customWidth="1"/>
    <col min="10" max="10" width="10.42578125" customWidth="1"/>
  </cols>
  <sheetData>
    <row r="1" spans="1:10">
      <c r="A1" s="129" t="s">
        <v>238</v>
      </c>
      <c r="B1" s="129"/>
    </row>
    <row r="2" spans="1:10">
      <c r="A2" s="97"/>
      <c r="B2" s="128" t="s">
        <v>1</v>
      </c>
      <c r="C2" s="84" t="s">
        <v>2</v>
      </c>
      <c r="D2" s="84" t="s">
        <v>3</v>
      </c>
    </row>
    <row r="3" spans="1:10">
      <c r="A3" s="97"/>
      <c r="B3" s="128"/>
      <c r="C3">
        <v>-1</v>
      </c>
      <c r="D3">
        <v>3.5</v>
      </c>
    </row>
    <row r="4" spans="1:10">
      <c r="A4" s="97"/>
      <c r="B4" s="128"/>
      <c r="C4">
        <v>0</v>
      </c>
      <c r="D4">
        <v>0.8</v>
      </c>
    </row>
    <row r="5" spans="1:10">
      <c r="A5" s="97"/>
      <c r="B5" s="128"/>
      <c r="C5">
        <v>1</v>
      </c>
      <c r="D5">
        <v>2.2000000000000002</v>
      </c>
    </row>
    <row r="6" spans="1:10">
      <c r="A6" s="97"/>
      <c r="B6" s="128"/>
      <c r="C6">
        <v>2</v>
      </c>
      <c r="D6">
        <v>4.0999999999999996</v>
      </c>
    </row>
    <row r="7" spans="1:10">
      <c r="A7" s="97"/>
      <c r="B7" s="128"/>
      <c r="C7">
        <v>0.5</v>
      </c>
      <c r="D7">
        <v>0.7</v>
      </c>
    </row>
    <row r="8" spans="1:10" s="78" customFormat="1">
      <c r="A8" s="97"/>
      <c r="B8" s="34"/>
    </row>
    <row r="9" spans="1:10">
      <c r="A9" s="97"/>
      <c r="C9" s="84" t="s">
        <v>92</v>
      </c>
      <c r="D9" s="84" t="s">
        <v>93</v>
      </c>
      <c r="E9" s="84" t="s">
        <v>133</v>
      </c>
      <c r="F9" s="84" t="s">
        <v>243</v>
      </c>
      <c r="G9" s="84" t="s">
        <v>241</v>
      </c>
      <c r="H9" s="84" t="s">
        <v>242</v>
      </c>
      <c r="I9" s="84" t="s">
        <v>249</v>
      </c>
      <c r="J9" s="84" t="s">
        <v>250</v>
      </c>
    </row>
    <row r="10" spans="1:10" ht="16.5" customHeight="1">
      <c r="A10" s="92" t="s">
        <v>239</v>
      </c>
      <c r="B10" s="98" t="s">
        <v>244</v>
      </c>
      <c r="C10" s="86" cm="1">
        <f t="array" ref="C10:E14">LINEST(D3:D6,C3:C6^{2,1},TRUE, TRUE)</f>
        <v>-0.82999999999999974</v>
      </c>
      <c r="D10" s="86">
        <v>1.1499999999999997</v>
      </c>
      <c r="E10" s="86">
        <v>1.34</v>
      </c>
      <c r="F10" s="86">
        <f>C7</f>
        <v>0.5</v>
      </c>
      <c r="G10" s="99">
        <v>0.36086956521739122</v>
      </c>
      <c r="H10" s="99">
        <f>C10*G10+D10*G10^2+E10</f>
        <v>1.1902391304347828</v>
      </c>
      <c r="I10" s="86"/>
      <c r="J10" s="87"/>
    </row>
    <row r="11" spans="1:10" s="78" customFormat="1">
      <c r="A11" s="93"/>
      <c r="B11" s="100" t="s">
        <v>245</v>
      </c>
      <c r="C11" s="60">
        <v>0.54000000000000037</v>
      </c>
      <c r="D11" s="60">
        <v>0.40249223594996242</v>
      </c>
      <c r="E11" s="60">
        <v>0.59699246226397229</v>
      </c>
      <c r="F11" s="60"/>
      <c r="G11" s="17"/>
      <c r="H11" s="17"/>
      <c r="I11" s="60"/>
      <c r="J11" s="61"/>
    </row>
    <row r="12" spans="1:10" s="78" customFormat="1" ht="30.75" customHeight="1">
      <c r="A12" s="93"/>
      <c r="B12" s="100" t="s">
        <v>246</v>
      </c>
      <c r="C12" s="41">
        <v>0.89953488372093016</v>
      </c>
      <c r="D12" s="60">
        <v>0.80498447189992461</v>
      </c>
      <c r="E12" s="60" t="e">
        <v>#N/A</v>
      </c>
      <c r="F12" s="60"/>
      <c r="G12" s="17"/>
      <c r="H12" s="17"/>
      <c r="I12" s="60"/>
      <c r="J12" s="61"/>
    </row>
    <row r="13" spans="1:10" s="78" customFormat="1" ht="30">
      <c r="A13" s="93"/>
      <c r="B13" s="100" t="s">
        <v>247</v>
      </c>
      <c r="C13" s="60">
        <v>4.4768518518518459</v>
      </c>
      <c r="D13" s="60">
        <v>1</v>
      </c>
      <c r="E13" s="60" t="e">
        <v>#N/A</v>
      </c>
      <c r="F13" s="60"/>
      <c r="G13" s="17"/>
      <c r="H13" s="17"/>
      <c r="I13" s="60"/>
      <c r="J13" s="61"/>
    </row>
    <row r="14" spans="1:10" s="78" customFormat="1" ht="30">
      <c r="A14" s="94"/>
      <c r="B14" s="101" t="s">
        <v>248</v>
      </c>
      <c r="C14" s="75">
        <v>5.8019999999999978</v>
      </c>
      <c r="D14" s="75">
        <v>0.64800000000000058</v>
      </c>
      <c r="E14" s="75" t="e">
        <v>#N/A</v>
      </c>
      <c r="F14" s="75"/>
      <c r="G14" s="102"/>
      <c r="H14" s="102"/>
      <c r="I14" s="75"/>
      <c r="J14" s="76"/>
    </row>
    <row r="15" spans="1:10" ht="17.25" customHeight="1">
      <c r="A15" s="92" t="s">
        <v>240</v>
      </c>
      <c r="B15" s="98" t="s">
        <v>244</v>
      </c>
      <c r="C15" s="86" cm="1">
        <f t="array" ref="C15:E19">LINEST(D3:D7,C3:C7^{2,1},TRUE, TRUE)</f>
        <v>-0.9276190476190479</v>
      </c>
      <c r="D15" s="86">
        <v>1.2476190476190478</v>
      </c>
      <c r="E15" s="86">
        <v>1.1642857142857139</v>
      </c>
      <c r="F15" s="86">
        <f>C7</f>
        <v>0.5</v>
      </c>
      <c r="G15" s="99">
        <v>0.37175572519083966</v>
      </c>
      <c r="H15" s="99">
        <f>C15*G15+D15*G15^2+E15</f>
        <v>0.99186186841148627</v>
      </c>
      <c r="I15" s="86">
        <f>G15-G10</f>
        <v>1.0886159973448439E-2</v>
      </c>
      <c r="J15" s="87">
        <f>H15-H10</f>
        <v>-0.19837726202329653</v>
      </c>
    </row>
    <row r="16" spans="1:10">
      <c r="A16" s="27"/>
      <c r="B16" s="100" t="s">
        <v>245</v>
      </c>
      <c r="C16" s="60">
        <v>0.39720394642637841</v>
      </c>
      <c r="D16" s="60">
        <v>0.27741926978341913</v>
      </c>
      <c r="E16" s="60">
        <v>0.37987197986747495</v>
      </c>
      <c r="F16" s="60"/>
      <c r="G16" s="60"/>
      <c r="H16" s="60"/>
      <c r="I16" s="60"/>
      <c r="J16" s="61"/>
    </row>
    <row r="17" spans="1:10" ht="30">
      <c r="A17" s="27"/>
      <c r="B17" s="100" t="s">
        <v>246</v>
      </c>
      <c r="C17" s="41">
        <v>0.91486565127525943</v>
      </c>
      <c r="D17" s="60">
        <v>0.6356474015109469</v>
      </c>
      <c r="E17" s="60" t="e">
        <v>#N/A</v>
      </c>
      <c r="F17" s="60"/>
      <c r="G17" s="60"/>
      <c r="H17" s="60"/>
      <c r="I17" s="60"/>
      <c r="J17" s="61"/>
    </row>
    <row r="18" spans="1:10" ht="30">
      <c r="A18" s="27"/>
      <c r="B18" s="100" t="s">
        <v>247</v>
      </c>
      <c r="C18" s="60">
        <v>10.746140247495582</v>
      </c>
      <c r="D18" s="60">
        <v>2</v>
      </c>
      <c r="E18" s="60" t="e">
        <v>#N/A</v>
      </c>
      <c r="F18" s="60"/>
      <c r="G18" s="60"/>
      <c r="H18" s="60"/>
      <c r="I18" s="60"/>
      <c r="J18" s="61"/>
    </row>
    <row r="19" spans="1:10" ht="30">
      <c r="A19" s="29"/>
      <c r="B19" s="101" t="s">
        <v>248</v>
      </c>
      <c r="C19" s="75">
        <v>8.6839047619047598</v>
      </c>
      <c r="D19" s="75">
        <v>0.80809523809523776</v>
      </c>
      <c r="E19" s="75" t="e">
        <v>#N/A</v>
      </c>
      <c r="F19" s="75"/>
      <c r="G19" s="75"/>
      <c r="H19" s="75"/>
      <c r="I19" s="75"/>
      <c r="J19" s="76"/>
    </row>
    <row r="21" spans="1:10" ht="30">
      <c r="B21" s="34" t="s">
        <v>252</v>
      </c>
    </row>
    <row r="22" spans="1:10" ht="30">
      <c r="B22" s="34" t="s">
        <v>253</v>
      </c>
    </row>
  </sheetData>
  <mergeCells count="2">
    <mergeCell ref="B2:B7"/>
    <mergeCell ref="A1:B1"/>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008E7-2666-44E5-A136-4D6DB3BB0401}">
  <dimension ref="A1:J17"/>
  <sheetViews>
    <sheetView workbookViewId="0">
      <selection activeCell="I5" sqref="I5"/>
    </sheetView>
  </sheetViews>
  <sheetFormatPr defaultRowHeight="15"/>
  <cols>
    <col min="1" max="1" width="18.28515625" customWidth="1"/>
    <col min="2" max="2" width="27.28515625" customWidth="1"/>
    <col min="7" max="7" width="12.140625" customWidth="1"/>
    <col min="9" max="9" width="11.5703125" customWidth="1"/>
    <col min="10" max="10" width="11" customWidth="1"/>
  </cols>
  <sheetData>
    <row r="1" spans="1:10">
      <c r="A1" s="130" t="s">
        <v>251</v>
      </c>
      <c r="B1" s="130"/>
      <c r="E1" s="78"/>
    </row>
    <row r="2" spans="1:10">
      <c r="A2" t="s">
        <v>254</v>
      </c>
      <c r="B2" t="s">
        <v>255</v>
      </c>
    </row>
    <row r="3" spans="1:10">
      <c r="A3" t="s">
        <v>257</v>
      </c>
      <c r="C3">
        <v>0.75983568596641982</v>
      </c>
      <c r="D3">
        <f>1/C3+C3^3+1</f>
        <v>2.7547653506033232</v>
      </c>
    </row>
    <row r="4" spans="1:10">
      <c r="A4" t="s">
        <v>256</v>
      </c>
      <c r="C4" t="s">
        <v>2</v>
      </c>
      <c r="D4" t="s">
        <v>3</v>
      </c>
    </row>
    <row r="5" spans="1:10">
      <c r="C5">
        <v>0.2</v>
      </c>
      <c r="D5">
        <v>6.008</v>
      </c>
    </row>
    <row r="6" spans="1:10">
      <c r="C6">
        <v>0.5</v>
      </c>
      <c r="D6">
        <v>3.125</v>
      </c>
    </row>
    <row r="7" spans="1:10">
      <c r="C7">
        <v>1</v>
      </c>
      <c r="D7">
        <v>3</v>
      </c>
    </row>
    <row r="8" spans="1:10">
      <c r="C8">
        <v>2</v>
      </c>
      <c r="D8">
        <v>9.5</v>
      </c>
    </row>
    <row r="10" spans="1:10">
      <c r="A10" s="97"/>
      <c r="B10" s="34"/>
      <c r="C10" s="84" t="s">
        <v>92</v>
      </c>
      <c r="D10" s="84" t="s">
        <v>93</v>
      </c>
      <c r="E10" s="84" t="s">
        <v>133</v>
      </c>
      <c r="F10" s="84" t="s">
        <v>243</v>
      </c>
      <c r="G10" s="84" t="s">
        <v>241</v>
      </c>
      <c r="H10" s="84" t="s">
        <v>242</v>
      </c>
      <c r="I10" s="84" t="s">
        <v>249</v>
      </c>
      <c r="J10" s="84" t="s">
        <v>250</v>
      </c>
    </row>
    <row r="11" spans="1:10" ht="30">
      <c r="A11" s="92" t="s">
        <v>258</v>
      </c>
      <c r="B11" s="98" t="s">
        <v>244</v>
      </c>
      <c r="C11" s="86" cm="1">
        <f t="array" ref="C11:E15">LINEST(D5:D8,C5:C8^{2,1},TRUE, TRUE)</f>
        <v>-10.891997822536741</v>
      </c>
      <c r="D11" s="86">
        <v>5.918835057158411</v>
      </c>
      <c r="E11" s="86">
        <v>7.6556886227544876</v>
      </c>
      <c r="F11" s="86">
        <f>C7</f>
        <v>1</v>
      </c>
      <c r="G11" s="99">
        <v>0.92011330923672563</v>
      </c>
      <c r="H11" s="99">
        <f>C11*G11+D11*G11^2+E11</f>
        <v>2.6447525424077414</v>
      </c>
      <c r="I11" s="86"/>
      <c r="J11" s="87"/>
    </row>
    <row r="12" spans="1:10">
      <c r="A12" s="93"/>
      <c r="B12" s="100" t="s">
        <v>245</v>
      </c>
      <c r="C12" s="60">
        <v>2.4872907617911402</v>
      </c>
      <c r="D12" s="60">
        <v>1.0712322553593774</v>
      </c>
      <c r="E12" s="60">
        <v>1.0263679491593833</v>
      </c>
      <c r="F12" s="60"/>
      <c r="G12" s="17"/>
      <c r="H12" s="17"/>
      <c r="I12" s="60"/>
      <c r="J12" s="61"/>
    </row>
    <row r="13" spans="1:10" ht="45">
      <c r="A13" s="93"/>
      <c r="B13" s="100" t="s">
        <v>246</v>
      </c>
      <c r="C13" s="41">
        <v>0.98193283565452072</v>
      </c>
      <c r="D13" s="60">
        <v>0.71271216363841638</v>
      </c>
      <c r="E13" s="60" t="e">
        <v>#N/A</v>
      </c>
      <c r="F13" s="60"/>
      <c r="G13" s="17"/>
      <c r="H13" s="17"/>
      <c r="I13" s="60"/>
      <c r="J13" s="61"/>
    </row>
    <row r="14" spans="1:10" ht="30">
      <c r="A14" s="93"/>
      <c r="B14" s="100" t="s">
        <v>247</v>
      </c>
      <c r="C14" s="60">
        <v>27.174514408516387</v>
      </c>
      <c r="D14" s="60">
        <v>1</v>
      </c>
      <c r="E14" s="60" t="e">
        <v>#N/A</v>
      </c>
      <c r="F14" s="60"/>
      <c r="G14" s="17"/>
      <c r="H14" s="17"/>
      <c r="I14" s="60"/>
      <c r="J14" s="61"/>
    </row>
    <row r="15" spans="1:10" ht="60">
      <c r="A15" s="94"/>
      <c r="B15" s="101" t="s">
        <v>248</v>
      </c>
      <c r="C15" s="75">
        <v>27.607058121801845</v>
      </c>
      <c r="D15" s="75">
        <v>0.50795862819815285</v>
      </c>
      <c r="E15" s="75" t="e">
        <v>#N/A</v>
      </c>
      <c r="F15" s="75"/>
      <c r="G15" s="102"/>
      <c r="H15" s="102"/>
      <c r="I15" s="75"/>
      <c r="J15" s="76"/>
    </row>
    <row r="17" spans="1:1">
      <c r="A17" t="s">
        <v>259</v>
      </c>
    </row>
  </sheetData>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84AE1-74BD-4882-986B-9A6F64052F79}">
  <dimension ref="A2:Y55"/>
  <sheetViews>
    <sheetView workbookViewId="0">
      <selection activeCell="H4" sqref="H4"/>
    </sheetView>
  </sheetViews>
  <sheetFormatPr defaultRowHeight="15"/>
  <cols>
    <col min="1" max="16384" width="9.140625" style="78"/>
  </cols>
  <sheetData>
    <row r="2" spans="1:23">
      <c r="A2" s="132" t="s">
        <v>260</v>
      </c>
      <c r="B2" s="133"/>
      <c r="C2" s="134"/>
      <c r="E2" s="136" t="s">
        <v>265</v>
      </c>
      <c r="F2" s="137"/>
      <c r="G2" s="138"/>
      <c r="H2" s="131" t="s">
        <v>266</v>
      </c>
      <c r="J2" s="139" t="s">
        <v>267</v>
      </c>
      <c r="K2" s="140"/>
      <c r="L2" s="141"/>
      <c r="M2" s="131" t="s">
        <v>266</v>
      </c>
      <c r="O2" s="142" t="s">
        <v>268</v>
      </c>
      <c r="P2" s="143"/>
      <c r="Q2" s="144"/>
      <c r="R2" s="131" t="s">
        <v>266</v>
      </c>
      <c r="T2" s="132" t="s">
        <v>178</v>
      </c>
      <c r="U2" s="133"/>
      <c r="V2" s="134"/>
      <c r="W2" s="135" t="s">
        <v>266</v>
      </c>
    </row>
    <row r="3" spans="1:23">
      <c r="A3" s="103" t="s">
        <v>261</v>
      </c>
      <c r="B3" s="103" t="s">
        <v>262</v>
      </c>
      <c r="C3" s="103" t="s">
        <v>263</v>
      </c>
      <c r="E3" s="103" t="s">
        <v>261</v>
      </c>
      <c r="F3" s="103" t="s">
        <v>262</v>
      </c>
      <c r="G3" s="103" t="s">
        <v>263</v>
      </c>
      <c r="H3" s="131"/>
      <c r="J3" s="103" t="s">
        <v>261</v>
      </c>
      <c r="K3" s="103" t="s">
        <v>262</v>
      </c>
      <c r="L3" s="103" t="s">
        <v>263</v>
      </c>
      <c r="M3" s="131"/>
      <c r="O3" s="103" t="s">
        <v>261</v>
      </c>
      <c r="P3" s="103" t="s">
        <v>262</v>
      </c>
      <c r="Q3" s="103" t="s">
        <v>263</v>
      </c>
      <c r="R3" s="131"/>
      <c r="T3" s="103" t="s">
        <v>261</v>
      </c>
      <c r="U3" s="103" t="s">
        <v>262</v>
      </c>
      <c r="V3" s="103" t="s">
        <v>263</v>
      </c>
      <c r="W3" s="135"/>
    </row>
    <row r="4" spans="1:23">
      <c r="A4" s="103">
        <v>1</v>
      </c>
      <c r="B4" s="104">
        <v>0.80010000000000003</v>
      </c>
      <c r="C4" s="104">
        <v>0.57969999999999999</v>
      </c>
      <c r="D4" s="104"/>
      <c r="E4" s="107">
        <f>MATCH(F4,$B$4:$B$11,0)</f>
        <v>4</v>
      </c>
      <c r="F4" s="107" cm="1">
        <f t="array" ref="F4:F11">_xlfn._xlws.SORT(B4:B11)</f>
        <v>0.1361</v>
      </c>
      <c r="G4" s="107">
        <f>INDEX(C$4:C$11,MATCH(F4,B$4:B$11,0))</f>
        <v>0.51319999999999999</v>
      </c>
      <c r="H4" s="107">
        <v>1</v>
      </c>
      <c r="I4" s="108"/>
      <c r="J4" s="107">
        <f>E15</f>
        <v>6</v>
      </c>
      <c r="K4" s="107">
        <f>F15</f>
        <v>0.18179999999999999</v>
      </c>
      <c r="L4" s="107">
        <f>G15</f>
        <v>0.85299999999999998</v>
      </c>
      <c r="M4" s="107">
        <v>2</v>
      </c>
      <c r="O4" s="107">
        <f>J15</f>
        <v>1</v>
      </c>
      <c r="P4" s="107">
        <f>K15</f>
        <v>0.80010000000000003</v>
      </c>
      <c r="Q4" s="107">
        <f>L15</f>
        <v>0.57969999999999999</v>
      </c>
      <c r="R4" s="107">
        <v>3</v>
      </c>
      <c r="T4" s="103">
        <v>4</v>
      </c>
      <c r="U4" s="103">
        <v>0.1361</v>
      </c>
      <c r="V4" s="103">
        <v>0.51319999999999999</v>
      </c>
      <c r="W4" s="78">
        <v>1</v>
      </c>
    </row>
    <row r="5" spans="1:23">
      <c r="A5" s="103">
        <v>2</v>
      </c>
      <c r="B5" s="103">
        <v>0.91059999999999997</v>
      </c>
      <c r="C5" s="103">
        <v>0.14499999999999999</v>
      </c>
      <c r="D5" s="109"/>
      <c r="E5" s="107">
        <f t="shared" ref="E5:E11" si="0">MATCH(F5,$B$4:$B$11,0)</f>
        <v>7</v>
      </c>
      <c r="F5" s="107">
        <v>0.14549999999999999</v>
      </c>
      <c r="G5" s="107">
        <f t="shared" ref="G5" si="1">INDEX(C$4:C$11,MATCH(F5,B$4:B$11,0))</f>
        <v>0.35099999999999998</v>
      </c>
      <c r="H5" s="105" cm="1">
        <f t="array" ref="H5">IF(G5&lt;G4,IF(H4=1,1,IF(G5&lt;INDEX(G$4:G4,_xlfn.XMATCH(1,$H$4:H4,0,-1)),1,0)),IF(G5&lt;INDEX(G$4:G4,_xlfn.XMATCH(1,$H$4:H4,0,-1)),1,0))</f>
        <v>1</v>
      </c>
      <c r="I5" s="79"/>
      <c r="J5" s="106">
        <f>E16</f>
        <v>3</v>
      </c>
      <c r="K5" s="107">
        <f t="shared" ref="K5:L11" si="2">F16</f>
        <v>0.26379999999999998</v>
      </c>
      <c r="L5" s="107">
        <f t="shared" si="2"/>
        <v>0.62209999999999999</v>
      </c>
      <c r="M5" s="107" cm="1">
        <f t="array" ref="M5">IF(L5&lt;L4,IF(M4=2,2,IF(L5&lt;INDEX(L$4:L4,_xlfn.XMATCH(2,$M$4:M4,0,-1)),2,0)),IF(L5&lt;INDEX(L$4:L4,_xlfn.XMATCH(2,$M$4:M4,0,-1)),2,0))</f>
        <v>2</v>
      </c>
      <c r="O5" s="106">
        <f>J16</f>
        <v>0</v>
      </c>
      <c r="P5" s="107">
        <f t="shared" ref="P5:Q11" si="3">K16</f>
        <v>0</v>
      </c>
      <c r="Q5" s="107">
        <f t="shared" si="3"/>
        <v>0</v>
      </c>
      <c r="R5" s="107" cm="1">
        <f t="array" ref="R5">IF(Q5&lt;Q4,IF(R4=3,3,IF(Q5&lt;INDEX(Q$4:Q4,_xlfn.XMATCH(3,$M$4:R4,0,-1)),3,0)),IF(Q5&lt;INDEX(Q$4:Q4,_xlfn.XMATCH(3,$M$4:R4,0,-1)),3,0))</f>
        <v>3</v>
      </c>
      <c r="T5" s="103">
        <v>7</v>
      </c>
      <c r="U5" s="103">
        <v>0.14549999999999999</v>
      </c>
      <c r="V5" s="103">
        <v>0.35099999999999998</v>
      </c>
      <c r="W5" s="78">
        <v>1</v>
      </c>
    </row>
    <row r="6" spans="1:23">
      <c r="A6" s="103">
        <v>3</v>
      </c>
      <c r="B6" s="103">
        <v>0.26379999999999998</v>
      </c>
      <c r="C6" s="103">
        <v>0.62209999999999999</v>
      </c>
      <c r="D6" s="109"/>
      <c r="E6" s="107">
        <f t="shared" si="0"/>
        <v>6</v>
      </c>
      <c r="F6" s="107">
        <v>0.18179999999999999</v>
      </c>
      <c r="G6" s="107">
        <f>INDEX(C$4:C$11,MATCH(F6,B$4:B$11,0))</f>
        <v>0.85299999999999998</v>
      </c>
      <c r="H6" s="107" cm="1">
        <f t="array" ref="H6">IF(G6&lt;G5,IF(H5=1,1,IF(G6&lt;INDEX(G$4:G5,_xlfn.XMATCH(1,$H$4:H5,0,-1)),1,0)),IF(G6&lt;INDEX(G$4:G5,_xlfn.XMATCH(1,$H$4:H5,0,-1)),1,0))</f>
        <v>0</v>
      </c>
      <c r="I6" s="108"/>
      <c r="J6" s="107">
        <f t="shared" ref="J6:J8" si="4">E17</f>
        <v>5</v>
      </c>
      <c r="K6" s="107">
        <f t="shared" si="2"/>
        <v>0.43140000000000001</v>
      </c>
      <c r="L6" s="107">
        <f t="shared" si="2"/>
        <v>0.54990000000000006</v>
      </c>
      <c r="M6" s="107" cm="1">
        <f t="array" ref="M6">IF(L6&lt;L5,IF(M5=2,2,IF(L6&lt;INDEX(L$4:L5,_xlfn.XMATCH(2,$M$4:M5,0,-1)),2,0)),IF(L6&lt;INDEX(L$4:L5,_xlfn.XMATCH(2,$M$4:M5,0,-1)),2,0))</f>
        <v>2</v>
      </c>
      <c r="O6" s="107">
        <f t="shared" ref="O6:O8" si="5">J17</f>
        <v>0</v>
      </c>
      <c r="P6" s="107">
        <f t="shared" si="3"/>
        <v>0</v>
      </c>
      <c r="Q6" s="107">
        <f t="shared" si="3"/>
        <v>0</v>
      </c>
      <c r="R6" s="107" t="e" cm="1">
        <f t="array" ref="R6">IF(Q6&lt;Q5,IF(R5=3,3,IF(Q6&lt;INDEX(Q$4:Q5,_xlfn.XMATCH(3,$M$4:R5,0,-1)),3,0)),IF(Q6&lt;INDEX(Q$4:Q5,_xlfn.XMATCH(3,$M$4:R5,0,-1)),3,0))</f>
        <v>#VALUE!</v>
      </c>
      <c r="T6" s="103">
        <v>2</v>
      </c>
      <c r="U6" s="103">
        <v>0.91059999999999997</v>
      </c>
      <c r="V6" s="103">
        <v>0.14499999999999999</v>
      </c>
      <c r="W6" s="78">
        <v>1</v>
      </c>
    </row>
    <row r="7" spans="1:23">
      <c r="A7" s="103">
        <v>4</v>
      </c>
      <c r="B7" s="103">
        <v>0.1361</v>
      </c>
      <c r="C7" s="103">
        <v>0.51319999999999999</v>
      </c>
      <c r="D7" s="109"/>
      <c r="E7" s="107">
        <f t="shared" si="0"/>
        <v>3</v>
      </c>
      <c r="F7" s="107">
        <v>0.26379999999999998</v>
      </c>
      <c r="G7" s="107">
        <f>INDEX(C$4:C$11,MATCH(F7,B$4:B$11,0))</f>
        <v>0.62209999999999999</v>
      </c>
      <c r="H7" s="107" cm="1">
        <f t="array" ref="H7">IF(G7&lt;G6,IF(H6=1,1,IF(G7&lt;INDEX(G$4:G6,_xlfn.XMATCH(1,$H$4:H6,0,-1)),1,0)),IF(G7&lt;INDEX(G$4:G6,_xlfn.XMATCH(1,$H$4:H6,0,-1)),1,0))</f>
        <v>0</v>
      </c>
      <c r="I7" s="108"/>
      <c r="J7" s="107">
        <f t="shared" si="4"/>
        <v>1</v>
      </c>
      <c r="K7" s="107">
        <f t="shared" si="2"/>
        <v>0.80010000000000003</v>
      </c>
      <c r="L7" s="107">
        <f t="shared" si="2"/>
        <v>0.57969999999999999</v>
      </c>
      <c r="M7" s="107" cm="1">
        <f t="array" ref="M7">IF(L7&lt;L6,IF(M6=2,2,IF(L7&lt;INDEX(L$4:L6,_xlfn.XMATCH(2,$M$4:M6,0,-1)),2,0)),IF(L7&lt;INDEX(L$4:L6,_xlfn.XMATCH(2,$M$4:M6,0,-1)),2,0))</f>
        <v>0</v>
      </c>
      <c r="O7" s="107">
        <f t="shared" si="5"/>
        <v>0</v>
      </c>
      <c r="P7" s="107">
        <f t="shared" si="3"/>
        <v>0</v>
      </c>
      <c r="Q7" s="107">
        <f t="shared" si="3"/>
        <v>0</v>
      </c>
      <c r="R7" s="107" t="e" cm="1">
        <f t="array" ref="R7">IF(Q7&lt;Q6,IF(R6=3,3,IF(Q7&lt;INDEX(Q$4:Q6,_xlfn.XMATCH(3,$M$4:R6,0,-1)),3,0)),IF(Q7&lt;INDEX(Q$4:Q6,_xlfn.XMATCH(3,$M$4:R6,0,-1)),3,0))</f>
        <v>#VALUE!</v>
      </c>
      <c r="T7" s="103">
        <v>6</v>
      </c>
      <c r="U7" s="103">
        <v>0.18179999999999999</v>
      </c>
      <c r="V7" s="103">
        <v>0.85299999999999998</v>
      </c>
      <c r="W7" s="78">
        <v>2</v>
      </c>
    </row>
    <row r="8" spans="1:23">
      <c r="A8" s="103">
        <v>5</v>
      </c>
      <c r="B8" s="103">
        <v>0.43140000000000001</v>
      </c>
      <c r="C8" s="103">
        <v>0.54990000000000006</v>
      </c>
      <c r="D8" s="109"/>
      <c r="E8" s="107">
        <f t="shared" si="0"/>
        <v>5</v>
      </c>
      <c r="F8" s="107">
        <v>0.43140000000000001</v>
      </c>
      <c r="G8" s="107">
        <f t="shared" ref="G8:G11" si="6">INDEX(C$4:C$11,MATCH(F8,B$4:B$11,0))</f>
        <v>0.54990000000000006</v>
      </c>
      <c r="H8" s="107" cm="1">
        <f t="array" ref="H8">IF(G8&lt;G7,IF(H7=1,1,IF(G8&lt;INDEX(G$4:G7,_xlfn.XMATCH(1,$H$4:H7,0,-1)),1,0)),IF(G8&lt;INDEX(G$4:G7,_xlfn.XMATCH(1,$H$4:H7,0,-1)),1,0))</f>
        <v>0</v>
      </c>
      <c r="I8" s="108"/>
      <c r="J8" s="107">
        <f t="shared" si="4"/>
        <v>8</v>
      </c>
      <c r="K8" s="107">
        <f t="shared" si="2"/>
        <v>0.86929999999999996</v>
      </c>
      <c r="L8" s="107">
        <f t="shared" si="2"/>
        <v>0.40179999999999999</v>
      </c>
      <c r="M8" s="107" cm="1">
        <f t="array" ref="M8">IF(L8&lt;L7,IF(M7=2,2,IF(L8&lt;INDEX(L$4:L7,_xlfn.XMATCH(2,$M$4:M7,0,-1)),2,0)),IF(L8&lt;INDEX(L$4:L7,_xlfn.XMATCH(2,$M$4:M7,0,-1)),2,0))</f>
        <v>2</v>
      </c>
      <c r="O8" s="107">
        <f t="shared" si="5"/>
        <v>0</v>
      </c>
      <c r="P8" s="107">
        <f t="shared" si="3"/>
        <v>0</v>
      </c>
      <c r="Q8" s="107">
        <f t="shared" si="3"/>
        <v>0</v>
      </c>
      <c r="R8" s="107" t="e" cm="1">
        <f t="array" ref="R8">IF(Q8&lt;Q7,IF(R7=3,3,IF(Q8&lt;INDEX(Q$4:Q7,_xlfn.XMATCH(3,$M$4:R7,0,-1)),3,0)),IF(Q8&lt;INDEX(Q$4:Q7,_xlfn.XMATCH(3,$M$4:R7,0,-1)),3,0))</f>
        <v>#VALUE!</v>
      </c>
      <c r="T8" s="103">
        <v>3</v>
      </c>
      <c r="U8" s="103">
        <v>0.26379999999999998</v>
      </c>
      <c r="V8" s="103">
        <v>0.62209999999999999</v>
      </c>
      <c r="W8" s="78">
        <v>2</v>
      </c>
    </row>
    <row r="9" spans="1:23">
      <c r="A9" s="103">
        <v>6</v>
      </c>
      <c r="B9" s="103">
        <v>0.18179999999999999</v>
      </c>
      <c r="C9" s="103">
        <v>0.85299999999999998</v>
      </c>
      <c r="D9" s="109"/>
      <c r="E9" s="107">
        <f t="shared" si="0"/>
        <v>1</v>
      </c>
      <c r="F9" s="107">
        <v>0.80010000000000003</v>
      </c>
      <c r="G9" s="107">
        <f t="shared" si="6"/>
        <v>0.57969999999999999</v>
      </c>
      <c r="H9" s="107" cm="1">
        <f t="array" ref="H9">IF(G9&lt;G8,IF(H8=1,1,IF(G9&lt;INDEX(G$4:G8,_xlfn.XMATCH(1,$H$4:H8,0,-1)),1,0)),IF(G9&lt;INDEX(G$4:G8,_xlfn.XMATCH(1,$H$4:H8,0,-1)),1,0))</f>
        <v>0</v>
      </c>
      <c r="I9" s="108"/>
      <c r="J9" s="107">
        <f>E20</f>
        <v>0</v>
      </c>
      <c r="K9" s="107">
        <f t="shared" si="2"/>
        <v>0</v>
      </c>
      <c r="L9" s="107">
        <f t="shared" si="2"/>
        <v>0</v>
      </c>
      <c r="M9" s="107">
        <v>0</v>
      </c>
      <c r="O9" s="107">
        <f>J20</f>
        <v>0</v>
      </c>
      <c r="P9" s="107">
        <f t="shared" si="3"/>
        <v>0</v>
      </c>
      <c r="Q9" s="107">
        <f t="shared" si="3"/>
        <v>0</v>
      </c>
      <c r="R9" s="107" t="e" cm="1">
        <f t="array" ref="R9">IF(Q9&lt;Q8,IF(R8=3,3,IF(Q9&lt;INDEX(Q$4:Q8,_xlfn.XMATCH(3,$M$4:R8,0,-1)),3,0)),IF(Q9&lt;INDEX(Q$4:Q8,_xlfn.XMATCH(3,$M$4:R8,0,-1)),3,0))</f>
        <v>#VALUE!</v>
      </c>
      <c r="T9" s="103">
        <v>5</v>
      </c>
      <c r="U9" s="103">
        <v>0.43140000000000001</v>
      </c>
      <c r="V9" s="103">
        <v>0.54990000000000006</v>
      </c>
      <c r="W9" s="78">
        <v>2</v>
      </c>
    </row>
    <row r="10" spans="1:23">
      <c r="A10" s="103">
        <v>7</v>
      </c>
      <c r="B10" s="103">
        <v>0.14549999999999999</v>
      </c>
      <c r="C10" s="103">
        <v>0.35099999999999998</v>
      </c>
      <c r="D10" s="109"/>
      <c r="E10" s="107">
        <f t="shared" si="0"/>
        <v>8</v>
      </c>
      <c r="F10" s="107">
        <v>0.86929999999999996</v>
      </c>
      <c r="G10" s="107">
        <f t="shared" si="6"/>
        <v>0.40179999999999999</v>
      </c>
      <c r="H10" s="107" cm="1">
        <f t="array" ref="H10">IF(G10&lt;G9,IF(H9=1,1,IF(G10&lt;INDEX(G$4:G9,_xlfn.XMATCH(1,$H$4:H9,0,-1)),1,0)),IF(G10&lt;INDEX(G$4:G9,_xlfn.XMATCH(1,$H$4:H9,0,-1)),1,0))</f>
        <v>0</v>
      </c>
      <c r="I10" s="108"/>
      <c r="J10" s="107">
        <f t="shared" ref="J10:J11" si="7">E21</f>
        <v>0</v>
      </c>
      <c r="K10" s="107">
        <f t="shared" si="2"/>
        <v>0</v>
      </c>
      <c r="L10" s="107">
        <f t="shared" si="2"/>
        <v>0</v>
      </c>
      <c r="M10" s="107">
        <v>0</v>
      </c>
      <c r="O10" s="107">
        <f t="shared" ref="O10:O11" si="8">J21</f>
        <v>0</v>
      </c>
      <c r="P10" s="107">
        <f t="shared" si="3"/>
        <v>0</v>
      </c>
      <c r="Q10" s="107">
        <f t="shared" si="3"/>
        <v>0</v>
      </c>
      <c r="R10" s="107" t="e" cm="1">
        <f t="array" ref="R10">IF(Q10&lt;Q9,IF(R9=3,3,IF(Q10&lt;INDEX(Q$4:Q9,_xlfn.XMATCH(3,$M$4:R9,0,-1)),3,0)),IF(Q10&lt;INDEX(Q$4:Q9,_xlfn.XMATCH(3,$M$4:R9,0,-1)),3,0))</f>
        <v>#VALUE!</v>
      </c>
      <c r="T10" s="103">
        <v>8</v>
      </c>
      <c r="U10" s="103">
        <v>0.86929999999999996</v>
      </c>
      <c r="V10" s="103">
        <v>0.40179999999999999</v>
      </c>
      <c r="W10" s="78">
        <v>2</v>
      </c>
    </row>
    <row r="11" spans="1:23">
      <c r="A11" s="103">
        <v>8</v>
      </c>
      <c r="B11" s="103">
        <v>0.86929999999999996</v>
      </c>
      <c r="C11" s="103">
        <v>0.40179999999999999</v>
      </c>
      <c r="D11" s="109"/>
      <c r="E11" s="107">
        <f t="shared" si="0"/>
        <v>2</v>
      </c>
      <c r="F11" s="107">
        <v>0.91059999999999997</v>
      </c>
      <c r="G11" s="107">
        <f t="shared" si="6"/>
        <v>0.14499999999999999</v>
      </c>
      <c r="H11" s="107" cm="1">
        <f t="array" ref="H11">IF(G11&lt;G10,IF(H10=1,1,IF(G11&lt;INDEX(G$4:G10,_xlfn.XMATCH(1,$H$4:H10,0,-1)),1,0)),IF(G11&lt;INDEX(G$4:G10,_xlfn.XMATCH(1,$H$4:H10,0,-1)),1,0))</f>
        <v>1</v>
      </c>
      <c r="I11" s="108"/>
      <c r="J11" s="107">
        <f t="shared" si="7"/>
        <v>0</v>
      </c>
      <c r="K11" s="107">
        <f t="shared" si="2"/>
        <v>0</v>
      </c>
      <c r="L11" s="107">
        <f t="shared" si="2"/>
        <v>0</v>
      </c>
      <c r="M11" s="107">
        <v>0</v>
      </c>
      <c r="O11" s="107">
        <f t="shared" si="8"/>
        <v>0</v>
      </c>
      <c r="P11" s="107">
        <f t="shared" si="3"/>
        <v>0</v>
      </c>
      <c r="Q11" s="107">
        <f t="shared" si="3"/>
        <v>0</v>
      </c>
      <c r="R11" s="107" t="e" cm="1">
        <f t="array" ref="R11">IF(Q11&lt;Q10,IF(R10=3,3,IF(Q11&lt;INDEX(Q$4:Q10,_xlfn.XMATCH(3,$M$4:R10,0,-1)),3,0)),IF(Q11&lt;INDEX(Q$4:Q10,_xlfn.XMATCH(3,$M$4:R10,0,-1)),3,0))</f>
        <v>#VALUE!</v>
      </c>
      <c r="T11" s="103">
        <v>1</v>
      </c>
      <c r="U11" s="103">
        <v>0.8</v>
      </c>
      <c r="V11" s="103">
        <v>0.57969999999999999</v>
      </c>
      <c r="W11" s="78">
        <v>3</v>
      </c>
    </row>
    <row r="13" spans="1:23">
      <c r="E13" s="132" t="s">
        <v>269</v>
      </c>
      <c r="F13" s="133"/>
      <c r="G13" s="134"/>
      <c r="H13" s="131" t="s">
        <v>266</v>
      </c>
      <c r="J13" s="132" t="s">
        <v>269</v>
      </c>
      <c r="K13" s="133"/>
      <c r="L13" s="134"/>
      <c r="M13" s="131" t="s">
        <v>266</v>
      </c>
    </row>
    <row r="14" spans="1:23">
      <c r="E14" s="103" t="s">
        <v>261</v>
      </c>
      <c r="F14" s="103" t="s">
        <v>262</v>
      </c>
      <c r="G14" s="103" t="s">
        <v>263</v>
      </c>
      <c r="H14" s="131"/>
      <c r="J14" s="103" t="s">
        <v>261</v>
      </c>
      <c r="K14" s="103" t="s">
        <v>262</v>
      </c>
      <c r="L14" s="103" t="s">
        <v>263</v>
      </c>
      <c r="M14" s="131"/>
    </row>
    <row r="15" spans="1:23">
      <c r="E15" s="107" cm="1">
        <f t="array" ref="E15:H19">_xlfn._xlws.FILTER(E4:H11,H4:H11=0,"NONE")</f>
        <v>6</v>
      </c>
      <c r="F15" s="107">
        <v>0.18179999999999999</v>
      </c>
      <c r="G15" s="107">
        <v>0.85299999999999998</v>
      </c>
      <c r="H15" s="107">
        <v>0</v>
      </c>
      <c r="J15" s="107" cm="1">
        <f t="array" ref="J15:M18">_xlfn._xlws.FILTER(J4:M11,M4:M11=0,"NONE")</f>
        <v>1</v>
      </c>
      <c r="K15" s="107">
        <v>0.80010000000000003</v>
      </c>
      <c r="L15" s="107">
        <v>0.57969999999999999</v>
      </c>
      <c r="M15" s="107">
        <v>0</v>
      </c>
    </row>
    <row r="16" spans="1:23">
      <c r="E16" s="107">
        <v>3</v>
      </c>
      <c r="F16" s="107">
        <v>0.26379999999999998</v>
      </c>
      <c r="G16" s="107">
        <v>0.62209999999999999</v>
      </c>
      <c r="H16" s="107">
        <v>0</v>
      </c>
      <c r="J16" s="107">
        <v>0</v>
      </c>
      <c r="K16" s="107">
        <v>0</v>
      </c>
      <c r="L16" s="107">
        <v>0</v>
      </c>
      <c r="M16" s="107">
        <v>0</v>
      </c>
    </row>
    <row r="17" spans="3:13">
      <c r="E17" s="107">
        <v>5</v>
      </c>
      <c r="F17" s="107">
        <v>0.43140000000000001</v>
      </c>
      <c r="G17" s="107">
        <v>0.54990000000000006</v>
      </c>
      <c r="H17" s="107">
        <v>0</v>
      </c>
      <c r="J17" s="107">
        <v>0</v>
      </c>
      <c r="K17" s="107">
        <v>0</v>
      </c>
      <c r="L17" s="107">
        <v>0</v>
      </c>
      <c r="M17" s="107">
        <v>0</v>
      </c>
    </row>
    <row r="18" spans="3:13">
      <c r="E18" s="107">
        <v>1</v>
      </c>
      <c r="F18" s="107">
        <v>0.80010000000000003</v>
      </c>
      <c r="G18" s="107">
        <v>0.57969999999999999</v>
      </c>
      <c r="H18" s="107">
        <v>0</v>
      </c>
      <c r="J18" s="107">
        <v>0</v>
      </c>
      <c r="K18" s="107">
        <v>0</v>
      </c>
      <c r="L18" s="107">
        <v>0</v>
      </c>
      <c r="M18" s="107">
        <v>0</v>
      </c>
    </row>
    <row r="19" spans="3:13">
      <c r="E19" s="107">
        <v>8</v>
      </c>
      <c r="F19" s="107">
        <v>0.86929999999999996</v>
      </c>
      <c r="G19" s="107">
        <v>0.40179999999999999</v>
      </c>
      <c r="H19" s="107">
        <v>0</v>
      </c>
      <c r="J19" s="107"/>
      <c r="K19" s="107"/>
      <c r="L19" s="107"/>
      <c r="M19" s="107"/>
    </row>
    <row r="20" spans="3:13">
      <c r="E20" s="107"/>
      <c r="F20" s="107"/>
      <c r="G20" s="107"/>
      <c r="H20" s="107"/>
      <c r="J20" s="107"/>
      <c r="K20" s="107"/>
      <c r="L20" s="107"/>
      <c r="M20" s="107"/>
    </row>
    <row r="21" spans="3:13">
      <c r="E21" s="107"/>
      <c r="F21" s="107"/>
      <c r="G21" s="107"/>
      <c r="H21" s="107"/>
      <c r="J21" s="107"/>
      <c r="K21" s="107"/>
      <c r="L21" s="107"/>
      <c r="M21" s="107"/>
    </row>
    <row r="22" spans="3:13">
      <c r="E22" s="107"/>
      <c r="F22" s="107"/>
      <c r="G22" s="107"/>
      <c r="H22" s="107"/>
      <c r="J22" s="107"/>
      <c r="K22" s="107"/>
      <c r="L22" s="107"/>
      <c r="M22" s="107"/>
    </row>
    <row r="23" spans="3:13">
      <c r="C23" s="110"/>
      <c r="D23" s="110"/>
      <c r="E23" s="110"/>
      <c r="F23" s="111"/>
      <c r="I23" s="110"/>
      <c r="J23" s="110"/>
      <c r="K23" s="110"/>
      <c r="L23" s="111"/>
    </row>
    <row r="24" spans="3:13">
      <c r="C24" s="110"/>
      <c r="D24" s="110"/>
      <c r="E24" s="110"/>
      <c r="F24" s="111"/>
      <c r="I24" s="110"/>
      <c r="J24" s="110"/>
      <c r="K24" s="110"/>
      <c r="L24" s="111"/>
    </row>
    <row r="27" spans="3:13">
      <c r="D27" s="108"/>
    </row>
    <row r="28" spans="3:13">
      <c r="M28" s="112"/>
    </row>
    <row r="31" spans="3:13" s="108" customFormat="1"/>
    <row r="34" spans="22:25">
      <c r="V34" s="110"/>
      <c r="W34" s="110"/>
      <c r="X34" s="110"/>
      <c r="Y34" s="111"/>
    </row>
    <row r="35" spans="22:25">
      <c r="V35" s="110"/>
      <c r="W35" s="110"/>
      <c r="X35" s="110"/>
      <c r="Y35" s="111"/>
    </row>
    <row r="36" spans="22:25">
      <c r="V36" s="110"/>
      <c r="W36" s="110"/>
      <c r="X36" s="110"/>
      <c r="Y36" s="111"/>
    </row>
    <row r="37" spans="22:25">
      <c r="V37" s="110"/>
      <c r="W37" s="110"/>
      <c r="X37" s="110"/>
      <c r="Y37" s="111"/>
    </row>
    <row r="38" spans="22:25">
      <c r="V38" s="110"/>
      <c r="W38" s="110"/>
      <c r="X38" s="110"/>
      <c r="Y38" s="111"/>
    </row>
    <row r="39" spans="22:25">
      <c r="V39" s="110"/>
      <c r="W39" s="110"/>
      <c r="X39" s="110"/>
      <c r="Y39" s="111"/>
    </row>
    <row r="40" spans="22:25">
      <c r="V40" s="110"/>
      <c r="W40" s="110"/>
      <c r="X40" s="110"/>
      <c r="Y40" s="111"/>
    </row>
    <row r="41" spans="22:25">
      <c r="V41" s="110"/>
      <c r="W41" s="110"/>
      <c r="X41" s="110"/>
      <c r="Y41" s="111"/>
    </row>
    <row r="42" spans="22:25">
      <c r="V42" s="110"/>
      <c r="W42" s="110"/>
      <c r="X42" s="110"/>
      <c r="Y42" s="111"/>
    </row>
    <row r="43" spans="22:25">
      <c r="V43" s="110"/>
      <c r="W43" s="110"/>
      <c r="X43" s="110"/>
      <c r="Y43" s="111"/>
    </row>
    <row r="44" spans="22:25">
      <c r="V44" s="110"/>
      <c r="W44" s="110"/>
      <c r="X44" s="110"/>
      <c r="Y44" s="111"/>
    </row>
    <row r="45" spans="22:25">
      <c r="V45" s="110"/>
      <c r="W45" s="110"/>
      <c r="X45" s="110"/>
      <c r="Y45" s="111"/>
    </row>
    <row r="46" spans="22:25">
      <c r="V46" s="110"/>
      <c r="W46" s="110"/>
      <c r="X46" s="110"/>
      <c r="Y46" s="111"/>
    </row>
    <row r="47" spans="22:25">
      <c r="V47" s="110"/>
      <c r="W47" s="110"/>
      <c r="X47" s="110"/>
      <c r="Y47" s="111"/>
    </row>
    <row r="48" spans="22:25">
      <c r="V48" s="110"/>
      <c r="W48" s="110"/>
      <c r="X48" s="110"/>
      <c r="Y48" s="111"/>
    </row>
    <row r="49" spans="22:25">
      <c r="V49" s="110"/>
      <c r="W49" s="110"/>
      <c r="X49" s="110"/>
      <c r="Y49" s="111"/>
    </row>
    <row r="50" spans="22:25">
      <c r="V50" s="110"/>
      <c r="W50" s="110"/>
      <c r="X50" s="110"/>
      <c r="Y50" s="111"/>
    </row>
    <row r="51" spans="22:25">
      <c r="V51" s="110"/>
      <c r="W51" s="110"/>
      <c r="X51" s="110"/>
      <c r="Y51" s="111"/>
    </row>
    <row r="52" spans="22:25">
      <c r="V52" s="110"/>
      <c r="W52" s="110"/>
      <c r="X52" s="110"/>
      <c r="Y52" s="111"/>
    </row>
    <row r="53" spans="22:25">
      <c r="V53" s="110"/>
      <c r="W53" s="110"/>
      <c r="X53" s="110"/>
      <c r="Y53" s="111"/>
    </row>
    <row r="54" spans="22:25">
      <c r="V54" s="110"/>
      <c r="W54" s="110"/>
      <c r="X54" s="110"/>
      <c r="Y54" s="111"/>
    </row>
    <row r="55" spans="22:25">
      <c r="V55" s="110"/>
      <c r="W55" s="110"/>
      <c r="X55" s="110"/>
      <c r="Y55" s="111"/>
    </row>
  </sheetData>
  <mergeCells count="13">
    <mergeCell ref="A2:C2"/>
    <mergeCell ref="E2:G2"/>
    <mergeCell ref="H2:H3"/>
    <mergeCell ref="J2:L2"/>
    <mergeCell ref="M2:M3"/>
    <mergeCell ref="R2:R3"/>
    <mergeCell ref="T2:V2"/>
    <mergeCell ref="W2:W3"/>
    <mergeCell ref="E13:G13"/>
    <mergeCell ref="H13:H14"/>
    <mergeCell ref="J13:L13"/>
    <mergeCell ref="M13:M14"/>
    <mergeCell ref="O2:Q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69194-B942-4E08-BE43-8342A2ED6DBD}">
  <dimension ref="A1"/>
  <sheetViews>
    <sheetView workbookViewId="0">
      <selection activeCell="L31" sqref="L31"/>
    </sheetView>
  </sheetViews>
  <sheetFormatPr defaultRowHeight="1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7CBC-182E-4017-BFC3-341CBDB45F5D}">
  <dimension ref="A1:L115"/>
  <sheetViews>
    <sheetView tabSelected="1" topLeftCell="A9" workbookViewId="0">
      <selection activeCell="D11" sqref="D11"/>
    </sheetView>
  </sheetViews>
  <sheetFormatPr defaultRowHeight="15"/>
  <cols>
    <col min="1" max="1" width="27.5703125" customWidth="1"/>
    <col min="2" max="2" width="18.42578125" customWidth="1"/>
    <col min="3" max="3" width="18.28515625" customWidth="1"/>
    <col min="8" max="9" width="9.140625" style="85"/>
    <col min="12" max="12" width="45.7109375" customWidth="1"/>
  </cols>
  <sheetData>
    <row r="1" spans="1:12">
      <c r="A1" s="108" t="s">
        <v>270</v>
      </c>
    </row>
    <row r="2" spans="1:12" s="85" customFormat="1">
      <c r="A2" s="108"/>
    </row>
    <row r="3" spans="1:12">
      <c r="B3" t="s">
        <v>276</v>
      </c>
      <c r="C3" t="s">
        <v>277</v>
      </c>
      <c r="E3" s="85" t="s">
        <v>286</v>
      </c>
      <c r="F3" s="85"/>
    </row>
    <row r="4" spans="1:12" ht="45">
      <c r="A4" t="s">
        <v>2</v>
      </c>
      <c r="B4">
        <v>0.76566702384402241</v>
      </c>
      <c r="C4">
        <v>1.3303802548195824</v>
      </c>
      <c r="F4" t="s">
        <v>280</v>
      </c>
      <c r="G4" t="s">
        <v>281</v>
      </c>
      <c r="H4" s="48" t="s">
        <v>284</v>
      </c>
      <c r="I4" s="48" t="s">
        <v>285</v>
      </c>
      <c r="J4" s="48" t="s">
        <v>282</v>
      </c>
      <c r="K4" s="48" t="s">
        <v>283</v>
      </c>
    </row>
    <row r="5" spans="1:12" ht="27.75" customHeight="1">
      <c r="A5" s="48" t="s">
        <v>278</v>
      </c>
      <c r="B5">
        <f>$B$11/B4</f>
        <v>1.1924243457897588</v>
      </c>
      <c r="C5" s="85">
        <f>$B$11/C4</f>
        <v>0.68626995679803982</v>
      </c>
      <c r="E5" t="s">
        <v>262</v>
      </c>
      <c r="F5">
        <v>2</v>
      </c>
      <c r="G5">
        <v>0.5</v>
      </c>
      <c r="H5" s="85">
        <v>0</v>
      </c>
      <c r="I5" s="85">
        <v>1</v>
      </c>
      <c r="J5" cm="1">
        <f t="array" ref="J5:K5">LINEST(H5:I5,F5:G5)</f>
        <v>-0.66666666666666685</v>
      </c>
      <c r="K5">
        <v>1.3333333333333335</v>
      </c>
      <c r="L5" s="145" t="s">
        <v>287</v>
      </c>
    </row>
    <row r="6" spans="1:12" ht="30">
      <c r="A6" s="48" t="s">
        <v>279</v>
      </c>
      <c r="B6">
        <f>$B$12*B4^2</f>
        <v>0.99368695542666607</v>
      </c>
      <c r="C6" s="85">
        <f>$B$12*C4^2</f>
        <v>3.0000001999914203</v>
      </c>
      <c r="E6" t="s">
        <v>263</v>
      </c>
      <c r="F6">
        <v>3</v>
      </c>
      <c r="G6">
        <v>0.5</v>
      </c>
      <c r="H6" s="85">
        <v>0</v>
      </c>
      <c r="I6" s="85">
        <v>1</v>
      </c>
      <c r="J6" s="85" cm="1">
        <f t="array" ref="J6:K6">LINEST(H6:I6,F6:G6)</f>
        <v>-0.39999999999999997</v>
      </c>
      <c r="K6" s="85">
        <v>1.2</v>
      </c>
    </row>
    <row r="7" spans="1:12">
      <c r="A7" t="s">
        <v>271</v>
      </c>
      <c r="B7">
        <f>IF(B5&lt;=G5,1,IF(B5&gt;=F5,0,J5*B5+K5))</f>
        <v>0.53838376947349409</v>
      </c>
      <c r="C7" s="85">
        <f>IF(C5&lt;=G5,1,IF(C5&gt;=F5,0,J5*C5+K5))</f>
        <v>0.87582002880130683</v>
      </c>
    </row>
    <row r="8" spans="1:12">
      <c r="A8" t="s">
        <v>272</v>
      </c>
      <c r="B8" s="85">
        <f>IF(B6&lt;=G6,1,IF(B6&gt;=F6,0,J6*B6+K6))</f>
        <v>0.80252521782933361</v>
      </c>
      <c r="C8" s="85">
        <f>IF(C6&lt;=G6,1,IF(C6&gt;=F6,0,J6*C6+K6))</f>
        <v>0</v>
      </c>
    </row>
    <row r="9" spans="1:12">
      <c r="A9" t="s">
        <v>273</v>
      </c>
      <c r="B9">
        <f>B8+B7</f>
        <v>1.3409089873028277</v>
      </c>
      <c r="C9" s="85">
        <f>C8+C7</f>
        <v>0.87582002880130683</v>
      </c>
    </row>
    <row r="11" spans="1:12">
      <c r="A11" t="s">
        <v>274</v>
      </c>
      <c r="B11">
        <v>0.91300000000000003</v>
      </c>
    </row>
    <row r="12" spans="1:12">
      <c r="A12" t="s">
        <v>275</v>
      </c>
      <c r="B12">
        <v>1.6950000000000001</v>
      </c>
    </row>
    <row r="14" spans="1:12">
      <c r="A14" t="s">
        <v>173</v>
      </c>
    </row>
    <row r="15" spans="1:12">
      <c r="B15" t="s">
        <v>2</v>
      </c>
      <c r="C15" t="s">
        <v>262</v>
      </c>
      <c r="D15" t="s">
        <v>263</v>
      </c>
      <c r="E15" t="s">
        <v>288</v>
      </c>
      <c r="F15" t="s">
        <v>289</v>
      </c>
      <c r="G15" t="s">
        <v>273</v>
      </c>
    </row>
    <row r="16" spans="1:12">
      <c r="B16">
        <v>0.5</v>
      </c>
      <c r="C16">
        <f>$B$11/B16</f>
        <v>1.8260000000000001</v>
      </c>
      <c r="D16">
        <f>$B$12*B16^2</f>
        <v>0.42375000000000002</v>
      </c>
      <c r="E16">
        <f>IF(C16&lt;=$G$5,1,IF(C16&gt;=$F$5,0,$J$5*C16+$K$5))</f>
        <v>0.11599999999999966</v>
      </c>
      <c r="F16" s="85">
        <f>IF(D16&lt;=$G$6,1,IF(D16&gt;=$F$6,0,$J$6*D16+$K$6))</f>
        <v>1</v>
      </c>
      <c r="G16">
        <f>E16+F16</f>
        <v>1.1159999999999997</v>
      </c>
    </row>
    <row r="17" spans="2:7">
      <c r="B17">
        <v>0.55000000000000004</v>
      </c>
      <c r="C17" s="85">
        <f>$B$11/B17</f>
        <v>1.66</v>
      </c>
      <c r="D17" s="85">
        <f>$B$12*B17^2</f>
        <v>0.51273750000000007</v>
      </c>
      <c r="E17" s="85">
        <f>IF(C17&lt;=$G$5,1,IF(C17&gt;=$F$5,0,$J$5*C17+$K$5))</f>
        <v>0.22666666666666657</v>
      </c>
      <c r="F17" s="85">
        <f>IF(D17&lt;=$G$6,1,IF(D17&gt;=$F$6,0,$J$6*D17+$K$6))</f>
        <v>0.99490499999999993</v>
      </c>
      <c r="G17" s="85">
        <f t="shared" ref="G17:G50" si="0">E17+F17</f>
        <v>1.2215716666666665</v>
      </c>
    </row>
    <row r="18" spans="2:7">
      <c r="B18" s="85">
        <v>0.6</v>
      </c>
      <c r="C18" s="85">
        <f>$B$11/B18</f>
        <v>1.5216666666666667</v>
      </c>
      <c r="D18" s="85">
        <f>$B$12*B18^2</f>
        <v>0.61019999999999996</v>
      </c>
      <c r="E18" s="85">
        <f>IF(C18&lt;=$G$5,1,IF(C18&gt;=$F$5,0,$J$5*C18+$K$5))</f>
        <v>0.31888888888888878</v>
      </c>
      <c r="F18" s="85">
        <f>IF(D18&lt;=$G$6,1,IF(D18&gt;=$F$6,0,$J$6*D18+$K$6))</f>
        <v>0.95591999999999999</v>
      </c>
      <c r="G18" s="85">
        <f t="shared" si="0"/>
        <v>1.2748088888888889</v>
      </c>
    </row>
    <row r="19" spans="2:7">
      <c r="B19" s="85">
        <v>0.65</v>
      </c>
      <c r="C19" s="85">
        <f>$B$11/B19</f>
        <v>1.4046153846153846</v>
      </c>
      <c r="D19" s="85">
        <f>$B$12*B19^2</f>
        <v>0.71613750000000009</v>
      </c>
      <c r="E19" s="85">
        <f>IF(C19&lt;=$G$5,1,IF(C19&gt;=$F$5,0,$J$5*C19+$K$5))</f>
        <v>0.39692307692307682</v>
      </c>
      <c r="F19" s="85">
        <f>IF(D19&lt;=$G$6,1,IF(D19&gt;=$F$6,0,$J$6*D19+$K$6))</f>
        <v>0.91354499999999994</v>
      </c>
      <c r="G19" s="85">
        <f t="shared" si="0"/>
        <v>1.3104680769230768</v>
      </c>
    </row>
    <row r="20" spans="2:7">
      <c r="B20" s="85">
        <v>0.7</v>
      </c>
      <c r="C20" s="85">
        <f>$B$11/B20</f>
        <v>1.3042857142857145</v>
      </c>
      <c r="D20" s="85">
        <f>$B$12*B20^2</f>
        <v>0.8305499999999999</v>
      </c>
      <c r="E20" s="85">
        <f>IF(C20&lt;=$G$5,1,IF(C20&gt;=$F$5,0,$J$5*C20+$K$5))</f>
        <v>0.46380952380952356</v>
      </c>
      <c r="F20" s="85">
        <f>IF(D20&lt;=$G$6,1,IF(D20&gt;=$F$6,0,$J$6*D20+$K$6))</f>
        <v>0.86778</v>
      </c>
      <c r="G20" s="85">
        <f t="shared" si="0"/>
        <v>1.3315895238095234</v>
      </c>
    </row>
    <row r="21" spans="2:7">
      <c r="B21" s="85">
        <v>0.75</v>
      </c>
      <c r="C21" s="85">
        <f>$B$11/B21</f>
        <v>1.2173333333333334</v>
      </c>
      <c r="D21" s="85">
        <f>$B$12*B21^2</f>
        <v>0.95343750000000005</v>
      </c>
      <c r="E21" s="85">
        <f>IF(C21&lt;=$G$5,1,IF(C21&gt;=$F$5,0,$J$5*C21+$K$5))</f>
        <v>0.52177777777777767</v>
      </c>
      <c r="F21" s="85">
        <f>IF(D21&lt;=$G$6,1,IF(D21&gt;=$F$6,0,$J$6*D21+$K$6))</f>
        <v>0.81862499999999994</v>
      </c>
      <c r="G21" s="85">
        <f t="shared" si="0"/>
        <v>1.3404027777777776</v>
      </c>
    </row>
    <row r="22" spans="2:7">
      <c r="B22" s="85">
        <v>0.8</v>
      </c>
      <c r="C22" s="85">
        <f>$B$11/B22</f>
        <v>1.1412499999999999</v>
      </c>
      <c r="D22" s="85">
        <f>$B$12*B22^2</f>
        <v>1.0848000000000002</v>
      </c>
      <c r="E22" s="85">
        <f>IF(C22&lt;=$G$5,1,IF(C22&gt;=$F$5,0,$J$5*C22+$K$5))</f>
        <v>0.57250000000000001</v>
      </c>
      <c r="F22" s="85">
        <f>IF(D22&lt;=$G$6,1,IF(D22&gt;=$F$6,0,$J$6*D22+$K$6))</f>
        <v>0.76607999999999987</v>
      </c>
      <c r="G22" s="85">
        <f t="shared" si="0"/>
        <v>1.3385799999999999</v>
      </c>
    </row>
    <row r="23" spans="2:7">
      <c r="B23" s="85">
        <v>0.85</v>
      </c>
      <c r="C23" s="85">
        <f>$B$11/B23</f>
        <v>1.0741176470588236</v>
      </c>
      <c r="D23" s="85">
        <f>$B$12*B23^2</f>
        <v>1.2246374999999998</v>
      </c>
      <c r="E23" s="85">
        <f>IF(C23&lt;=$G$5,1,IF(C23&gt;=$F$5,0,$J$5*C23+$K$5))</f>
        <v>0.61725490196078425</v>
      </c>
      <c r="F23" s="85">
        <f>IF(D23&lt;=$G$6,1,IF(D23&gt;=$F$6,0,$J$6*D23+$K$6))</f>
        <v>0.71014500000000003</v>
      </c>
      <c r="G23" s="85">
        <f t="shared" si="0"/>
        <v>1.3273999019607843</v>
      </c>
    </row>
    <row r="24" spans="2:7">
      <c r="B24" s="85">
        <v>0.9</v>
      </c>
      <c r="C24" s="85">
        <f>$B$11/B24</f>
        <v>1.0144444444444445</v>
      </c>
      <c r="D24" s="85">
        <f>$B$12*B24^2</f>
        <v>1.3729500000000001</v>
      </c>
      <c r="E24" s="85">
        <f>IF(C24&lt;=$G$5,1,IF(C24&gt;=$F$5,0,$J$5*C24+$K$5))</f>
        <v>0.65703703703703698</v>
      </c>
      <c r="F24" s="85">
        <f>IF(D24&lt;=$G$6,1,IF(D24&gt;=$F$6,0,$J$6*D24+$K$6))</f>
        <v>0.65081999999999995</v>
      </c>
      <c r="G24" s="85">
        <f t="shared" si="0"/>
        <v>1.3078570370370368</v>
      </c>
    </row>
    <row r="25" spans="2:7">
      <c r="B25" s="85">
        <v>0.95</v>
      </c>
      <c r="C25" s="85">
        <f>$B$11/B25</f>
        <v>0.96105263157894749</v>
      </c>
      <c r="D25" s="85">
        <f>$B$12*B25^2</f>
        <v>1.5297375</v>
      </c>
      <c r="E25" s="85">
        <f>IF(C25&lt;=$G$5,1,IF(C25&gt;=$F$5,0,$J$5*C25+$K$5))</f>
        <v>0.69263157894736826</v>
      </c>
      <c r="F25" s="85">
        <f>IF(D25&lt;=$G$6,1,IF(D25&gt;=$F$6,0,$J$6*D25+$K$6))</f>
        <v>0.58810499999999999</v>
      </c>
      <c r="G25" s="85">
        <f t="shared" si="0"/>
        <v>1.2807365789473684</v>
      </c>
    </row>
    <row r="26" spans="2:7">
      <c r="B26" s="85">
        <v>1</v>
      </c>
      <c r="C26" s="85">
        <f>$B$11/B26</f>
        <v>0.91300000000000003</v>
      </c>
      <c r="D26" s="85">
        <f>$B$12*B26^2</f>
        <v>1.6950000000000001</v>
      </c>
      <c r="E26" s="85">
        <f>IF(C26&lt;=$G$5,1,IF(C26&gt;=$F$5,0,$J$5*C26+$K$5))</f>
        <v>0.72466666666666657</v>
      </c>
      <c r="F26" s="85">
        <f>IF(D26&lt;=$G$6,1,IF(D26&gt;=$F$6,0,$J$6*D26+$K$6))</f>
        <v>0.52200000000000002</v>
      </c>
      <c r="G26" s="85">
        <f t="shared" si="0"/>
        <v>1.2466666666666666</v>
      </c>
    </row>
    <row r="27" spans="2:7">
      <c r="B27" s="85">
        <v>1.05</v>
      </c>
      <c r="C27" s="85">
        <f>$B$11/B27</f>
        <v>0.86952380952380948</v>
      </c>
      <c r="D27" s="85">
        <f>$B$12*B27^2</f>
        <v>1.8687375000000002</v>
      </c>
      <c r="E27" s="85">
        <f>IF(C27&lt;=$G$5,1,IF(C27&gt;=$F$5,0,$J$5*C27+$K$5))</f>
        <v>0.75365079365079368</v>
      </c>
      <c r="F27" s="85">
        <f>IF(D27&lt;=$G$6,1,IF(D27&gt;=$F$6,0,$J$6*D27+$K$6))</f>
        <v>0.45250499999999994</v>
      </c>
      <c r="G27" s="85">
        <f t="shared" si="0"/>
        <v>1.2061557936507936</v>
      </c>
    </row>
    <row r="28" spans="2:7">
      <c r="B28" s="85">
        <v>1.1000000000000001</v>
      </c>
      <c r="C28" s="85">
        <f>$B$11/B28</f>
        <v>0.83</v>
      </c>
      <c r="D28" s="85">
        <f>$B$12*B28^2</f>
        <v>2.0509500000000003</v>
      </c>
      <c r="E28" s="85">
        <f>IF(C28&lt;=$G$5,1,IF(C28&gt;=$F$5,0,$J$5*C28+$K$5))</f>
        <v>0.78</v>
      </c>
      <c r="F28" s="85">
        <f>IF(D28&lt;=$G$6,1,IF(D28&gt;=$F$6,0,$J$6*D28+$K$6))</f>
        <v>0.37961999999999996</v>
      </c>
      <c r="G28" s="85">
        <f t="shared" si="0"/>
        <v>1.1596199999999999</v>
      </c>
    </row>
    <row r="29" spans="2:7">
      <c r="B29" s="85">
        <v>1.1499999999999999</v>
      </c>
      <c r="C29" s="85">
        <f>$B$11/B29</f>
        <v>0.79391304347826097</v>
      </c>
      <c r="D29" s="85">
        <f>$B$12*B29^2</f>
        <v>2.2416374999999995</v>
      </c>
      <c r="E29" s="85">
        <f>IF(C29&lt;=$G$5,1,IF(C29&gt;=$F$5,0,$J$5*C29+$K$5))</f>
        <v>0.80405797101449272</v>
      </c>
      <c r="F29" s="85">
        <f>IF(D29&lt;=$G$6,1,IF(D29&gt;=$F$6,0,$J$6*D29+$K$6))</f>
        <v>0.3033450000000002</v>
      </c>
      <c r="G29" s="85">
        <f t="shared" si="0"/>
        <v>1.1074029710144928</v>
      </c>
    </row>
    <row r="30" spans="2:7">
      <c r="B30" s="85">
        <v>1.2</v>
      </c>
      <c r="C30" s="85">
        <f>$B$11/B30</f>
        <v>0.76083333333333336</v>
      </c>
      <c r="D30" s="85">
        <f>$B$12*B30^2</f>
        <v>2.4407999999999999</v>
      </c>
      <c r="E30" s="85">
        <f>IF(C30&lt;=$G$5,1,IF(C30&gt;=$F$5,0,$J$5*C30+$K$5))</f>
        <v>0.82611111111111113</v>
      </c>
      <c r="F30" s="85">
        <f>IF(D30&lt;=$G$6,1,IF(D30&gt;=$F$6,0,$J$6*D30+$K$6))</f>
        <v>0.2236800000000001</v>
      </c>
      <c r="G30" s="85">
        <f t="shared" si="0"/>
        <v>1.0497911111111113</v>
      </c>
    </row>
    <row r="31" spans="2:7">
      <c r="B31" s="85">
        <v>1.25</v>
      </c>
      <c r="C31" s="85">
        <f>$B$11/B31</f>
        <v>0.73040000000000005</v>
      </c>
      <c r="D31" s="85">
        <f>$B$12*B31^2</f>
        <v>2.6484375</v>
      </c>
      <c r="E31" s="85">
        <f>IF(C31&lt;=$G$5,1,IF(C31&gt;=$F$5,0,$J$5*C31+$K$5))</f>
        <v>0.84640000000000004</v>
      </c>
      <c r="F31" s="85">
        <f>IF(D31&lt;=$G$6,1,IF(D31&gt;=$F$6,0,$J$6*D31+$K$6))</f>
        <v>0.140625</v>
      </c>
      <c r="G31" s="85">
        <f t="shared" si="0"/>
        <v>0.98702500000000004</v>
      </c>
    </row>
    <row r="32" spans="2:7">
      <c r="B32" s="85">
        <v>1.3</v>
      </c>
      <c r="C32" s="85">
        <f>$B$11/B32</f>
        <v>0.7023076923076923</v>
      </c>
      <c r="D32" s="85">
        <f>$B$12*B32^2</f>
        <v>2.8645500000000004</v>
      </c>
      <c r="E32" s="85">
        <f>IF(C32&lt;=$G$5,1,IF(C32&gt;=$F$5,0,$J$5*C32+$K$5))</f>
        <v>0.86512820512820521</v>
      </c>
      <c r="F32" s="85">
        <f>IF(D32&lt;=$G$6,1,IF(D32&gt;=$F$6,0,$J$6*D32+$K$6))</f>
        <v>5.4179999999999895E-2</v>
      </c>
      <c r="G32" s="85">
        <f t="shared" si="0"/>
        <v>0.9193082051282051</v>
      </c>
    </row>
    <row r="33" spans="2:7">
      <c r="B33" s="85">
        <v>1.35</v>
      </c>
      <c r="C33" s="85">
        <f>$B$11/B33</f>
        <v>0.67629629629629628</v>
      </c>
      <c r="D33" s="85">
        <f>$B$12*B33^2</f>
        <v>3.0891375000000005</v>
      </c>
      <c r="E33" s="85">
        <f>IF(C33&lt;=$G$5,1,IF(C33&gt;=$F$5,0,$J$5*C33+$K$5))</f>
        <v>0.88246913580246922</v>
      </c>
      <c r="F33" s="85">
        <f>IF(D33&lt;=$G$6,1,IF(D33&gt;=$F$6,0,$J$6*D33+$K$6))</f>
        <v>0</v>
      </c>
      <c r="G33" s="85">
        <f t="shared" si="0"/>
        <v>0.88246913580246922</v>
      </c>
    </row>
    <row r="34" spans="2:7">
      <c r="B34" s="85">
        <v>1.4</v>
      </c>
      <c r="C34" s="85">
        <f>$B$11/B34</f>
        <v>0.65214285714285725</v>
      </c>
      <c r="D34" s="85">
        <f>$B$12*B34^2</f>
        <v>3.3221999999999996</v>
      </c>
      <c r="E34" s="85">
        <f>IF(C34&lt;=$G$5,1,IF(C34&gt;=$F$5,0,$J$5*C34+$K$5))</f>
        <v>0.89857142857142858</v>
      </c>
      <c r="F34" s="85">
        <f>IF(D34&lt;=$G$6,1,IF(D34&gt;=$F$6,0,$J$6*D34+$K$6))</f>
        <v>0</v>
      </c>
      <c r="G34" s="85">
        <f t="shared" si="0"/>
        <v>0.89857142857142858</v>
      </c>
    </row>
    <row r="35" spans="2:7">
      <c r="B35" s="85">
        <v>1.45</v>
      </c>
      <c r="C35" s="85">
        <f>$B$11/B35</f>
        <v>0.6296551724137931</v>
      </c>
      <c r="D35" s="85">
        <f>$B$12*B35^2</f>
        <v>3.5637375000000002</v>
      </c>
      <c r="E35" s="85">
        <f>IF(C35&lt;=$G$5,1,IF(C35&gt;=$F$5,0,$J$5*C35+$K$5))</f>
        <v>0.91356321839080468</v>
      </c>
      <c r="F35" s="85">
        <f>IF(D35&lt;=$G$6,1,IF(D35&gt;=$F$6,0,$J$6*D35+$K$6))</f>
        <v>0</v>
      </c>
      <c r="G35" s="85">
        <f t="shared" si="0"/>
        <v>0.91356321839080468</v>
      </c>
    </row>
    <row r="36" spans="2:7">
      <c r="B36" s="85">
        <v>1.5</v>
      </c>
      <c r="C36" s="85">
        <f>$B$11/B36</f>
        <v>0.60866666666666669</v>
      </c>
      <c r="D36" s="85">
        <f>$B$12*B36^2</f>
        <v>3.8137500000000002</v>
      </c>
      <c r="E36" s="85">
        <f>IF(C36&lt;=$G$5,1,IF(C36&gt;=$F$5,0,$J$5*C36+$K$5))</f>
        <v>0.92755555555555558</v>
      </c>
      <c r="F36" s="85">
        <f>IF(D36&lt;=$G$6,1,IF(D36&gt;=$F$6,0,$J$6*D36+$K$6))</f>
        <v>0</v>
      </c>
      <c r="G36" s="85">
        <f t="shared" si="0"/>
        <v>0.92755555555555558</v>
      </c>
    </row>
    <row r="37" spans="2:7">
      <c r="B37" s="85">
        <v>1.55</v>
      </c>
      <c r="C37" s="85">
        <f>$B$11/B37</f>
        <v>0.58903225806451609</v>
      </c>
      <c r="D37" s="85">
        <f>$B$12*B37^2</f>
        <v>4.0722375000000008</v>
      </c>
      <c r="E37" s="85">
        <f>IF(C37&lt;=$G$5,1,IF(C37&gt;=$F$5,0,$J$5*C37+$K$5))</f>
        <v>0.94064516129032261</v>
      </c>
      <c r="F37" s="85">
        <f>IF(D37&lt;=$G$6,1,IF(D37&gt;=$F$6,0,$J$6*D37+$K$6))</f>
        <v>0</v>
      </c>
      <c r="G37" s="85">
        <f t="shared" si="0"/>
        <v>0.94064516129032261</v>
      </c>
    </row>
    <row r="38" spans="2:7">
      <c r="B38" s="85">
        <v>1.6</v>
      </c>
      <c r="C38" s="85">
        <f>$B$11/B38</f>
        <v>0.57062499999999994</v>
      </c>
      <c r="D38" s="85">
        <f>$B$12*B38^2</f>
        <v>4.3392000000000008</v>
      </c>
      <c r="E38" s="85">
        <f>IF(C38&lt;=$G$5,1,IF(C38&gt;=$F$5,0,$J$5*C38+$K$5))</f>
        <v>0.95291666666666675</v>
      </c>
      <c r="F38" s="85">
        <f>IF(D38&lt;=$G$6,1,IF(D38&gt;=$F$6,0,$J$6*D38+$K$6))</f>
        <v>0</v>
      </c>
      <c r="G38" s="85">
        <f t="shared" si="0"/>
        <v>0.95291666666666675</v>
      </c>
    </row>
    <row r="39" spans="2:7">
      <c r="B39" s="85">
        <v>1.65</v>
      </c>
      <c r="C39" s="85">
        <f>$B$11/B39</f>
        <v>0.55333333333333334</v>
      </c>
      <c r="D39" s="85">
        <f>$B$12*B39^2</f>
        <v>4.6146374999999997</v>
      </c>
      <c r="E39" s="85">
        <f>IF(C39&lt;=$G$5,1,IF(C39&gt;=$F$5,0,$J$5*C39+$K$5))</f>
        <v>0.96444444444444444</v>
      </c>
      <c r="F39" s="85">
        <f>IF(D39&lt;=$G$6,1,IF(D39&gt;=$F$6,0,$J$6*D39+$K$6))</f>
        <v>0</v>
      </c>
      <c r="G39" s="85">
        <f t="shared" si="0"/>
        <v>0.96444444444444444</v>
      </c>
    </row>
    <row r="40" spans="2:7">
      <c r="B40" s="85">
        <v>1.7</v>
      </c>
      <c r="C40" s="85">
        <f>$B$11/B40</f>
        <v>0.53705882352941181</v>
      </c>
      <c r="D40" s="85">
        <f>$B$12*B40^2</f>
        <v>4.8985499999999993</v>
      </c>
      <c r="E40" s="85">
        <f>IF(C40&lt;=$G$5,1,IF(C40&gt;=$F$5,0,$J$5*C40+$K$5))</f>
        <v>0.97529411764705887</v>
      </c>
      <c r="F40" s="85">
        <f>IF(D40&lt;=$G$6,1,IF(D40&gt;=$F$6,0,$J$6*D40+$K$6))</f>
        <v>0</v>
      </c>
      <c r="G40" s="85">
        <f t="shared" si="0"/>
        <v>0.97529411764705887</v>
      </c>
    </row>
    <row r="41" spans="2:7">
      <c r="B41" s="85">
        <v>1.75</v>
      </c>
      <c r="C41" s="85">
        <f>$B$11/B41</f>
        <v>0.52171428571428569</v>
      </c>
      <c r="D41" s="85">
        <f>$B$12*B41^2</f>
        <v>5.1909375000000004</v>
      </c>
      <c r="E41" s="85">
        <f>IF(C41&lt;=$G$5,1,IF(C41&gt;=$F$5,0,$J$5*C41+$K$5))</f>
        <v>0.98552380952380958</v>
      </c>
      <c r="F41" s="85">
        <f>IF(D41&lt;=$G$6,1,IF(D41&gt;=$F$6,0,$J$6*D41+$K$6))</f>
        <v>0</v>
      </c>
      <c r="G41" s="85">
        <f t="shared" si="0"/>
        <v>0.98552380952380958</v>
      </c>
    </row>
    <row r="42" spans="2:7">
      <c r="B42" s="85">
        <v>1.8</v>
      </c>
      <c r="C42" s="85">
        <f>$B$11/B42</f>
        <v>0.50722222222222224</v>
      </c>
      <c r="D42" s="85">
        <f>$B$12*B42^2</f>
        <v>5.4918000000000005</v>
      </c>
      <c r="E42" s="85">
        <f>IF(C42&lt;=$G$5,1,IF(C42&gt;=$F$5,0,$J$5*C42+$K$5))</f>
        <v>0.99518518518518517</v>
      </c>
      <c r="F42" s="85">
        <f>IF(D42&lt;=$G$6,1,IF(D42&gt;=$F$6,0,$J$6*D42+$K$6))</f>
        <v>0</v>
      </c>
      <c r="G42" s="85">
        <f t="shared" si="0"/>
        <v>0.99518518518518517</v>
      </c>
    </row>
    <row r="43" spans="2:7">
      <c r="B43" s="85">
        <v>1.85</v>
      </c>
      <c r="C43" s="85">
        <f>$B$11/B43</f>
        <v>0.49351351351351352</v>
      </c>
      <c r="D43" s="85">
        <f>$B$12*B43^2</f>
        <v>5.8011375000000012</v>
      </c>
      <c r="E43" s="85">
        <f>IF(C43&lt;=$G$5,1,IF(C43&gt;=$F$5,0,$J$5*C43+$K$5))</f>
        <v>1</v>
      </c>
      <c r="F43" s="85">
        <f>IF(D43&lt;=$G$6,1,IF(D43&gt;=$F$6,0,$J$6*D43+$K$6))</f>
        <v>0</v>
      </c>
      <c r="G43" s="85">
        <f t="shared" si="0"/>
        <v>1</v>
      </c>
    </row>
    <row r="44" spans="2:7">
      <c r="B44" s="85">
        <v>1.9</v>
      </c>
      <c r="C44" s="85">
        <f>$B$11/B44</f>
        <v>0.48052631578947375</v>
      </c>
      <c r="D44" s="85">
        <f>$B$12*B44^2</f>
        <v>6.1189499999999999</v>
      </c>
      <c r="E44" s="85">
        <f>IF(C44&lt;=$G$5,1,IF(C44&gt;=$F$5,0,$J$5*C44+$K$5))</f>
        <v>1</v>
      </c>
      <c r="F44" s="85">
        <f>IF(D44&lt;=$G$6,1,IF(D44&gt;=$F$6,0,$J$6*D44+$K$6))</f>
        <v>0</v>
      </c>
      <c r="G44" s="85">
        <f t="shared" si="0"/>
        <v>1</v>
      </c>
    </row>
    <row r="45" spans="2:7">
      <c r="B45" s="85">
        <v>1.95</v>
      </c>
      <c r="C45" s="85">
        <f>$B$11/B45</f>
        <v>0.46820512820512822</v>
      </c>
      <c r="D45" s="85">
        <f>$B$12*B45^2</f>
        <v>6.4452375000000002</v>
      </c>
      <c r="E45" s="85">
        <f>IF(C45&lt;=$G$5,1,IF(C45&gt;=$F$5,0,$J$5*C45+$K$5))</f>
        <v>1</v>
      </c>
      <c r="F45" s="85">
        <f>IF(D45&lt;=$G$6,1,IF(D45&gt;=$F$6,0,$J$6*D45+$K$6))</f>
        <v>0</v>
      </c>
      <c r="G45" s="85">
        <f t="shared" si="0"/>
        <v>1</v>
      </c>
    </row>
    <row r="46" spans="2:7">
      <c r="B46" s="85">
        <v>2</v>
      </c>
      <c r="C46" s="85">
        <f>$B$11/B46</f>
        <v>0.45650000000000002</v>
      </c>
      <c r="D46" s="85">
        <f>$B$12*B46^2</f>
        <v>6.78</v>
      </c>
      <c r="E46" s="85">
        <f>IF(C46&lt;=$G$5,1,IF(C46&gt;=$F$5,0,$J$5*C46+$K$5))</f>
        <v>1</v>
      </c>
      <c r="F46" s="85">
        <f>IF(D46&lt;=$G$6,1,IF(D46&gt;=$F$6,0,$J$6*D46+$K$6))</f>
        <v>0</v>
      </c>
      <c r="G46" s="85">
        <f t="shared" si="0"/>
        <v>1</v>
      </c>
    </row>
    <row r="47" spans="2:7">
      <c r="B47" s="85">
        <v>2.0499999999999998</v>
      </c>
      <c r="C47" s="85">
        <f>$B$11/B47</f>
        <v>0.44536585365853665</v>
      </c>
      <c r="D47" s="85">
        <f>$B$12*B47^2</f>
        <v>7.1232375000000001</v>
      </c>
      <c r="E47" s="85">
        <f>IF(C47&lt;=$G$5,1,IF(C47&gt;=$F$5,0,$J$5*C47+$K$5))</f>
        <v>1</v>
      </c>
      <c r="F47" s="85">
        <f>IF(D47&lt;=$G$6,1,IF(D47&gt;=$F$6,0,$J$6*D47+$K$6))</f>
        <v>0</v>
      </c>
      <c r="G47" s="85">
        <f t="shared" si="0"/>
        <v>1</v>
      </c>
    </row>
    <row r="48" spans="2:7">
      <c r="B48" s="85">
        <v>2.1</v>
      </c>
      <c r="C48" s="85">
        <f>$B$11/B48</f>
        <v>0.43476190476190474</v>
      </c>
      <c r="D48" s="85">
        <f>$B$12*B48^2</f>
        <v>7.4749500000000006</v>
      </c>
      <c r="E48" s="85">
        <f>IF(C48&lt;=$G$5,1,IF(C48&gt;=$F$5,0,$J$5*C48+$K$5))</f>
        <v>1</v>
      </c>
      <c r="F48" s="85">
        <f>IF(D48&lt;=$G$6,1,IF(D48&gt;=$F$6,0,$J$6*D48+$K$6))</f>
        <v>0</v>
      </c>
      <c r="G48" s="85">
        <f t="shared" si="0"/>
        <v>1</v>
      </c>
    </row>
    <row r="49" spans="2:7">
      <c r="B49" s="85">
        <v>2.15</v>
      </c>
      <c r="C49" s="85">
        <f>$B$11/B49</f>
        <v>0.4246511627906977</v>
      </c>
      <c r="D49" s="85">
        <f>$B$12*B49^2</f>
        <v>7.8351374999999992</v>
      </c>
      <c r="E49" s="85">
        <f>IF(C49&lt;=$G$5,1,IF(C49&gt;=$F$5,0,$J$5*C49+$K$5))</f>
        <v>1</v>
      </c>
      <c r="F49" s="85">
        <f>IF(D49&lt;=$G$6,1,IF(D49&gt;=$F$6,0,$J$6*D49+$K$6))</f>
        <v>0</v>
      </c>
      <c r="G49" s="85">
        <f t="shared" si="0"/>
        <v>1</v>
      </c>
    </row>
    <row r="50" spans="2:7">
      <c r="B50" s="85">
        <v>2.2000000000000002</v>
      </c>
      <c r="C50" s="85">
        <f>$B$11/B50</f>
        <v>0.41499999999999998</v>
      </c>
      <c r="D50" s="85">
        <f>$B$12*B50^2</f>
        <v>8.2038000000000011</v>
      </c>
      <c r="E50" s="85">
        <f>IF(C50&lt;=$G$5,1,IF(C50&gt;=$F$5,0,$J$5*C50+$K$5))</f>
        <v>1</v>
      </c>
      <c r="F50" s="85">
        <f>IF(D50&lt;=$G$6,1,IF(D50&gt;=$F$6,0,$J$6*D50+$K$6))</f>
        <v>0</v>
      </c>
      <c r="G50" s="85">
        <f t="shared" si="0"/>
        <v>1</v>
      </c>
    </row>
    <row r="51" spans="2:7">
      <c r="C51" s="85"/>
      <c r="D51" s="85"/>
      <c r="E51" s="85"/>
      <c r="F51" s="85"/>
      <c r="G51" s="85"/>
    </row>
    <row r="52" spans="2:7">
      <c r="C52" s="85"/>
      <c r="D52" s="85"/>
      <c r="E52" s="85"/>
      <c r="F52" s="85"/>
      <c r="G52" s="85"/>
    </row>
    <row r="53" spans="2:7">
      <c r="C53" s="85"/>
      <c r="D53" s="85"/>
      <c r="E53" s="85"/>
      <c r="F53" s="85"/>
      <c r="G53" s="85"/>
    </row>
    <row r="54" spans="2:7">
      <c r="C54" s="85"/>
      <c r="D54" s="85"/>
      <c r="E54" s="85"/>
      <c r="F54" s="85"/>
      <c r="G54" s="85"/>
    </row>
    <row r="55" spans="2:7">
      <c r="C55" s="85"/>
      <c r="D55" s="85"/>
      <c r="E55" s="85"/>
      <c r="F55" s="85"/>
      <c r="G55" s="85"/>
    </row>
    <row r="56" spans="2:7">
      <c r="C56" s="85"/>
      <c r="D56" s="85"/>
      <c r="E56" s="85"/>
      <c r="F56" s="85"/>
      <c r="G56" s="85"/>
    </row>
    <row r="57" spans="2:7">
      <c r="C57" s="85"/>
      <c r="D57" s="85"/>
      <c r="E57" s="85"/>
      <c r="F57" s="85"/>
      <c r="G57" s="85"/>
    </row>
    <row r="58" spans="2:7">
      <c r="C58" s="85"/>
      <c r="D58" s="85"/>
      <c r="E58" s="85"/>
      <c r="F58" s="85"/>
      <c r="G58" s="85"/>
    </row>
    <row r="59" spans="2:7">
      <c r="C59" s="85"/>
      <c r="D59" s="85"/>
      <c r="E59" s="85"/>
      <c r="F59" s="85"/>
      <c r="G59" s="85"/>
    </row>
    <row r="60" spans="2:7">
      <c r="C60" s="85"/>
      <c r="D60" s="85"/>
      <c r="E60" s="85"/>
      <c r="F60" s="85"/>
      <c r="G60" s="85"/>
    </row>
    <row r="61" spans="2:7">
      <c r="C61" s="85"/>
      <c r="D61" s="85"/>
      <c r="E61" s="85"/>
      <c r="F61" s="85"/>
      <c r="G61" s="85"/>
    </row>
    <row r="62" spans="2:7">
      <c r="C62" s="85"/>
      <c r="D62" s="85"/>
      <c r="E62" s="85"/>
      <c r="F62" s="85"/>
      <c r="G62" s="85"/>
    </row>
    <row r="63" spans="2:7">
      <c r="C63" s="85"/>
      <c r="D63" s="85"/>
      <c r="E63" s="85"/>
      <c r="F63" s="85"/>
      <c r="G63" s="85"/>
    </row>
    <row r="64" spans="2:7">
      <c r="C64" s="85"/>
      <c r="D64" s="85"/>
      <c r="E64" s="85"/>
      <c r="F64" s="85"/>
      <c r="G64" s="85"/>
    </row>
    <row r="65" spans="3:7">
      <c r="C65" s="85"/>
      <c r="D65" s="85"/>
      <c r="E65" s="85"/>
      <c r="F65" s="85"/>
      <c r="G65" s="85"/>
    </row>
    <row r="66" spans="3:7">
      <c r="C66" s="85"/>
      <c r="D66" s="85"/>
      <c r="E66" s="85"/>
      <c r="F66" s="85"/>
      <c r="G66" s="85"/>
    </row>
    <row r="67" spans="3:7">
      <c r="C67" s="85"/>
      <c r="D67" s="85"/>
      <c r="E67" s="85"/>
      <c r="F67" s="85"/>
      <c r="G67" s="85"/>
    </row>
    <row r="68" spans="3:7">
      <c r="C68" s="85"/>
      <c r="D68" s="85"/>
      <c r="E68" s="85"/>
      <c r="F68" s="85"/>
      <c r="G68" s="85"/>
    </row>
    <row r="69" spans="3:7">
      <c r="C69" s="85"/>
      <c r="D69" s="85"/>
      <c r="E69" s="85"/>
      <c r="F69" s="85"/>
      <c r="G69" s="85"/>
    </row>
    <row r="70" spans="3:7">
      <c r="C70" s="85"/>
      <c r="D70" s="85"/>
      <c r="E70" s="85"/>
      <c r="F70" s="85"/>
      <c r="G70" s="85"/>
    </row>
    <row r="71" spans="3:7">
      <c r="C71" s="85"/>
      <c r="D71" s="85"/>
      <c r="E71" s="85"/>
      <c r="F71" s="85"/>
      <c r="G71" s="85"/>
    </row>
    <row r="72" spans="3:7">
      <c r="C72" s="85"/>
      <c r="D72" s="85"/>
      <c r="E72" s="85"/>
      <c r="F72" s="85"/>
      <c r="G72" s="85"/>
    </row>
    <row r="73" spans="3:7">
      <c r="C73" s="85"/>
      <c r="D73" s="85"/>
      <c r="E73" s="85"/>
      <c r="F73" s="85"/>
      <c r="G73" s="85"/>
    </row>
    <row r="74" spans="3:7">
      <c r="C74" s="85"/>
      <c r="D74" s="85"/>
      <c r="E74" s="85"/>
      <c r="F74" s="85"/>
      <c r="G74" s="85"/>
    </row>
    <row r="75" spans="3:7">
      <c r="C75" s="85"/>
      <c r="D75" s="85"/>
      <c r="E75" s="85"/>
      <c r="F75" s="85"/>
      <c r="G75" s="85"/>
    </row>
    <row r="76" spans="3:7">
      <c r="C76" s="85"/>
      <c r="D76" s="85"/>
      <c r="E76" s="85"/>
      <c r="F76" s="85"/>
      <c r="G76" s="85"/>
    </row>
    <row r="77" spans="3:7">
      <c r="C77" s="85"/>
      <c r="D77" s="85"/>
      <c r="E77" s="85"/>
      <c r="F77" s="85"/>
      <c r="G77" s="85"/>
    </row>
    <row r="78" spans="3:7">
      <c r="C78" s="85"/>
      <c r="D78" s="85"/>
      <c r="E78" s="85"/>
      <c r="F78" s="85"/>
      <c r="G78" s="85"/>
    </row>
    <row r="79" spans="3:7">
      <c r="C79" s="85"/>
      <c r="D79" s="85"/>
      <c r="E79" s="85"/>
      <c r="F79" s="85"/>
      <c r="G79" s="85"/>
    </row>
    <row r="80" spans="3:7">
      <c r="C80" s="85"/>
      <c r="D80" s="85"/>
      <c r="E80" s="85"/>
      <c r="F80" s="85"/>
      <c r="G80" s="85"/>
    </row>
    <row r="81" spans="3:7">
      <c r="C81" s="85"/>
      <c r="D81" s="85"/>
      <c r="E81" s="85"/>
      <c r="F81" s="85"/>
      <c r="G81" s="85"/>
    </row>
    <row r="82" spans="3:7">
      <c r="C82" s="85"/>
      <c r="D82" s="85"/>
      <c r="E82" s="85"/>
      <c r="F82" s="85"/>
      <c r="G82" s="85"/>
    </row>
    <row r="83" spans="3:7">
      <c r="C83" s="85"/>
      <c r="D83" s="85"/>
      <c r="E83" s="85"/>
      <c r="F83" s="85"/>
      <c r="G83" s="85"/>
    </row>
    <row r="84" spans="3:7">
      <c r="C84" s="85"/>
      <c r="D84" s="85"/>
      <c r="E84" s="85"/>
      <c r="F84" s="85"/>
      <c r="G84" s="85"/>
    </row>
    <row r="85" spans="3:7">
      <c r="C85" s="85"/>
      <c r="D85" s="85"/>
      <c r="E85" s="85"/>
      <c r="F85" s="85"/>
      <c r="G85" s="85"/>
    </row>
    <row r="86" spans="3:7">
      <c r="C86" s="85"/>
      <c r="D86" s="85"/>
      <c r="E86" s="85"/>
      <c r="F86" s="85"/>
      <c r="G86" s="85"/>
    </row>
    <row r="87" spans="3:7">
      <c r="C87" s="85"/>
      <c r="D87" s="85"/>
      <c r="E87" s="85"/>
      <c r="F87" s="85"/>
      <c r="G87" s="85"/>
    </row>
    <row r="88" spans="3:7">
      <c r="C88" s="85"/>
      <c r="D88" s="85"/>
      <c r="E88" s="85"/>
      <c r="F88" s="85"/>
      <c r="G88" s="85"/>
    </row>
    <row r="89" spans="3:7">
      <c r="C89" s="85"/>
      <c r="D89" s="85"/>
      <c r="E89" s="85"/>
      <c r="F89" s="85"/>
      <c r="G89" s="85"/>
    </row>
    <row r="90" spans="3:7">
      <c r="C90" s="85"/>
      <c r="D90" s="85"/>
      <c r="E90" s="85"/>
      <c r="F90" s="85"/>
      <c r="G90" s="85"/>
    </row>
    <row r="91" spans="3:7">
      <c r="C91" s="85"/>
      <c r="D91" s="85"/>
      <c r="E91" s="85"/>
      <c r="F91" s="85"/>
      <c r="G91" s="85"/>
    </row>
    <row r="92" spans="3:7">
      <c r="C92" s="85"/>
      <c r="D92" s="85"/>
      <c r="E92" s="85"/>
      <c r="F92" s="85"/>
      <c r="G92" s="85"/>
    </row>
    <row r="93" spans="3:7">
      <c r="C93" s="85"/>
      <c r="D93" s="85"/>
      <c r="E93" s="85"/>
      <c r="F93" s="85"/>
      <c r="G93" s="85"/>
    </row>
    <row r="94" spans="3:7">
      <c r="C94" s="85"/>
      <c r="D94" s="85"/>
      <c r="E94" s="85"/>
      <c r="F94" s="85"/>
      <c r="G94" s="85"/>
    </row>
    <row r="95" spans="3:7">
      <c r="C95" s="85"/>
      <c r="D95" s="85"/>
      <c r="E95" s="85"/>
      <c r="F95" s="85"/>
      <c r="G95" s="85"/>
    </row>
    <row r="96" spans="3:7">
      <c r="C96" s="85"/>
      <c r="D96" s="85"/>
      <c r="E96" s="85"/>
      <c r="F96" s="85"/>
      <c r="G96" s="85"/>
    </row>
    <row r="97" spans="3:7">
      <c r="C97" s="85"/>
      <c r="D97" s="85"/>
      <c r="E97" s="85"/>
      <c r="F97" s="85"/>
      <c r="G97" s="85"/>
    </row>
    <row r="98" spans="3:7">
      <c r="C98" s="85"/>
      <c r="D98" s="85"/>
      <c r="E98" s="85"/>
      <c r="F98" s="85"/>
      <c r="G98" s="85"/>
    </row>
    <row r="99" spans="3:7">
      <c r="C99" s="85"/>
      <c r="D99" s="85"/>
      <c r="E99" s="85"/>
      <c r="F99" s="85"/>
      <c r="G99" s="85"/>
    </row>
    <row r="100" spans="3:7">
      <c r="C100" s="85"/>
      <c r="D100" s="85"/>
      <c r="E100" s="85"/>
      <c r="F100" s="85"/>
      <c r="G100" s="85"/>
    </row>
    <row r="101" spans="3:7">
      <c r="C101" s="85"/>
      <c r="D101" s="85"/>
      <c r="E101" s="85"/>
      <c r="F101" s="85"/>
      <c r="G101" s="85"/>
    </row>
    <row r="102" spans="3:7">
      <c r="C102" s="85"/>
      <c r="D102" s="85"/>
      <c r="E102" s="85"/>
      <c r="F102" s="85"/>
      <c r="G102" s="85"/>
    </row>
    <row r="103" spans="3:7">
      <c r="C103" s="85"/>
      <c r="D103" s="85"/>
      <c r="E103" s="85"/>
      <c r="F103" s="85"/>
      <c r="G103" s="85"/>
    </row>
    <row r="104" spans="3:7">
      <c r="C104" s="85"/>
      <c r="D104" s="85"/>
      <c r="E104" s="85"/>
      <c r="F104" s="85"/>
      <c r="G104" s="85"/>
    </row>
    <row r="105" spans="3:7">
      <c r="C105" s="85"/>
      <c r="D105" s="85"/>
      <c r="E105" s="85"/>
      <c r="F105" s="85"/>
      <c r="G105" s="85"/>
    </row>
    <row r="106" spans="3:7">
      <c r="C106" s="85"/>
      <c r="D106" s="85"/>
      <c r="E106" s="85"/>
      <c r="F106" s="85"/>
      <c r="G106" s="85"/>
    </row>
    <row r="107" spans="3:7">
      <c r="C107" s="85"/>
      <c r="D107" s="85"/>
      <c r="E107" s="85"/>
      <c r="F107" s="85"/>
      <c r="G107" s="85"/>
    </row>
    <row r="108" spans="3:7">
      <c r="C108" s="85"/>
      <c r="D108" s="85"/>
      <c r="E108" s="85"/>
      <c r="F108" s="85"/>
      <c r="G108" s="85"/>
    </row>
    <row r="109" spans="3:7">
      <c r="C109" s="85"/>
      <c r="D109" s="85"/>
      <c r="E109" s="85"/>
      <c r="F109" s="85"/>
      <c r="G109" s="85"/>
    </row>
    <row r="110" spans="3:7">
      <c r="C110" s="85"/>
      <c r="D110" s="85"/>
      <c r="E110" s="85"/>
      <c r="F110" s="85"/>
      <c r="G110" s="85"/>
    </row>
    <row r="111" spans="3:7">
      <c r="C111" s="85"/>
      <c r="D111" s="85"/>
      <c r="E111" s="85"/>
      <c r="F111" s="85"/>
      <c r="G111" s="85"/>
    </row>
    <row r="112" spans="3:7">
      <c r="C112" s="85"/>
      <c r="D112" s="85"/>
      <c r="E112" s="85"/>
      <c r="F112" s="85"/>
      <c r="G112" s="85"/>
    </row>
    <row r="113" spans="3:7">
      <c r="C113" s="85"/>
      <c r="D113" s="85"/>
      <c r="E113" s="85"/>
      <c r="F113" s="85"/>
      <c r="G113" s="85"/>
    </row>
    <row r="114" spans="3:7">
      <c r="C114" s="85"/>
      <c r="D114" s="85"/>
      <c r="E114" s="85"/>
      <c r="F114" s="85"/>
      <c r="G114" s="85"/>
    </row>
    <row r="115" spans="3:7">
      <c r="C115" s="85"/>
      <c r="D115" s="85"/>
      <c r="E115" s="85"/>
      <c r="F115" s="85"/>
      <c r="G115" s="85"/>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823BB-9C8B-445A-82C8-B96D6661DC7D}">
  <dimension ref="A1:H101"/>
  <sheetViews>
    <sheetView workbookViewId="0">
      <selection activeCell="C2" sqref="C2"/>
    </sheetView>
  </sheetViews>
  <sheetFormatPr defaultRowHeight="15"/>
  <sheetData>
    <row r="1" spans="1:8">
      <c r="A1" s="115" t="s">
        <v>1</v>
      </c>
      <c r="B1" s="115"/>
      <c r="C1" s="2"/>
      <c r="D1" t="s">
        <v>3</v>
      </c>
      <c r="E1" t="s">
        <v>8</v>
      </c>
      <c r="F1" t="s">
        <v>9</v>
      </c>
      <c r="G1" t="s">
        <v>4</v>
      </c>
    </row>
    <row r="2" spans="1:8">
      <c r="A2" s="115"/>
      <c r="B2" s="115"/>
      <c r="C2" s="2" cm="1">
        <f t="array" ref="C2:C101">_xlfn.SEQUENCE(100,1,0,0.02)</f>
        <v>0</v>
      </c>
      <c r="D2">
        <f>$H$2*C2^4+$H$3*C2^3+$H$4</f>
        <v>4</v>
      </c>
      <c r="G2" t="s">
        <v>5</v>
      </c>
      <c r="H2">
        <v>1</v>
      </c>
    </row>
    <row r="3" spans="1:8">
      <c r="A3" s="115"/>
      <c r="B3" s="115"/>
      <c r="C3" s="2">
        <v>0.02</v>
      </c>
      <c r="D3">
        <f t="shared" ref="D3:D66" si="0">$H$2*C3^4+$H$3*C3^3+$H$4</f>
        <v>3.9999841599999999</v>
      </c>
      <c r="G3" t="s">
        <v>6</v>
      </c>
      <c r="H3">
        <v>-2</v>
      </c>
    </row>
    <row r="4" spans="1:8">
      <c r="A4" s="115"/>
      <c r="B4" s="115"/>
      <c r="C4" s="2">
        <v>0.04</v>
      </c>
      <c r="D4">
        <f t="shared" si="0"/>
        <v>3.9998745599999999</v>
      </c>
      <c r="G4" t="s">
        <v>7</v>
      </c>
      <c r="H4">
        <v>4</v>
      </c>
    </row>
    <row r="5" spans="1:8">
      <c r="A5" s="115"/>
      <c r="B5" s="115"/>
      <c r="C5" s="2">
        <v>0.06</v>
      </c>
      <c r="D5">
        <f t="shared" si="0"/>
        <v>3.9995809599999999</v>
      </c>
    </row>
    <row r="6" spans="1:8">
      <c r="A6" s="115"/>
      <c r="B6" s="115"/>
      <c r="C6" s="2">
        <v>0.08</v>
      </c>
      <c r="D6">
        <f t="shared" si="0"/>
        <v>3.9990169600000001</v>
      </c>
      <c r="G6" t="s">
        <v>18</v>
      </c>
      <c r="H6">
        <v>9.9999999999999995E-7</v>
      </c>
    </row>
    <row r="7" spans="1:8">
      <c r="A7" s="115"/>
      <c r="B7" s="115"/>
      <c r="C7" s="2">
        <v>0.1</v>
      </c>
      <c r="D7">
        <f t="shared" si="0"/>
        <v>3.9981</v>
      </c>
    </row>
    <row r="8" spans="1:8">
      <c r="A8" s="115"/>
      <c r="B8" s="115"/>
      <c r="C8" s="2">
        <v>0.12000000000000001</v>
      </c>
      <c r="D8">
        <f t="shared" si="0"/>
        <v>3.9967513600000002</v>
      </c>
    </row>
    <row r="9" spans="1:8">
      <c r="A9" s="115"/>
      <c r="B9" s="115"/>
      <c r="C9" s="2">
        <v>0.14000000000000001</v>
      </c>
      <c r="D9">
        <f t="shared" si="0"/>
        <v>3.9948961600000001</v>
      </c>
    </row>
    <row r="10" spans="1:8">
      <c r="A10" s="115"/>
      <c r="B10" s="115"/>
      <c r="C10" s="2">
        <v>0.16</v>
      </c>
      <c r="D10">
        <f t="shared" si="0"/>
        <v>3.9924633599999999</v>
      </c>
    </row>
    <row r="11" spans="1:8">
      <c r="A11" s="115"/>
      <c r="B11" s="115"/>
      <c r="C11" s="2">
        <v>0.18</v>
      </c>
      <c r="D11">
        <f t="shared" si="0"/>
        <v>3.9893857599999998</v>
      </c>
    </row>
    <row r="12" spans="1:8">
      <c r="A12" s="115"/>
      <c r="B12" s="115"/>
      <c r="C12" s="2">
        <v>0.19999999999999998</v>
      </c>
      <c r="D12">
        <f t="shared" si="0"/>
        <v>3.9855999999999998</v>
      </c>
    </row>
    <row r="13" spans="1:8">
      <c r="C13">
        <v>0.21999999999999997</v>
      </c>
      <c r="D13">
        <f t="shared" si="0"/>
        <v>3.9810465599999998</v>
      </c>
    </row>
    <row r="14" spans="1:8">
      <c r="C14">
        <v>0.23999999999999996</v>
      </c>
      <c r="D14">
        <f t="shared" si="0"/>
        <v>3.9756697600000002</v>
      </c>
    </row>
    <row r="15" spans="1:8">
      <c r="C15">
        <v>0.25999999999999995</v>
      </c>
      <c r="D15">
        <f t="shared" si="0"/>
        <v>3.9694177599999998</v>
      </c>
    </row>
    <row r="16" spans="1:8">
      <c r="C16">
        <v>0.27999999999999997</v>
      </c>
      <c r="D16">
        <f t="shared" si="0"/>
        <v>3.96224256</v>
      </c>
    </row>
    <row r="17" spans="3:4">
      <c r="C17">
        <v>0.3</v>
      </c>
      <c r="D17">
        <f t="shared" si="0"/>
        <v>3.9540999999999999</v>
      </c>
    </row>
    <row r="18" spans="3:4">
      <c r="C18">
        <v>0.32</v>
      </c>
      <c r="D18">
        <f t="shared" si="0"/>
        <v>3.9449497600000001</v>
      </c>
    </row>
    <row r="19" spans="3:4">
      <c r="C19">
        <v>0.34</v>
      </c>
      <c r="D19">
        <f t="shared" si="0"/>
        <v>3.93475536</v>
      </c>
    </row>
    <row r="20" spans="3:4">
      <c r="C20">
        <v>0.36000000000000004</v>
      </c>
      <c r="D20">
        <f t="shared" si="0"/>
        <v>3.9234841600000001</v>
      </c>
    </row>
    <row r="21" spans="3:4">
      <c r="C21">
        <v>0.38000000000000006</v>
      </c>
      <c r="D21">
        <f t="shared" si="0"/>
        <v>3.9111073599999999</v>
      </c>
    </row>
    <row r="22" spans="3:4">
      <c r="C22">
        <v>0.40000000000000008</v>
      </c>
      <c r="D22">
        <f t="shared" si="0"/>
        <v>3.8975999999999997</v>
      </c>
    </row>
    <row r="23" spans="3:4">
      <c r="C23">
        <v>0.4200000000000001</v>
      </c>
      <c r="D23">
        <f t="shared" si="0"/>
        <v>3.88294096</v>
      </c>
    </row>
    <row r="24" spans="3:4">
      <c r="C24">
        <v>0.44000000000000011</v>
      </c>
      <c r="D24">
        <f t="shared" si="0"/>
        <v>3.86711296</v>
      </c>
    </row>
    <row r="25" spans="3:4">
      <c r="C25">
        <v>0.46000000000000013</v>
      </c>
      <c r="D25">
        <f t="shared" si="0"/>
        <v>3.8501025599999998</v>
      </c>
    </row>
    <row r="26" spans="3:4">
      <c r="C26">
        <v>0.48000000000000015</v>
      </c>
      <c r="D26">
        <f t="shared" si="0"/>
        <v>3.83190016</v>
      </c>
    </row>
    <row r="27" spans="3:4">
      <c r="C27">
        <v>0.50000000000000011</v>
      </c>
      <c r="D27">
        <f t="shared" si="0"/>
        <v>3.8125</v>
      </c>
    </row>
    <row r="28" spans="3:4">
      <c r="C28">
        <v>0.52000000000000013</v>
      </c>
      <c r="D28">
        <f t="shared" si="0"/>
        <v>3.79190016</v>
      </c>
    </row>
    <row r="29" spans="3:4">
      <c r="C29">
        <v>0.54000000000000015</v>
      </c>
      <c r="D29">
        <f t="shared" si="0"/>
        <v>3.7701025599999998</v>
      </c>
    </row>
    <row r="30" spans="3:4">
      <c r="C30">
        <v>0.56000000000000016</v>
      </c>
      <c r="D30">
        <f t="shared" si="0"/>
        <v>3.7471129599999999</v>
      </c>
    </row>
    <row r="31" spans="3:4">
      <c r="C31">
        <v>0.58000000000000018</v>
      </c>
      <c r="D31">
        <f t="shared" si="0"/>
        <v>3.7229409599999999</v>
      </c>
    </row>
    <row r="32" spans="3:4">
      <c r="C32">
        <v>0.6000000000000002</v>
      </c>
      <c r="D32">
        <f t="shared" si="0"/>
        <v>3.6975999999999996</v>
      </c>
    </row>
    <row r="33" spans="3:4">
      <c r="C33">
        <v>0.62000000000000022</v>
      </c>
      <c r="D33">
        <f t="shared" si="0"/>
        <v>3.6711073599999997</v>
      </c>
    </row>
    <row r="34" spans="3:4">
      <c r="C34">
        <v>0.64000000000000024</v>
      </c>
      <c r="D34">
        <f t="shared" si="0"/>
        <v>3.6434841599999999</v>
      </c>
    </row>
    <row r="35" spans="3:4">
      <c r="C35">
        <v>0.66000000000000025</v>
      </c>
      <c r="D35">
        <f t="shared" si="0"/>
        <v>3.6147553599999998</v>
      </c>
    </row>
    <row r="36" spans="3:4">
      <c r="C36">
        <v>0.68000000000000027</v>
      </c>
      <c r="D36">
        <f t="shared" si="0"/>
        <v>3.5849497599999998</v>
      </c>
    </row>
    <row r="37" spans="3:4">
      <c r="C37">
        <v>0.70000000000000029</v>
      </c>
      <c r="D37">
        <f t="shared" si="0"/>
        <v>3.5540999999999996</v>
      </c>
    </row>
    <row r="38" spans="3:4">
      <c r="C38">
        <v>0.72000000000000031</v>
      </c>
      <c r="D38">
        <f t="shared" si="0"/>
        <v>3.5222425599999996</v>
      </c>
    </row>
    <row r="39" spans="3:4">
      <c r="C39">
        <v>0.74000000000000032</v>
      </c>
      <c r="D39">
        <f t="shared" si="0"/>
        <v>3.4894177599999994</v>
      </c>
    </row>
    <row r="40" spans="3:4">
      <c r="C40">
        <v>0.76000000000000034</v>
      </c>
      <c r="D40">
        <f t="shared" si="0"/>
        <v>3.4556697599999993</v>
      </c>
    </row>
    <row r="41" spans="3:4">
      <c r="C41">
        <v>0.78000000000000036</v>
      </c>
      <c r="D41">
        <f t="shared" si="0"/>
        <v>3.4210465599999993</v>
      </c>
    </row>
    <row r="42" spans="3:4">
      <c r="C42">
        <v>0.80000000000000038</v>
      </c>
      <c r="D42">
        <f t="shared" si="0"/>
        <v>3.3855999999999993</v>
      </c>
    </row>
    <row r="43" spans="3:4">
      <c r="C43">
        <v>0.8200000000000004</v>
      </c>
      <c r="D43">
        <f t="shared" si="0"/>
        <v>3.3493857599999992</v>
      </c>
    </row>
    <row r="44" spans="3:4">
      <c r="C44">
        <v>0.84000000000000041</v>
      </c>
      <c r="D44">
        <f t="shared" si="0"/>
        <v>3.3124633599999989</v>
      </c>
    </row>
    <row r="45" spans="3:4">
      <c r="C45">
        <v>0.86000000000000043</v>
      </c>
      <c r="D45">
        <f t="shared" si="0"/>
        <v>3.2748961599999991</v>
      </c>
    </row>
    <row r="46" spans="3:4">
      <c r="C46">
        <v>0.88000000000000045</v>
      </c>
      <c r="D46">
        <f t="shared" si="0"/>
        <v>3.2367513599999991</v>
      </c>
    </row>
    <row r="47" spans="3:4">
      <c r="C47">
        <v>0.90000000000000047</v>
      </c>
      <c r="D47">
        <f t="shared" si="0"/>
        <v>3.1980999999999993</v>
      </c>
    </row>
    <row r="48" spans="3:4">
      <c r="C48">
        <v>0.92000000000000048</v>
      </c>
      <c r="D48">
        <f t="shared" si="0"/>
        <v>3.1590169599999989</v>
      </c>
    </row>
    <row r="49" spans="3:4">
      <c r="C49">
        <v>0.9400000000000005</v>
      </c>
      <c r="D49">
        <f t="shared" si="0"/>
        <v>3.1195809599999991</v>
      </c>
    </row>
    <row r="50" spans="3:4">
      <c r="C50">
        <v>0.96000000000000052</v>
      </c>
      <c r="D50">
        <f t="shared" si="0"/>
        <v>3.079874559999999</v>
      </c>
    </row>
    <row r="51" spans="3:4">
      <c r="C51">
        <v>0.98000000000000054</v>
      </c>
      <c r="D51">
        <f t="shared" si="0"/>
        <v>3.039984159999999</v>
      </c>
    </row>
    <row r="52" spans="3:4">
      <c r="C52">
        <v>1.0000000000000004</v>
      </c>
      <c r="D52">
        <f t="shared" si="0"/>
        <v>2.9999999999999991</v>
      </c>
    </row>
    <row r="53" spans="3:4">
      <c r="C53">
        <v>1.0200000000000005</v>
      </c>
      <c r="D53">
        <f t="shared" si="0"/>
        <v>2.9600161599999986</v>
      </c>
    </row>
    <row r="54" spans="3:4">
      <c r="C54">
        <v>1.0400000000000005</v>
      </c>
      <c r="D54">
        <f t="shared" si="0"/>
        <v>2.9201305599999987</v>
      </c>
    </row>
    <row r="55" spans="3:4">
      <c r="C55">
        <v>1.0600000000000005</v>
      </c>
      <c r="D55">
        <f t="shared" si="0"/>
        <v>2.8804449599999993</v>
      </c>
    </row>
    <row r="56" spans="3:4">
      <c r="C56">
        <v>1.0800000000000005</v>
      </c>
      <c r="D56">
        <f t="shared" si="0"/>
        <v>2.8410649599999989</v>
      </c>
    </row>
    <row r="57" spans="3:4">
      <c r="C57">
        <v>1.1000000000000005</v>
      </c>
      <c r="D57">
        <f t="shared" si="0"/>
        <v>2.8020999999999994</v>
      </c>
    </row>
    <row r="58" spans="3:4">
      <c r="C58">
        <v>1.1200000000000006</v>
      </c>
      <c r="D58">
        <f t="shared" si="0"/>
        <v>2.7636633599999989</v>
      </c>
    </row>
    <row r="59" spans="3:4">
      <c r="C59">
        <v>1.1400000000000006</v>
      </c>
      <c r="D59">
        <f t="shared" si="0"/>
        <v>2.7258721599999989</v>
      </c>
    </row>
    <row r="60" spans="3:4">
      <c r="C60">
        <v>1.1600000000000006</v>
      </c>
      <c r="D60">
        <f t="shared" si="0"/>
        <v>2.6888473599999987</v>
      </c>
    </row>
    <row r="61" spans="3:4">
      <c r="C61">
        <v>1.1800000000000006</v>
      </c>
      <c r="D61">
        <f t="shared" si="0"/>
        <v>2.6527137599999993</v>
      </c>
    </row>
    <row r="62" spans="3:4">
      <c r="C62">
        <v>1.2000000000000006</v>
      </c>
      <c r="D62">
        <f t="shared" si="0"/>
        <v>2.617599999999999</v>
      </c>
    </row>
    <row r="63" spans="3:4">
      <c r="C63">
        <v>1.2200000000000006</v>
      </c>
      <c r="D63">
        <f t="shared" si="0"/>
        <v>2.5836385599999989</v>
      </c>
    </row>
    <row r="64" spans="3:4">
      <c r="C64">
        <v>1.2400000000000007</v>
      </c>
      <c r="D64">
        <f t="shared" si="0"/>
        <v>2.5509657599999991</v>
      </c>
    </row>
    <row r="65" spans="3:4">
      <c r="C65">
        <v>1.2600000000000007</v>
      </c>
      <c r="D65">
        <f t="shared" si="0"/>
        <v>2.5197217599999986</v>
      </c>
    </row>
    <row r="66" spans="3:4">
      <c r="C66">
        <v>1.2800000000000007</v>
      </c>
      <c r="D66">
        <f t="shared" si="0"/>
        <v>2.4900505599999994</v>
      </c>
    </row>
    <row r="67" spans="3:4">
      <c r="C67">
        <v>1.3000000000000007</v>
      </c>
      <c r="D67">
        <f t="shared" ref="D67:D101" si="1">$H$2*C67^4+$H$3*C67^3+$H$4</f>
        <v>2.4620999999999995</v>
      </c>
    </row>
    <row r="68" spans="3:4">
      <c r="C68">
        <v>1.3200000000000007</v>
      </c>
      <c r="D68">
        <f t="shared" si="1"/>
        <v>2.4360217599999991</v>
      </c>
    </row>
    <row r="69" spans="3:4">
      <c r="C69">
        <v>1.3400000000000007</v>
      </c>
      <c r="D69">
        <f t="shared" si="1"/>
        <v>2.4119713599999995</v>
      </c>
    </row>
    <row r="70" spans="3:4">
      <c r="C70">
        <v>1.3600000000000008</v>
      </c>
      <c r="D70">
        <f t="shared" si="1"/>
        <v>2.3901081599999991</v>
      </c>
    </row>
    <row r="71" spans="3:4">
      <c r="C71">
        <v>1.3800000000000008</v>
      </c>
      <c r="D71">
        <f t="shared" si="1"/>
        <v>2.3705953599999994</v>
      </c>
    </row>
    <row r="72" spans="3:4">
      <c r="C72">
        <v>1.4000000000000008</v>
      </c>
      <c r="D72">
        <f t="shared" si="1"/>
        <v>2.3535999999999992</v>
      </c>
    </row>
    <row r="73" spans="3:4">
      <c r="C73">
        <v>1.4200000000000008</v>
      </c>
      <c r="D73">
        <f t="shared" si="1"/>
        <v>2.339292959999999</v>
      </c>
    </row>
    <row r="74" spans="3:4">
      <c r="C74">
        <v>1.4400000000000008</v>
      </c>
      <c r="D74">
        <f t="shared" si="1"/>
        <v>2.3278489599999999</v>
      </c>
    </row>
    <row r="75" spans="3:4">
      <c r="C75">
        <v>1.4600000000000009</v>
      </c>
      <c r="D75">
        <f t="shared" si="1"/>
        <v>2.3194465599999994</v>
      </c>
    </row>
    <row r="76" spans="3:4">
      <c r="C76">
        <v>1.4800000000000009</v>
      </c>
      <c r="D76">
        <f t="shared" si="1"/>
        <v>2.3142681600000001</v>
      </c>
    </row>
    <row r="77" spans="3:4">
      <c r="C77">
        <v>1.5000000000000009</v>
      </c>
      <c r="D77">
        <f t="shared" si="1"/>
        <v>2.3125</v>
      </c>
    </row>
    <row r="78" spans="3:4">
      <c r="C78">
        <v>1.5200000000000009</v>
      </c>
      <c r="D78">
        <f t="shared" si="1"/>
        <v>2.3143321600000002</v>
      </c>
    </row>
    <row r="79" spans="3:4">
      <c r="C79">
        <v>1.5400000000000009</v>
      </c>
      <c r="D79">
        <f t="shared" si="1"/>
        <v>2.3199585600000008</v>
      </c>
    </row>
    <row r="80" spans="3:4">
      <c r="C80">
        <v>1.5600000000000009</v>
      </c>
      <c r="D80">
        <f t="shared" si="1"/>
        <v>2.3295769599999998</v>
      </c>
    </row>
    <row r="81" spans="3:4">
      <c r="C81">
        <v>1.580000000000001</v>
      </c>
      <c r="D81">
        <f t="shared" si="1"/>
        <v>2.3433889600000013</v>
      </c>
    </row>
    <row r="82" spans="3:4">
      <c r="C82">
        <v>1.600000000000001</v>
      </c>
      <c r="D82">
        <f t="shared" si="1"/>
        <v>2.3616000000000019</v>
      </c>
    </row>
    <row r="83" spans="3:4">
      <c r="C83">
        <v>1.620000000000001</v>
      </c>
      <c r="D83">
        <f t="shared" si="1"/>
        <v>2.3844193600000017</v>
      </c>
    </row>
    <row r="84" spans="3:4">
      <c r="C84">
        <v>1.640000000000001</v>
      </c>
      <c r="D84">
        <f t="shared" si="1"/>
        <v>2.4120601600000011</v>
      </c>
    </row>
    <row r="85" spans="3:4">
      <c r="C85">
        <v>1.660000000000001</v>
      </c>
      <c r="D85">
        <f t="shared" si="1"/>
        <v>2.4447393600000016</v>
      </c>
    </row>
    <row r="86" spans="3:4">
      <c r="C86">
        <v>1.680000000000001</v>
      </c>
      <c r="D86">
        <f t="shared" si="1"/>
        <v>2.4826777600000023</v>
      </c>
    </row>
    <row r="87" spans="3:4">
      <c r="C87">
        <v>1.7000000000000011</v>
      </c>
      <c r="D87">
        <f t="shared" si="1"/>
        <v>2.5261000000000031</v>
      </c>
    </row>
    <row r="88" spans="3:4">
      <c r="C88">
        <v>1.7200000000000011</v>
      </c>
      <c r="D88">
        <f t="shared" si="1"/>
        <v>2.5752345600000037</v>
      </c>
    </row>
    <row r="89" spans="3:4">
      <c r="C89">
        <v>1.7400000000000011</v>
      </c>
      <c r="D89">
        <f t="shared" si="1"/>
        <v>2.6303137600000035</v>
      </c>
    </row>
    <row r="90" spans="3:4">
      <c r="C90">
        <v>1.7600000000000011</v>
      </c>
      <c r="D90">
        <f t="shared" si="1"/>
        <v>2.6915737600000043</v>
      </c>
    </row>
    <row r="91" spans="3:4">
      <c r="C91">
        <v>1.7800000000000011</v>
      </c>
      <c r="D91">
        <f t="shared" si="1"/>
        <v>2.759254560000004</v>
      </c>
    </row>
    <row r="92" spans="3:4">
      <c r="C92">
        <v>1.8000000000000012</v>
      </c>
      <c r="D92">
        <f t="shared" si="1"/>
        <v>2.8336000000000041</v>
      </c>
    </row>
    <row r="93" spans="3:4">
      <c r="C93">
        <v>1.8200000000000012</v>
      </c>
      <c r="D93">
        <f t="shared" si="1"/>
        <v>2.9148577600000056</v>
      </c>
    </row>
    <row r="94" spans="3:4">
      <c r="C94">
        <v>1.8400000000000012</v>
      </c>
      <c r="D94">
        <f t="shared" si="1"/>
        <v>3.0032793600000041</v>
      </c>
    </row>
    <row r="95" spans="3:4">
      <c r="C95">
        <v>1.8600000000000012</v>
      </c>
      <c r="D95">
        <f t="shared" si="1"/>
        <v>3.0991201600000053</v>
      </c>
    </row>
    <row r="96" spans="3:4">
      <c r="C96">
        <v>1.8800000000000012</v>
      </c>
      <c r="D96">
        <f t="shared" si="1"/>
        <v>3.2026393600000063</v>
      </c>
    </row>
    <row r="97" spans="3:4">
      <c r="C97">
        <v>1.9000000000000012</v>
      </c>
      <c r="D97">
        <f t="shared" si="1"/>
        <v>3.3141000000000069</v>
      </c>
    </row>
    <row r="98" spans="3:4">
      <c r="C98">
        <v>1.9200000000000013</v>
      </c>
      <c r="D98">
        <f t="shared" si="1"/>
        <v>3.4337689600000072</v>
      </c>
    </row>
    <row r="99" spans="3:4">
      <c r="C99">
        <v>1.9400000000000013</v>
      </c>
      <c r="D99">
        <f t="shared" si="1"/>
        <v>3.5619169600000102</v>
      </c>
    </row>
    <row r="100" spans="3:4">
      <c r="C100">
        <v>1.9600000000000013</v>
      </c>
      <c r="D100">
        <f t="shared" si="1"/>
        <v>3.6988185600000101</v>
      </c>
    </row>
    <row r="101" spans="3:4">
      <c r="C101">
        <v>1.9800000000000013</v>
      </c>
      <c r="D101">
        <f t="shared" si="1"/>
        <v>3.8447521600000112</v>
      </c>
    </row>
  </sheetData>
  <mergeCells count="1">
    <mergeCell ref="A1:B1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00BCB-9B68-44F8-BC07-9ACE6C32C97C}">
  <dimension ref="A1"/>
  <sheetViews>
    <sheetView workbookViewId="0">
      <selection activeCell="I34" sqref="I34"/>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LineSearch</vt:lpstr>
      <vt:lpstr>Multivariable Optmiser (i)</vt:lpstr>
      <vt:lpstr>Multivariable Optimizer (ii)</vt:lpstr>
      <vt:lpstr>Multivariable Optimizer (iii)</vt:lpstr>
      <vt:lpstr>Complete GA (BONUS)</vt:lpstr>
      <vt:lpstr>Constrained Optimization</vt:lpstr>
      <vt:lpstr>Constraint Optimization (ii)</vt:lpstr>
      <vt:lpstr>Meta-Models RSM</vt:lpstr>
      <vt:lpstr>Meta-Models RSM (ii)</vt:lpstr>
      <vt:lpstr>Pareto Ranking</vt:lpstr>
      <vt:lpstr>MDO Eigenvalue</vt:lpstr>
      <vt:lpstr>MDO Fuzzy Logic</vt:lpstr>
      <vt:lpstr>LineSearchTrueDataPlot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Lee (kwl1y19)</dc:creator>
  <cp:lastModifiedBy>Kai Lee (kwl1y19)</cp:lastModifiedBy>
  <dcterms:created xsi:type="dcterms:W3CDTF">2024-05-14T12:17:08Z</dcterms:created>
  <dcterms:modified xsi:type="dcterms:W3CDTF">2024-05-22T17:33:51Z</dcterms:modified>
</cp:coreProperties>
</file>