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GDP2024SmallScaleWindTurbine/Shared Documents/General/2 Electronics/1 Generator Design Model and Calculation/"/>
    </mc:Choice>
  </mc:AlternateContent>
  <xr:revisionPtr revIDLastSave="1707" documentId="11_A22F82BDA9B2769D830265AF5C7BE6207A832D3A" xr6:coauthVersionLast="47" xr6:coauthVersionMax="47" xr10:uidLastSave="{86F3B336-3F76-4390-8104-CDEB961C2B9A}"/>
  <bookViews>
    <workbookView xWindow="-120" yWindow="-120" windowWidth="29040" windowHeight="16440" firstSheet="1" activeTab="7" xr2:uid="{00000000-000D-0000-FFFF-FFFF00000000}"/>
  </bookViews>
  <sheets>
    <sheet name="Design Methodology" sheetId="3" r:id="rId1"/>
    <sheet name="Sheet3" sheetId="15" r:id="rId2"/>
    <sheet name="Desgn Equations" sheetId="17" r:id="rId3"/>
    <sheet name="Power Output Test" sheetId="11" r:id="rId4"/>
    <sheet name="FullLoadDesign" sheetId="5" r:id="rId5"/>
    <sheet name="bldc" sheetId="2" r:id="rId6"/>
    <sheet name=" Design Parameters (NOT USED)" sheetId="1" r:id="rId7"/>
    <sheet name="NoLoadDesign_FESG(NOT USED)" sheetId="7" r:id="rId8"/>
    <sheet name="DesignParameters(NOtUsed)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H4" i="17"/>
  <c r="D35" i="17"/>
  <c r="D7" i="17"/>
  <c r="H7" i="17" s="1"/>
  <c r="D10" i="17" s="1"/>
  <c r="H10" i="17" s="1"/>
  <c r="D12" i="17"/>
  <c r="D11" i="17"/>
  <c r="D34" i="17"/>
  <c r="D16" i="17"/>
  <c r="D29" i="17" s="1"/>
  <c r="H29" i="17" s="1"/>
  <c r="D38" i="17"/>
  <c r="H33" i="17"/>
  <c r="H21" i="17"/>
  <c r="D25" i="17" s="1"/>
  <c r="H25" i="17" s="1"/>
  <c r="D18" i="17"/>
  <c r="D42" i="17" s="1"/>
  <c r="D17" i="17"/>
  <c r="D8" i="17"/>
  <c r="D31" i="17" s="1"/>
  <c r="H31" i="17" s="1"/>
  <c r="D14" i="17"/>
  <c r="C7" i="1"/>
  <c r="C19" i="1"/>
  <c r="C20" i="1"/>
  <c r="C18" i="1"/>
  <c r="D91" i="7" s="1"/>
  <c r="C11" i="1"/>
  <c r="D50" i="7" s="1"/>
  <c r="C15" i="1"/>
  <c r="D55" i="7"/>
  <c r="D6" i="7"/>
  <c r="D7" i="7"/>
  <c r="D8" i="7"/>
  <c r="D9" i="7"/>
  <c r="D10" i="7"/>
  <c r="D11" i="7"/>
  <c r="D14" i="7"/>
  <c r="D15" i="7"/>
  <c r="D16" i="7"/>
  <c r="D22" i="7"/>
  <c r="D25" i="7"/>
  <c r="D26" i="7"/>
  <c r="D27" i="7"/>
  <c r="D30" i="7"/>
  <c r="D4" i="7"/>
  <c r="D96" i="7"/>
  <c r="D95" i="7"/>
  <c r="D93" i="7"/>
  <c r="D92" i="7"/>
  <c r="D89" i="7"/>
  <c r="D87" i="7"/>
  <c r="D80" i="7"/>
  <c r="D79" i="7"/>
  <c r="D78" i="7"/>
  <c r="D75" i="7"/>
  <c r="D74" i="7"/>
  <c r="D71" i="7"/>
  <c r="D70" i="7"/>
  <c r="D60" i="7"/>
  <c r="H60" i="7" s="1"/>
  <c r="D63" i="7" s="1"/>
  <c r="D59" i="7"/>
  <c r="D57" i="7"/>
  <c r="D51" i="7"/>
  <c r="D49" i="7"/>
  <c r="D48" i="7"/>
  <c r="D46" i="7"/>
  <c r="D45" i="7"/>
  <c r="H45" i="7" s="1"/>
  <c r="D47" i="7" s="1"/>
  <c r="D43" i="7"/>
  <c r="D40" i="7"/>
  <c r="D37" i="7"/>
  <c r="D36" i="7"/>
  <c r="D35" i="7"/>
  <c r="D34" i="7"/>
  <c r="D33" i="7"/>
  <c r="D32" i="7"/>
  <c r="C6" i="2"/>
  <c r="B6" i="2"/>
  <c r="D37" i="17" l="1"/>
  <c r="H35" i="17" s="1"/>
  <c r="D28" i="17"/>
  <c r="H28" i="17" s="1"/>
  <c r="D39" i="17"/>
  <c r="H36" i="17" s="1"/>
  <c r="D30" i="17"/>
  <c r="H30" i="17" s="1"/>
  <c r="H16" i="17"/>
  <c r="D19" i="17" s="1"/>
  <c r="H13" i="17"/>
  <c r="D81" i="7"/>
  <c r="H6" i="7"/>
  <c r="D12" i="7" s="1"/>
  <c r="H9" i="7" s="1"/>
  <c r="D5" i="7"/>
  <c r="H26" i="7"/>
  <c r="D31" i="7" s="1"/>
  <c r="H50" i="7"/>
  <c r="D53" i="7" s="1"/>
  <c r="H47" i="7"/>
  <c r="D64" i="7" s="1"/>
  <c r="H92" i="7"/>
  <c r="D94" i="7" s="1"/>
  <c r="H94" i="7" s="1"/>
  <c r="H32" i="7"/>
  <c r="D41" i="7" s="1"/>
  <c r="H19" i="17" l="1"/>
  <c r="D27" i="17" s="1"/>
  <c r="H26" i="17" s="1"/>
  <c r="D17" i="7"/>
  <c r="H15" i="7" s="1"/>
  <c r="D19" i="7" s="1"/>
  <c r="H18" i="7" s="1"/>
  <c r="D23" i="7" s="1"/>
  <c r="D76" i="7"/>
  <c r="H74" i="7" s="1"/>
  <c r="D77" i="7" s="1"/>
  <c r="H77" i="7" s="1"/>
  <c r="D83" i="7" s="1"/>
  <c r="D18" i="7"/>
  <c r="D52" i="7"/>
  <c r="H52" i="7" s="1"/>
  <c r="D68" i="7" s="1"/>
  <c r="D20" i="7"/>
  <c r="D13" i="7"/>
  <c r="H13" i="7" s="1"/>
  <c r="D24" i="7"/>
  <c r="D72" i="7"/>
  <c r="H70" i="7" s="1"/>
  <c r="D73" i="7" s="1"/>
  <c r="H73" i="7" s="1"/>
  <c r="D82" i="7" s="1"/>
  <c r="D86" i="7" l="1"/>
  <c r="H22" i="7"/>
  <c r="D28" i="7" s="1"/>
  <c r="D61" i="7"/>
  <c r="D54" i="7"/>
  <c r="H54" i="7" s="1"/>
  <c r="D29" i="7"/>
  <c r="D21" i="7"/>
  <c r="H20" i="7" s="1"/>
  <c r="D56" i="7"/>
  <c r="H56" i="7" s="1"/>
  <c r="D44" i="7"/>
  <c r="H28" i="7" l="1"/>
  <c r="D39" i="7" s="1"/>
  <c r="H39" i="7" s="1" a="1"/>
  <c r="H39" i="7" s="1"/>
  <c r="D58" i="7"/>
  <c r="H58" i="7" s="1"/>
  <c r="D65" i="7" s="1"/>
  <c r="D66" i="7"/>
  <c r="D42" i="7" l="1"/>
  <c r="H42" i="7" s="1"/>
  <c r="D84" i="7"/>
  <c r="H79" i="7" s="1"/>
  <c r="D85" i="7" s="1"/>
  <c r="H85" i="7" s="1"/>
  <c r="D90" i="7" s="1"/>
  <c r="D67" i="7"/>
  <c r="D62" i="7"/>
  <c r="H61" i="7" s="1"/>
  <c r="D69" i="7" s="1"/>
  <c r="H64" i="7"/>
  <c r="H67" i="7" l="1"/>
  <c r="D88" i="7" s="1"/>
  <c r="H8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<sst xmlns="http://schemas.openxmlformats.org/spreadsheetml/2006/main" count="834" uniqueCount="346">
  <si>
    <t>BLDC Choosing Criteria</t>
  </si>
  <si>
    <t>Min</t>
  </si>
  <si>
    <t>Max</t>
  </si>
  <si>
    <t>RPM</t>
  </si>
  <si>
    <t>KT</t>
  </si>
  <si>
    <t>Weight</t>
  </si>
  <si>
    <t>kg</t>
  </si>
  <si>
    <t>Charge Voltage</t>
  </si>
  <si>
    <t>V</t>
  </si>
  <si>
    <t>KV</t>
  </si>
  <si>
    <t>RPM/V</t>
  </si>
  <si>
    <t>https://alienpowersystem.com/shop/brushless-motors/80mm/c80100-outrunner-brushless-motor-50kv-7000w/
https://alienpowersystem.com/shop/brushless-motors/80mm/aps8072s-sensored-bldc-motor-50kv-6000w/</t>
  </si>
  <si>
    <t>Winding method</t>
  </si>
  <si>
    <t>Wye</t>
  </si>
  <si>
    <t>Delta vs Wye</t>
  </si>
  <si>
    <t>Cost</t>
  </si>
  <si>
    <t>Design Specification</t>
  </si>
  <si>
    <t>Category</t>
  </si>
  <si>
    <t>Description</t>
  </si>
  <si>
    <t>Symbol</t>
  </si>
  <si>
    <t>Value</t>
  </si>
  <si>
    <t>Unit</t>
  </si>
  <si>
    <t>Desired Power Output</t>
  </si>
  <si>
    <t>Desired Terminal Voltage</t>
  </si>
  <si>
    <t>Power Factor</t>
  </si>
  <si>
    <t xml:space="preserve">Electrical Frequency </t>
  </si>
  <si>
    <t>rpm</t>
  </si>
  <si>
    <t>Hz</t>
  </si>
  <si>
    <t>-</t>
  </si>
  <si>
    <t>W</t>
  </si>
  <si>
    <t>S_Ed</t>
  </si>
  <si>
    <t>V_Td</t>
  </si>
  <si>
    <t xml:space="preserve">Design methodology based on </t>
  </si>
  <si>
    <t>https://www.mdpi.com/1996-1073/14/16/4989#sec2dot2-energies-14-04989</t>
  </si>
  <si>
    <t>Comments</t>
  </si>
  <si>
    <t>Very rough estimate, figure to be improved pending Aero Calc</t>
  </si>
  <si>
    <t>PF</t>
  </si>
  <si>
    <t>f</t>
  </si>
  <si>
    <t>n</t>
  </si>
  <si>
    <t>Design Parameters</t>
  </si>
  <si>
    <t>D_Re</t>
  </si>
  <si>
    <t>Equation</t>
  </si>
  <si>
    <t>Equations and Calculations</t>
  </si>
  <si>
    <t>Input Variables</t>
  </si>
  <si>
    <t>Output Variables</t>
  </si>
  <si>
    <t>Rotor Design</t>
  </si>
  <si>
    <t>[1]</t>
  </si>
  <si>
    <t>Number of Poles</t>
  </si>
  <si>
    <t>P</t>
  </si>
  <si>
    <t>Constant</t>
  </si>
  <si>
    <t>frequency</t>
  </si>
  <si>
    <t>Angular velocity of shaft</t>
  </si>
  <si>
    <t>ω</t>
  </si>
  <si>
    <t>Arc-section height of pole shoes</t>
  </si>
  <si>
    <t>[2]</t>
  </si>
  <si>
    <t>h_PSa</t>
  </si>
  <si>
    <t>mm</t>
  </si>
  <si>
    <t>Pole pitch factor</t>
  </si>
  <si>
    <t>K_alpha</t>
  </si>
  <si>
    <t>alpha_P</t>
  </si>
  <si>
    <t>Rotor diameter</t>
  </si>
  <si>
    <t xml:space="preserve">Pole pitch </t>
  </si>
  <si>
    <t>deg</t>
  </si>
  <si>
    <t>Pole shoe width</t>
  </si>
  <si>
    <t>[3]</t>
  </si>
  <si>
    <t>W_PS</t>
  </si>
  <si>
    <t>Width of pole body</t>
  </si>
  <si>
    <t>Pole body factor</t>
  </si>
  <si>
    <t>K_PB</t>
  </si>
  <si>
    <t>W_PB</t>
  </si>
  <si>
    <t>[4]</t>
  </si>
  <si>
    <t>[5]</t>
  </si>
  <si>
    <t>Imposed factor</t>
  </si>
  <si>
    <t>K_PSs</t>
  </si>
  <si>
    <t>Straight-section height of pole shoes</t>
  </si>
  <si>
    <t>h_PSs</t>
  </si>
  <si>
    <t>[6]</t>
  </si>
  <si>
    <t>h_PS</t>
  </si>
  <si>
    <t>Height of pole shoes</t>
  </si>
  <si>
    <t>[7]</t>
  </si>
  <si>
    <t>Complementary width of pole body</t>
  </si>
  <si>
    <t>W_PBc</t>
  </si>
  <si>
    <t>[8]</t>
  </si>
  <si>
    <t>Height of pole body</t>
  </si>
  <si>
    <t>h_PB</t>
  </si>
  <si>
    <t>[9]</t>
  </si>
  <si>
    <t>Maximum allowable field current</t>
  </si>
  <si>
    <t>I_Fmax</t>
  </si>
  <si>
    <t>A</t>
  </si>
  <si>
    <t>Field current density</t>
  </si>
  <si>
    <t>J_F</t>
  </si>
  <si>
    <t>A/mm^2</t>
  </si>
  <si>
    <t>Surface of field conductor</t>
  </si>
  <si>
    <t>S_F</t>
  </si>
  <si>
    <t>mm^2</t>
  </si>
  <si>
    <t>Field-winding fill factor</t>
  </si>
  <si>
    <t>K_Ff</t>
  </si>
  <si>
    <t>[10]</t>
  </si>
  <si>
    <t>Turns of field winding</t>
  </si>
  <si>
    <t>T_F</t>
  </si>
  <si>
    <t>Reluctance of air-gap</t>
  </si>
  <si>
    <t>R_AG</t>
  </si>
  <si>
    <t>A*e/Wb</t>
  </si>
  <si>
    <t>[11]</t>
  </si>
  <si>
    <t>Air-gap length</t>
  </si>
  <si>
    <t>L_AG</t>
  </si>
  <si>
    <t>Axial length of active material</t>
  </si>
  <si>
    <t>Air-gap factor</t>
  </si>
  <si>
    <t>K_AG</t>
  </si>
  <si>
    <t>L_A</t>
  </si>
  <si>
    <t>[12]</t>
  </si>
  <si>
    <t>Flux in pole body</t>
  </si>
  <si>
    <t>Wb</t>
  </si>
  <si>
    <r>
      <rPr>
        <sz val="11"/>
        <color theme="1"/>
        <rFont val="Calibri"/>
        <family val="2"/>
      </rPr>
      <t>φ</t>
    </r>
    <r>
      <rPr>
        <sz val="14.3"/>
        <color theme="1"/>
        <rFont val="Calibri"/>
        <family val="2"/>
      </rPr>
      <t>PB</t>
    </r>
  </si>
  <si>
    <t>No-load Field Current</t>
  </si>
  <si>
    <t>I_Fnl</t>
  </si>
  <si>
    <t>Assuming all core reluctances are neglected</t>
  </si>
  <si>
    <t>[13]</t>
  </si>
  <si>
    <t>Flux density in pole body</t>
  </si>
  <si>
    <t>B_PB</t>
  </si>
  <si>
    <t>T</t>
  </si>
  <si>
    <t>Stator Design</t>
  </si>
  <si>
    <t>Very rough estimate, reference needed</t>
  </si>
  <si>
    <t>References</t>
  </si>
  <si>
    <t>[14]</t>
  </si>
  <si>
    <t>Internal Diameter</t>
  </si>
  <si>
    <t>D_Si</t>
  </si>
  <si>
    <t>[15]</t>
  </si>
  <si>
    <t xml:space="preserve">Slot opening </t>
  </si>
  <si>
    <t>h_So</t>
  </si>
  <si>
    <t>Slot wedge height</t>
  </si>
  <si>
    <t>h_Sw</t>
  </si>
  <si>
    <t>Imposed parameters for Stator Design</t>
  </si>
  <si>
    <t>Diameter at the Top of the Slot</t>
  </si>
  <si>
    <t>D_St</t>
  </si>
  <si>
    <t xml:space="preserve">Slot pitch angle </t>
  </si>
  <si>
    <t>Tooth-to-slot width factor</t>
  </si>
  <si>
    <t>K_TS</t>
  </si>
  <si>
    <t>alpha_S</t>
  </si>
  <si>
    <t>[16]</t>
  </si>
  <si>
    <t>Angle occupied by top of one slot</t>
  </si>
  <si>
    <t>degree</t>
  </si>
  <si>
    <t>theta_St</t>
  </si>
  <si>
    <t>[17]</t>
  </si>
  <si>
    <t>Top of Slot width</t>
  </si>
  <si>
    <t>W_St</t>
  </si>
  <si>
    <t>[18]</t>
  </si>
  <si>
    <t>W_So</t>
  </si>
  <si>
    <t>Width of Slot Wedge</t>
  </si>
  <si>
    <t>Width of Slot Opening</t>
  </si>
  <si>
    <t>[19]</t>
  </si>
  <si>
    <t>Stator yoke factor</t>
  </si>
  <si>
    <t>K_PBSY</t>
  </si>
  <si>
    <t>Height of stator yoke</t>
  </si>
  <si>
    <t>h_SY</t>
  </si>
  <si>
    <t>[20]</t>
  </si>
  <si>
    <t>Vacuum permeability</t>
  </si>
  <si>
    <t>mu_0</t>
  </si>
  <si>
    <t>Constants</t>
  </si>
  <si>
    <t>Equations are for field exited SG. I attempt to adapt this model to a PM external rotor and Copper windings at internal stator</t>
  </si>
  <si>
    <t>Important equations are highlighted in blue. Try to obtain these with an equivalent or best permanent magnet</t>
  </si>
  <si>
    <t>K_SYS</t>
  </si>
  <si>
    <t>Stator yoke to slot height factor</t>
  </si>
  <si>
    <t>Height of slot</t>
  </si>
  <si>
    <t>h_s</t>
  </si>
  <si>
    <t>[21]</t>
  </si>
  <si>
    <t>inclination angle of slot edge</t>
  </si>
  <si>
    <t>theta_Sei</t>
  </si>
  <si>
    <t>Bottom of slot width</t>
  </si>
  <si>
    <t>W_Sb</t>
  </si>
  <si>
    <t>[22]</t>
  </si>
  <si>
    <t>External diameter of stator</t>
  </si>
  <si>
    <t>D_Se</t>
  </si>
  <si>
    <t>[23]</t>
  </si>
  <si>
    <t>Surface area of trapezoidal slot</t>
  </si>
  <si>
    <t>S_s</t>
  </si>
  <si>
    <t xml:space="preserve">mm^2 </t>
  </si>
  <si>
    <t>[24]</t>
  </si>
  <si>
    <t>[25]</t>
  </si>
  <si>
    <t>Armature coil-shortening factor</t>
  </si>
  <si>
    <t>K_Ac</t>
  </si>
  <si>
    <t>Armature coil pitch</t>
  </si>
  <si>
    <t>alpha_Ac</t>
  </si>
  <si>
    <t>[26]</t>
  </si>
  <si>
    <t>Reduction factor due to coil shortening</t>
  </si>
  <si>
    <r>
      <rPr>
        <sz val="11"/>
        <color theme="1"/>
        <rFont val="Calibri"/>
        <family val="2"/>
      </rPr>
      <t>Δφ</t>
    </r>
    <r>
      <rPr>
        <sz val="12.65"/>
        <color theme="1"/>
        <rFont val="Calibri"/>
        <family val="2"/>
      </rPr>
      <t>_Cs</t>
    </r>
  </si>
  <si>
    <t>[27]</t>
  </si>
  <si>
    <t>Number of Layers in a slot</t>
  </si>
  <si>
    <t>Number of Slots</t>
  </si>
  <si>
    <t>N_S</t>
  </si>
  <si>
    <t>N_Sl</t>
  </si>
  <si>
    <t>Number of coils per pole</t>
  </si>
  <si>
    <t>N_Cpp</t>
  </si>
  <si>
    <t>[28]</t>
  </si>
  <si>
    <t>Winding distribution reduction factor</t>
  </si>
  <si>
    <t>Use if winding is not concentrated</t>
  </si>
  <si>
    <r>
      <t>Δφ</t>
    </r>
    <r>
      <rPr>
        <sz val="12.65"/>
        <color theme="1"/>
        <rFont val="Calibri"/>
        <family val="2"/>
      </rPr>
      <t>_Wd</t>
    </r>
  </si>
  <si>
    <t>[29]</t>
  </si>
  <si>
    <t>Number of Turns of Armature Winding per phase</t>
  </si>
  <si>
    <t>T_A</t>
  </si>
  <si>
    <t>Leakage flux</t>
  </si>
  <si>
    <r>
      <t>Δφ</t>
    </r>
    <r>
      <rPr>
        <sz val="12.65"/>
        <color theme="1"/>
        <rFont val="Calibri"/>
        <family val="2"/>
      </rPr>
      <t>_l</t>
    </r>
  </si>
  <si>
    <t>[30]</t>
  </si>
  <si>
    <t>Number of Turns of Armature Winding per coil</t>
  </si>
  <si>
    <t>T_Ac</t>
  </si>
  <si>
    <t>Number of Coils in Series per Phase</t>
  </si>
  <si>
    <t>N_Cs</t>
  </si>
  <si>
    <t>[31]</t>
  </si>
  <si>
    <t>Armature conductor surface</t>
  </si>
  <si>
    <t>S_Ac</t>
  </si>
  <si>
    <t>Slot fill factor</t>
  </si>
  <si>
    <t>K_Sf</t>
  </si>
  <si>
    <t>[32]</t>
  </si>
  <si>
    <t>Armature current density</t>
  </si>
  <si>
    <t>Allowable armature current</t>
  </si>
  <si>
    <t>I_A</t>
  </si>
  <si>
    <t>J_A</t>
  </si>
  <si>
    <t>[33]</t>
  </si>
  <si>
    <t>Electrical power output</t>
  </si>
  <si>
    <t>S_E</t>
  </si>
  <si>
    <t>[33A]</t>
  </si>
  <si>
    <t>Electrical output active power</t>
  </si>
  <si>
    <t>Find out how to obtain</t>
  </si>
  <si>
    <t>Full-Load Design</t>
  </si>
  <si>
    <t>[34]</t>
  </si>
  <si>
    <t>Magnet size</t>
  </si>
  <si>
    <t>N35 Magnet</t>
  </si>
  <si>
    <t>l</t>
  </si>
  <si>
    <t>w</t>
  </si>
  <si>
    <t>t</t>
  </si>
  <si>
    <t>Copper</t>
  </si>
  <si>
    <t>dia</t>
  </si>
  <si>
    <t>More research needed</t>
  </si>
  <si>
    <t>https://www.youtube.com/watch?v=6btZwqnMED4&amp;ab_channel=RobertMurray-Smith</t>
  </si>
  <si>
    <t>Winding types</t>
  </si>
  <si>
    <t>https://www.bavaria-direct.co.za/scheme/common/</t>
  </si>
  <si>
    <t>https://www.bavaria-direct.co.za/info/</t>
  </si>
  <si>
    <t>https://www.bavaria-direct.co.za/scheme/calculator/</t>
  </si>
  <si>
    <t>Flux Density in Air Gap</t>
  </si>
  <si>
    <t>Magnet Thickness</t>
  </si>
  <si>
    <t>Air Gap</t>
  </si>
  <si>
    <t>t1</t>
  </si>
  <si>
    <t>t2</t>
  </si>
  <si>
    <t>Flux of Magnets</t>
  </si>
  <si>
    <t>https://kdwindturbines.nl/wp-content/uploads/2015/01/KD-667.pdf</t>
  </si>
  <si>
    <t>Calculations follows the link</t>
  </si>
  <si>
    <t>which outlines iron-less stator PMSG</t>
  </si>
  <si>
    <t>Br</t>
  </si>
  <si>
    <t>Br_eff</t>
  </si>
  <si>
    <t>We want max of 12 poles, work backwards to get acceptable range</t>
  </si>
  <si>
    <t>Try approximate to length of N35 Magnet</t>
  </si>
  <si>
    <t>Try approximate to width of N43 Magnet</t>
  </si>
  <si>
    <t>Flux density of 1x N35 Magnet is 1.19, after considering air gap, around 0.45</t>
  </si>
  <si>
    <t>Work backwards from [13] to find PB</t>
  </si>
  <si>
    <t>More research needed to link reluctance to flux density in air gap. Might not need</t>
  </si>
  <si>
    <t>Value given in KD needs verification!</t>
  </si>
  <si>
    <t>Imposed parameters for Field Exited Synchrounous Generator Rotor Design</t>
  </si>
  <si>
    <t>Imposed parameters for Permanent Magnet Synchrounous Generator Rotor Design</t>
  </si>
  <si>
    <t>Assuming Neodymium Magnet BARS are used!</t>
  </si>
  <si>
    <t>Magnet Bar Length</t>
  </si>
  <si>
    <t>Magnet Bar Width</t>
  </si>
  <si>
    <t>Magnet Bar Thickness</t>
  </si>
  <si>
    <t>L_PM</t>
  </si>
  <si>
    <t>W_PM</t>
  </si>
  <si>
    <t>T_PM</t>
  </si>
  <si>
    <t>NOT USED FOR PMG</t>
  </si>
  <si>
    <t>Number of pole pairs</t>
  </si>
  <si>
    <t>Pole pitch</t>
  </si>
  <si>
    <t>Assuming 18 pole</t>
  </si>
  <si>
    <t>Assumed (idk what im doing)</t>
  </si>
  <si>
    <t>Assume 50% of pole body flux (verify)</t>
  </si>
  <si>
    <t>Number of Stator Slots</t>
  </si>
  <si>
    <t>We want to prevent low slot fill factor due to narrow slots</t>
  </si>
  <si>
    <t>Number of phase</t>
  </si>
  <si>
    <t>q</t>
  </si>
  <si>
    <t>m</t>
  </si>
  <si>
    <t>p</t>
  </si>
  <si>
    <t>Hence q is set to one</t>
  </si>
  <si>
    <t>Number of slots per pole and phase</t>
  </si>
  <si>
    <t>Set 8 poles, since f doesn’t matter. Choose in final design between 8,10,12</t>
  </si>
  <si>
    <t>[5.2]</t>
  </si>
  <si>
    <t>[5.3]</t>
  </si>
  <si>
    <t>Slot pitch</t>
  </si>
  <si>
    <t>Number of phases</t>
  </si>
  <si>
    <t>Tau_P</t>
  </si>
  <si>
    <t>Slot width</t>
  </si>
  <si>
    <t>Slot Pitch</t>
  </si>
  <si>
    <t>Tooth width</t>
  </si>
  <si>
    <t>b_d</t>
  </si>
  <si>
    <t>Tau</t>
  </si>
  <si>
    <t>Assume 3mm of material thickness</t>
  </si>
  <si>
    <t>[5.4]</t>
  </si>
  <si>
    <t>b_s</t>
  </si>
  <si>
    <t>Slot opening</t>
  </si>
  <si>
    <t>bs1</t>
  </si>
  <si>
    <t>Assumed</t>
  </si>
  <si>
    <t>Tooth tip height</t>
  </si>
  <si>
    <t>h_s1</t>
  </si>
  <si>
    <t>h_s2</t>
  </si>
  <si>
    <t>Winding height</t>
  </si>
  <si>
    <t>[5.5]</t>
  </si>
  <si>
    <t>Slot height</t>
  </si>
  <si>
    <t>[5.6]</t>
  </si>
  <si>
    <t>Conductor height</t>
  </si>
  <si>
    <t>Conductor width</t>
  </si>
  <si>
    <t>h_s3</t>
  </si>
  <si>
    <t>h_Cu</t>
  </si>
  <si>
    <t>b_Cu</t>
  </si>
  <si>
    <t>Coil insulation thickness</t>
  </si>
  <si>
    <t>h_i</t>
  </si>
  <si>
    <t>[5.8]</t>
  </si>
  <si>
    <t>Ratio of magnet width to pole pitch so=hould be kept between 0.6 and 0.9.Selecting 0.7</t>
  </si>
  <si>
    <t>Magnet width</t>
  </si>
  <si>
    <t>[5.9]</t>
  </si>
  <si>
    <t>Winding pitch</t>
  </si>
  <si>
    <t>[5.10]</t>
  </si>
  <si>
    <t>End winding length</t>
  </si>
  <si>
    <t>[5.11]</t>
  </si>
  <si>
    <t>Mechanical Air Gap</t>
  </si>
  <si>
    <t>Try to minimise air gap</t>
  </si>
  <si>
    <t>delta</t>
  </si>
  <si>
    <t>Stator length</t>
  </si>
  <si>
    <t>Equivalent core length</t>
  </si>
  <si>
    <t>Not using iron so this eqn is not used. Might be useful for the future.</t>
  </si>
  <si>
    <t>Useful iron length</t>
  </si>
  <si>
    <t>Iron fill factor</t>
  </si>
  <si>
    <t>KFes</t>
  </si>
  <si>
    <t>[5.12]</t>
  </si>
  <si>
    <t>Outer diameter of stator</t>
  </si>
  <si>
    <t>Approximate length of stator</t>
  </si>
  <si>
    <t>Stator yoke height</t>
  </si>
  <si>
    <t>h_ys</t>
  </si>
  <si>
    <t>Assume 5mm of material</t>
  </si>
  <si>
    <t>Rotor diameter+airgap</t>
  </si>
  <si>
    <t>d</t>
  </si>
  <si>
    <t>d_se</t>
  </si>
  <si>
    <t>l_tot</t>
  </si>
  <si>
    <t>Pole pitch = pi*(ari gap + rotor diameter)/(pole number)</t>
  </si>
  <si>
    <t>Width of pole body (magnet width)</t>
  </si>
  <si>
    <t>https://uk.rs-online.com/web/p/neodymium-magnets/2192247</t>
  </si>
  <si>
    <t>[5.15][5.16]</t>
  </si>
  <si>
    <t>Geometry</t>
  </si>
  <si>
    <t>Magnetic circuit</t>
  </si>
  <si>
    <t>[5.29]</t>
  </si>
  <si>
    <t>[5.17] - [5.18] will be innacurrate for plastic / PLA</t>
  </si>
  <si>
    <t>Slot leakage inductiance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</si>
</sst>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.3"/>
      <color theme="1"/>
      <name val="Calibri"/>
      <family val="2"/>
    </font>
    <font>
      <sz val="12.6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0" xfId="0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5" xfId="0" applyBorder="1" applyAlignment="1">
      <alignment wrapText="1"/>
    </xf>
    <xf numFmtId="0" fontId="1" fillId="0" borderId="5" xfId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1009650</xdr:colOff>
      <xdr:row>3</xdr:row>
      <xdr:rowOff>103474</xdr:rowOff>
    </xdr:from>
    <xdr:to>
      <xdr:col>14</xdr:col>
      <xdr:colOff>74718</xdr:colOff>
      <xdr:row>38</xdr:row>
      <xdr:rowOff>94130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5478F-7EB8-AC39-A2CC-6D086EC7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674974"/>
          <a:ext cx="8809143" cy="6658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180975</xdr:colOff>
      <xdr:row>8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476B0C-F1AF-66FD-841A-3CEDD6373D2D}"/>
            </a:ext>
          </a:extLst>
        </xdr:cNvPr>
        <xdr:cNvSpPr txBox="1"/>
      </xdr:nvSpPr>
      <xdr:spPr>
        <a:xfrm>
          <a:off x="8458200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MY" sz="1100"/>
        </a:p>
      </xdr:txBody>
    </xdr:sp>
    <xdr:clientData/>
  </xdr:oneCellAnchor>
  <xdr:twoCellAnchor editAs="oneCell">
    <xdr:from>
      <xdr:col>7</xdr:col>
      <xdr:colOff>85891</xdr:colOff>
      <xdr:row>1</xdr:row>
      <xdr:rowOff>17835</xdr:rowOff>
    </xdr:from>
    <xdr:to>
      <xdr:col>16</xdr:col>
      <xdr:colOff>128170</xdr:colOff>
      <xdr:row>19</xdr:row>
      <xdr:rowOff>190896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9AF705-5794-15C4-0FB3-0B88DDFBF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66770" y="214904"/>
          <a:ext cx="5540503" cy="372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dpi.com/1996-1073/14/16/498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k.rs-online.com/web/p/neodymium-magnets/2192247" TargetMode="External"/><Relationship Id="rId1" Type="http://schemas.openxmlformats.org/officeDocument/2006/relationships/hyperlink" Target="https://kdwindturbines.nl/wp-content/uploads/2015/01/KD-667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varia-direct.co.za/scheme/common/" TargetMode="External"/><Relationship Id="rId2" Type="http://schemas.openxmlformats.org/officeDocument/2006/relationships/hyperlink" Target="https://www.youtube.com/watch?v=6btZwqnMED4&amp;ab_channel=RobertMurray-Smith" TargetMode="External"/><Relationship Id="rId1" Type="http://schemas.openxmlformats.org/officeDocument/2006/relationships/hyperlink" Target="https://alienpowersystem.com/shop/brushless-motors/80mm/c80100-outrunner-brushless-motor-50kv-7000w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327D-68F9-49AE-98FC-45DC731CBDF9}">
  <dimension ref="A2:B2"/>
  <sheetViews>
    <sheetView workbookViewId="0">
      <selection activeCell="Q16" sqref="Q16"/>
    </sheetView>
  </sheetViews>
  <sheetFormatPr defaultRowHeight="15" x14ac:dyDescent="0.25"/>
  <cols>
    <col min="1" max="1" width="27.28515625" customWidth="1"/>
  </cols>
  <sheetData>
    <row r="2" spans="1:2" x14ac:dyDescent="0.25">
      <c r="A2" t="s">
        <v>32</v>
      </c>
      <c r="B2" s="3" t="s">
        <v>33</v>
      </c>
    </row>
  </sheetData>
  <hyperlinks>
    <hyperlink ref="B2" r:id="rId1" location="sec2dot2-energies-14-04989" xr:uid="{C25A2D2B-6367-416E-AF00-7A756EAA9FE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0B32-837D-4CE8-8BF1-6EFBF6E0A169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32" t="s">
        <v>259</v>
      </c>
      <c r="B1" s="31">
        <v>80</v>
      </c>
      <c r="C1" s="32" t="s">
        <v>56</v>
      </c>
      <c r="D1" s="32" t="s">
        <v>262</v>
      </c>
    </row>
    <row r="2" spans="1:4" x14ac:dyDescent="0.25">
      <c r="A2" s="32" t="s">
        <v>260</v>
      </c>
      <c r="B2" s="31">
        <v>10</v>
      </c>
      <c r="C2" s="32" t="s">
        <v>56</v>
      </c>
      <c r="D2" s="32" t="s">
        <v>263</v>
      </c>
    </row>
    <row r="3" spans="1:4" x14ac:dyDescent="0.25">
      <c r="A3" s="32" t="s">
        <v>261</v>
      </c>
      <c r="B3" s="31">
        <v>5</v>
      </c>
      <c r="C3" s="32" t="s">
        <v>56</v>
      </c>
      <c r="D3" s="3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3B72-48E8-41C8-9A20-37D06AC673E5}">
  <dimension ref="A1:L42"/>
  <sheetViews>
    <sheetView workbookViewId="0">
      <selection activeCell="A42" sqref="A42"/>
    </sheetView>
  </sheetViews>
  <sheetFormatPr defaultRowHeight="15" x14ac:dyDescent="0.25"/>
  <cols>
    <col min="1" max="1" width="16.42578125" style="15" customWidth="1"/>
    <col min="2" max="2" width="18.28515625" style="50" customWidth="1"/>
    <col min="3" max="3" width="27.7109375" customWidth="1"/>
    <col min="4" max="4" width="13.85546875" customWidth="1"/>
    <col min="6" max="6" width="9.140625" style="49"/>
    <col min="7" max="7" width="27.7109375" customWidth="1"/>
    <col min="8" max="8" width="13.85546875" customWidth="1"/>
    <col min="10" max="10" width="9.140625" style="49"/>
    <col min="11" max="11" width="64.85546875" style="58" customWidth="1"/>
  </cols>
  <sheetData>
    <row r="1" spans="1:12" s="13" customFormat="1" ht="26.25" customHeight="1" x14ac:dyDescent="0.25">
      <c r="A1" s="68" t="s">
        <v>42</v>
      </c>
      <c r="B1" s="68"/>
      <c r="C1" s="68"/>
      <c r="D1" s="68"/>
      <c r="E1" s="68"/>
      <c r="F1" s="68"/>
      <c r="G1" s="68"/>
      <c r="H1" s="68"/>
      <c r="I1" s="68"/>
      <c r="J1" s="12"/>
      <c r="K1" s="69" t="s">
        <v>34</v>
      </c>
    </row>
    <row r="2" spans="1:12" s="14" customFormat="1" ht="26.25" customHeight="1" x14ac:dyDescent="0.25">
      <c r="A2" s="37" t="s">
        <v>17</v>
      </c>
      <c r="B2" s="37" t="s">
        <v>41</v>
      </c>
      <c r="C2" s="38" t="s">
        <v>43</v>
      </c>
      <c r="D2" s="38" t="s">
        <v>20</v>
      </c>
      <c r="E2" s="38" t="s">
        <v>21</v>
      </c>
      <c r="F2" s="37" t="s">
        <v>19</v>
      </c>
      <c r="G2" s="38" t="s">
        <v>44</v>
      </c>
      <c r="H2" s="38" t="s">
        <v>20</v>
      </c>
      <c r="I2" s="38" t="s">
        <v>21</v>
      </c>
      <c r="J2" s="37" t="s">
        <v>19</v>
      </c>
      <c r="K2" s="70"/>
    </row>
    <row r="3" spans="1:12" s="64" customFormat="1" ht="26.25" customHeight="1" x14ac:dyDescent="0.25">
      <c r="A3" s="66" t="s">
        <v>341</v>
      </c>
      <c r="B3" s="61"/>
      <c r="C3" s="62" t="s">
        <v>60</v>
      </c>
      <c r="D3" s="62">
        <v>60</v>
      </c>
      <c r="E3" s="62" t="s">
        <v>56</v>
      </c>
      <c r="F3" s="61"/>
      <c r="G3" s="62"/>
      <c r="H3" s="62"/>
      <c r="I3" s="62"/>
      <c r="J3" s="61"/>
      <c r="K3" s="63"/>
    </row>
    <row r="4" spans="1:12" ht="30" x14ac:dyDescent="0.25">
      <c r="A4" s="67"/>
      <c r="B4" s="71" t="s">
        <v>46</v>
      </c>
      <c r="C4" s="20" t="s">
        <v>49</v>
      </c>
      <c r="D4" s="19">
        <v>120</v>
      </c>
      <c r="E4" s="20" t="s">
        <v>28</v>
      </c>
      <c r="F4" s="15"/>
      <c r="G4" s="20" t="s">
        <v>50</v>
      </c>
      <c r="H4" s="19">
        <f>D5*D6/120</f>
        <v>10</v>
      </c>
      <c r="I4" s="20" t="s">
        <v>27</v>
      </c>
      <c r="J4" s="15" t="s">
        <v>37</v>
      </c>
      <c r="K4" s="40" t="s">
        <v>279</v>
      </c>
    </row>
    <row r="5" spans="1:12" x14ac:dyDescent="0.25">
      <c r="A5" s="67"/>
      <c r="B5" s="71"/>
      <c r="C5" s="20" t="s">
        <v>47</v>
      </c>
      <c r="D5" s="20">
        <v>8</v>
      </c>
      <c r="E5" s="20" t="s">
        <v>28</v>
      </c>
      <c r="F5" s="15" t="s">
        <v>48</v>
      </c>
      <c r="K5" s="40"/>
    </row>
    <row r="6" spans="1:12" x14ac:dyDescent="0.25">
      <c r="A6" s="67"/>
      <c r="B6" s="71"/>
      <c r="C6" s="20" t="s">
        <v>51</v>
      </c>
      <c r="D6" s="19">
        <v>150</v>
      </c>
      <c r="E6" s="20" t="s">
        <v>3</v>
      </c>
      <c r="F6" s="17" t="s">
        <v>52</v>
      </c>
      <c r="G6" s="20"/>
      <c r="H6" s="20"/>
      <c r="I6" s="20"/>
      <c r="J6" s="15"/>
      <c r="K6" s="40"/>
    </row>
    <row r="7" spans="1:12" x14ac:dyDescent="0.25">
      <c r="A7" s="67"/>
      <c r="B7" s="72" t="s">
        <v>46</v>
      </c>
      <c r="C7" t="s">
        <v>239</v>
      </c>
      <c r="D7">
        <f>3</f>
        <v>3</v>
      </c>
      <c r="E7" t="s">
        <v>56</v>
      </c>
      <c r="F7" s="49" t="s">
        <v>241</v>
      </c>
      <c r="G7" t="s">
        <v>238</v>
      </c>
      <c r="H7">
        <f>(D9*2*D7)/(2*D7+D8)</f>
        <v>0.89249999999999996</v>
      </c>
      <c r="I7" t="s">
        <v>120</v>
      </c>
      <c r="J7" s="49" t="s">
        <v>248</v>
      </c>
      <c r="K7" s="58" t="s">
        <v>245</v>
      </c>
    </row>
    <row r="8" spans="1:12" x14ac:dyDescent="0.25">
      <c r="A8" s="67"/>
      <c r="B8" s="65"/>
      <c r="C8" t="s">
        <v>240</v>
      </c>
      <c r="D8">
        <f>2</f>
        <v>2</v>
      </c>
      <c r="E8" t="s">
        <v>56</v>
      </c>
      <c r="F8" s="49" t="s">
        <v>242</v>
      </c>
      <c r="K8" s="59" t="s">
        <v>244</v>
      </c>
    </row>
    <row r="9" spans="1:12" x14ac:dyDescent="0.25">
      <c r="A9" s="67"/>
      <c r="B9" s="65"/>
      <c r="C9" t="s">
        <v>243</v>
      </c>
      <c r="D9">
        <v>1.19</v>
      </c>
      <c r="E9" t="s">
        <v>120</v>
      </c>
      <c r="F9" s="49" t="s">
        <v>247</v>
      </c>
      <c r="K9" s="58" t="s">
        <v>246</v>
      </c>
    </row>
    <row r="10" spans="1:12" ht="18.75" x14ac:dyDescent="0.3">
      <c r="A10" s="67"/>
      <c r="B10" s="73" t="s">
        <v>110</v>
      </c>
      <c r="C10" s="42" t="s">
        <v>118</v>
      </c>
      <c r="D10" s="51">
        <f>H7</f>
        <v>0.89249999999999996</v>
      </c>
      <c r="E10" s="42" t="s">
        <v>120</v>
      </c>
      <c r="F10" s="43" t="s">
        <v>119</v>
      </c>
      <c r="G10" s="42" t="s">
        <v>111</v>
      </c>
      <c r="H10" s="42">
        <f>D10*(0.001*D11)*(0.001*D12)</f>
        <v>8.9249999999999996E-4</v>
      </c>
      <c r="I10" s="42" t="s">
        <v>112</v>
      </c>
      <c r="J10" s="44" t="s">
        <v>113</v>
      </c>
      <c r="K10" s="40" t="s">
        <v>116</v>
      </c>
    </row>
    <row r="11" spans="1:12" ht="30" x14ac:dyDescent="0.25">
      <c r="A11" s="67"/>
      <c r="B11" s="73"/>
      <c r="C11" s="42" t="s">
        <v>106</v>
      </c>
      <c r="D11" s="51">
        <f>50</f>
        <v>50</v>
      </c>
      <c r="E11" s="42" t="s">
        <v>56</v>
      </c>
      <c r="F11" s="43" t="s">
        <v>109</v>
      </c>
      <c r="G11" s="42"/>
      <c r="H11" s="42"/>
      <c r="I11" s="42"/>
      <c r="J11" s="43"/>
      <c r="K11" s="40" t="s">
        <v>253</v>
      </c>
      <c r="L11" s="3" t="s">
        <v>339</v>
      </c>
    </row>
    <row r="12" spans="1:12" ht="30" x14ac:dyDescent="0.25">
      <c r="A12" s="67"/>
      <c r="B12" s="73"/>
      <c r="C12" s="42" t="s">
        <v>338</v>
      </c>
      <c r="D12" s="51">
        <f>20</f>
        <v>20</v>
      </c>
      <c r="E12" s="42" t="s">
        <v>56</v>
      </c>
      <c r="F12" s="43" t="s">
        <v>69</v>
      </c>
      <c r="G12" s="42"/>
      <c r="H12" s="42"/>
      <c r="I12" s="42"/>
      <c r="J12" s="43"/>
      <c r="K12" s="40"/>
    </row>
    <row r="13" spans="1:12" s="56" customFormat="1" x14ac:dyDescent="0.25">
      <c r="A13" s="67"/>
      <c r="B13" s="74" t="s">
        <v>280</v>
      </c>
      <c r="C13" s="55" t="s">
        <v>273</v>
      </c>
      <c r="D13" s="56">
        <v>3</v>
      </c>
      <c r="F13" s="54" t="s">
        <v>275</v>
      </c>
      <c r="G13" s="56" t="s">
        <v>271</v>
      </c>
      <c r="H13" s="56">
        <f>2*D13*D14*D15</f>
        <v>24</v>
      </c>
      <c r="J13" s="54"/>
      <c r="K13" s="60" t="s">
        <v>272</v>
      </c>
    </row>
    <row r="14" spans="1:12" s="56" customFormat="1" x14ac:dyDescent="0.25">
      <c r="A14" s="67"/>
      <c r="B14" s="74"/>
      <c r="C14" s="55" t="s">
        <v>266</v>
      </c>
      <c r="D14" s="56">
        <f>D5/2</f>
        <v>4</v>
      </c>
      <c r="F14" s="54" t="s">
        <v>276</v>
      </c>
      <c r="J14" s="54"/>
      <c r="K14" s="60" t="s">
        <v>277</v>
      </c>
    </row>
    <row r="15" spans="1:12" ht="30" x14ac:dyDescent="0.25">
      <c r="A15" s="67"/>
      <c r="B15" s="74"/>
      <c r="C15" s="55" t="s">
        <v>278</v>
      </c>
      <c r="D15">
        <v>1</v>
      </c>
      <c r="F15" s="49" t="s">
        <v>274</v>
      </c>
    </row>
    <row r="16" spans="1:12" x14ac:dyDescent="0.25">
      <c r="A16" s="67"/>
      <c r="B16" s="65" t="s">
        <v>281</v>
      </c>
      <c r="C16" s="55" t="s">
        <v>267</v>
      </c>
      <c r="D16">
        <f>PI()*(2*D8+D3)/(D5)</f>
        <v>25.132741228718345</v>
      </c>
      <c r="E16" t="s">
        <v>56</v>
      </c>
      <c r="F16" s="49" t="s">
        <v>284</v>
      </c>
      <c r="G16" t="s">
        <v>282</v>
      </c>
      <c r="H16">
        <f>D16/(D17*D18)</f>
        <v>8.3775804095727811</v>
      </c>
      <c r="I16" t="s">
        <v>56</v>
      </c>
      <c r="J16" s="49" t="s">
        <v>289</v>
      </c>
      <c r="K16" s="58" t="s">
        <v>337</v>
      </c>
    </row>
    <row r="17" spans="1:11" x14ac:dyDescent="0.25">
      <c r="A17" s="67"/>
      <c r="B17" s="65"/>
      <c r="C17" s="55" t="s">
        <v>283</v>
      </c>
      <c r="D17">
        <f>D13</f>
        <v>3</v>
      </c>
      <c r="F17" s="49" t="s">
        <v>275</v>
      </c>
    </row>
    <row r="18" spans="1:11" ht="30" x14ac:dyDescent="0.25">
      <c r="A18" s="67"/>
      <c r="B18" s="65"/>
      <c r="C18" s="55" t="s">
        <v>278</v>
      </c>
      <c r="D18">
        <f>D15</f>
        <v>1</v>
      </c>
      <c r="F18" s="49" t="s">
        <v>274</v>
      </c>
    </row>
    <row r="19" spans="1:11" x14ac:dyDescent="0.25">
      <c r="A19" s="67"/>
      <c r="B19" s="65" t="s">
        <v>291</v>
      </c>
      <c r="C19" s="55" t="s">
        <v>286</v>
      </c>
      <c r="D19">
        <f>H16</f>
        <v>8.3775804095727811</v>
      </c>
      <c r="E19" t="s">
        <v>56</v>
      </c>
      <c r="F19" s="49" t="s">
        <v>284</v>
      </c>
      <c r="G19" t="s">
        <v>285</v>
      </c>
      <c r="H19">
        <f>D19-D20</f>
        <v>5.3775804095727811</v>
      </c>
      <c r="I19" t="s">
        <v>56</v>
      </c>
      <c r="J19" s="49" t="s">
        <v>292</v>
      </c>
    </row>
    <row r="20" spans="1:11" x14ac:dyDescent="0.25">
      <c r="A20" s="67"/>
      <c r="B20" s="65"/>
      <c r="C20" s="55" t="s">
        <v>287</v>
      </c>
      <c r="D20">
        <v>3</v>
      </c>
      <c r="E20" t="s">
        <v>56</v>
      </c>
      <c r="F20" s="49" t="s">
        <v>288</v>
      </c>
      <c r="K20" s="58" t="s">
        <v>290</v>
      </c>
    </row>
    <row r="21" spans="1:11" x14ac:dyDescent="0.25">
      <c r="A21" s="67"/>
      <c r="B21" s="65" t="s">
        <v>300</v>
      </c>
      <c r="C21" s="55" t="s">
        <v>301</v>
      </c>
      <c r="D21">
        <v>20</v>
      </c>
      <c r="E21" t="s">
        <v>56</v>
      </c>
      <c r="F21" s="49" t="s">
        <v>164</v>
      </c>
      <c r="G21" s="57" t="s">
        <v>299</v>
      </c>
      <c r="H21">
        <f>D21-D23-D24</f>
        <v>17</v>
      </c>
      <c r="I21" t="s">
        <v>56</v>
      </c>
      <c r="J21" s="49" t="s">
        <v>305</v>
      </c>
      <c r="K21" s="58" t="s">
        <v>295</v>
      </c>
    </row>
    <row r="22" spans="1:11" x14ac:dyDescent="0.25">
      <c r="A22" s="67"/>
      <c r="B22" s="65"/>
      <c r="C22" s="55" t="s">
        <v>293</v>
      </c>
      <c r="D22">
        <v>3</v>
      </c>
      <c r="E22" t="s">
        <v>56</v>
      </c>
      <c r="F22" s="49" t="s">
        <v>294</v>
      </c>
      <c r="K22" s="58" t="s">
        <v>295</v>
      </c>
    </row>
    <row r="23" spans="1:11" x14ac:dyDescent="0.25">
      <c r="A23" s="67"/>
      <c r="B23" s="65"/>
      <c r="C23" s="55" t="s">
        <v>296</v>
      </c>
      <c r="D23">
        <v>3</v>
      </c>
      <c r="E23" t="s">
        <v>56</v>
      </c>
      <c r="F23" s="49" t="s">
        <v>297</v>
      </c>
    </row>
    <row r="24" spans="1:11" x14ac:dyDescent="0.25">
      <c r="A24" s="67"/>
      <c r="B24" s="65"/>
      <c r="C24" s="55" t="s">
        <v>130</v>
      </c>
      <c r="D24">
        <v>0</v>
      </c>
      <c r="E24" t="s">
        <v>56</v>
      </c>
      <c r="F24" s="49" t="s">
        <v>298</v>
      </c>
    </row>
    <row r="25" spans="1:11" x14ac:dyDescent="0.25">
      <c r="A25" s="67"/>
      <c r="B25" s="65" t="s">
        <v>302</v>
      </c>
      <c r="C25" s="57" t="s">
        <v>299</v>
      </c>
      <c r="D25">
        <f>H21</f>
        <v>17</v>
      </c>
      <c r="E25" t="s">
        <v>56</v>
      </c>
      <c r="F25" s="49" t="s">
        <v>305</v>
      </c>
      <c r="G25" s="55" t="s">
        <v>303</v>
      </c>
      <c r="H25">
        <f>(D25-4*D26)/2</f>
        <v>8.5</v>
      </c>
      <c r="I25" t="s">
        <v>56</v>
      </c>
      <c r="J25" s="49" t="s">
        <v>306</v>
      </c>
    </row>
    <row r="26" spans="1:11" x14ac:dyDescent="0.25">
      <c r="A26" s="67"/>
      <c r="B26" s="65"/>
      <c r="C26" s="55" t="s">
        <v>308</v>
      </c>
      <c r="D26">
        <v>0</v>
      </c>
      <c r="E26" t="s">
        <v>56</v>
      </c>
      <c r="F26" s="49" t="s">
        <v>309</v>
      </c>
      <c r="G26" s="55" t="s">
        <v>304</v>
      </c>
      <c r="H26">
        <f>D27-2*D26</f>
        <v>5.3775804095727811</v>
      </c>
      <c r="I26" t="s">
        <v>56</v>
      </c>
      <c r="J26" s="49" t="s">
        <v>307</v>
      </c>
    </row>
    <row r="27" spans="1:11" x14ac:dyDescent="0.25">
      <c r="A27" s="67"/>
      <c r="B27" s="65"/>
      <c r="C27" t="s">
        <v>285</v>
      </c>
      <c r="D27">
        <f>H19</f>
        <v>5.3775804095727811</v>
      </c>
      <c r="E27" t="s">
        <v>56</v>
      </c>
      <c r="F27" s="49" t="s">
        <v>292</v>
      </c>
    </row>
    <row r="28" spans="1:11" ht="30" x14ac:dyDescent="0.25">
      <c r="A28" s="67"/>
      <c r="B28" s="50" t="s">
        <v>310</v>
      </c>
      <c r="C28" s="55" t="s">
        <v>267</v>
      </c>
      <c r="D28">
        <f>D16</f>
        <v>25.132741228718345</v>
      </c>
      <c r="E28" t="s">
        <v>56</v>
      </c>
      <c r="F28" s="49" t="s">
        <v>284</v>
      </c>
      <c r="G28" s="57" t="s">
        <v>312</v>
      </c>
      <c r="H28">
        <f>0.7*D28</f>
        <v>17.592918860102841</v>
      </c>
      <c r="I28" t="s">
        <v>56</v>
      </c>
      <c r="K28" s="58" t="s">
        <v>311</v>
      </c>
    </row>
    <row r="29" spans="1:11" x14ac:dyDescent="0.25">
      <c r="A29" s="67"/>
      <c r="B29" s="50" t="s">
        <v>313</v>
      </c>
      <c r="C29" s="55" t="s">
        <v>267</v>
      </c>
      <c r="D29">
        <f>D16</f>
        <v>25.132741228718345</v>
      </c>
      <c r="E29" t="s">
        <v>56</v>
      </c>
      <c r="F29" s="49" t="s">
        <v>284</v>
      </c>
      <c r="G29" s="57" t="s">
        <v>314</v>
      </c>
      <c r="H29">
        <f>D29</f>
        <v>25.132741228718345</v>
      </c>
      <c r="I29" t="s">
        <v>56</v>
      </c>
      <c r="J29" s="49" t="s">
        <v>29</v>
      </c>
    </row>
    <row r="30" spans="1:11" x14ac:dyDescent="0.25">
      <c r="A30" s="67"/>
      <c r="B30" s="50" t="s">
        <v>315</v>
      </c>
      <c r="C30" s="57" t="s">
        <v>314</v>
      </c>
      <c r="D30">
        <f>H29</f>
        <v>25.132741228718345</v>
      </c>
      <c r="E30" t="s">
        <v>56</v>
      </c>
      <c r="F30" s="49" t="s">
        <v>29</v>
      </c>
      <c r="G30" s="57" t="s">
        <v>316</v>
      </c>
      <c r="H30" s="57">
        <f>2*D30</f>
        <v>50.26548245743669</v>
      </c>
      <c r="I30" s="57" t="s">
        <v>56</v>
      </c>
      <c r="K30" s="58" t="s">
        <v>295</v>
      </c>
    </row>
    <row r="31" spans="1:11" x14ac:dyDescent="0.25">
      <c r="A31" s="67"/>
      <c r="B31" s="65" t="s">
        <v>317</v>
      </c>
      <c r="C31" s="55" t="s">
        <v>318</v>
      </c>
      <c r="D31">
        <f>D8</f>
        <v>2</v>
      </c>
      <c r="E31" t="s">
        <v>56</v>
      </c>
      <c r="F31" s="49" t="s">
        <v>320</v>
      </c>
      <c r="G31" s="57" t="s">
        <v>322</v>
      </c>
      <c r="H31">
        <f>D32+2*D31</f>
        <v>54</v>
      </c>
      <c r="I31" s="57" t="s">
        <v>56</v>
      </c>
      <c r="K31" s="58" t="s">
        <v>319</v>
      </c>
    </row>
    <row r="32" spans="1:11" x14ac:dyDescent="0.25">
      <c r="A32" s="67"/>
      <c r="B32" s="65"/>
      <c r="C32" s="55" t="s">
        <v>321</v>
      </c>
      <c r="D32">
        <v>50</v>
      </c>
      <c r="E32" t="s">
        <v>56</v>
      </c>
      <c r="F32" s="49" t="s">
        <v>227</v>
      </c>
    </row>
    <row r="33" spans="1:11" x14ac:dyDescent="0.25">
      <c r="A33" s="67"/>
      <c r="B33" s="65" t="s">
        <v>327</v>
      </c>
      <c r="C33" s="55" t="s">
        <v>325</v>
      </c>
      <c r="D33">
        <v>0</v>
      </c>
      <c r="F33" s="49" t="s">
        <v>326</v>
      </c>
      <c r="G33" t="s">
        <v>324</v>
      </c>
      <c r="H33">
        <f>D33*D34</f>
        <v>0</v>
      </c>
      <c r="I33" t="s">
        <v>56</v>
      </c>
      <c r="K33" s="58" t="s">
        <v>323</v>
      </c>
    </row>
    <row r="34" spans="1:11" x14ac:dyDescent="0.25">
      <c r="A34" s="67"/>
      <c r="B34" s="65"/>
      <c r="C34" s="55" t="s">
        <v>321</v>
      </c>
      <c r="D34">
        <f>D32</f>
        <v>50</v>
      </c>
      <c r="E34" t="s">
        <v>56</v>
      </c>
      <c r="F34" s="49" t="s">
        <v>227</v>
      </c>
    </row>
    <row r="35" spans="1:11" x14ac:dyDescent="0.25">
      <c r="A35" s="67"/>
      <c r="B35" s="65" t="s">
        <v>340</v>
      </c>
      <c r="C35" s="55" t="s">
        <v>301</v>
      </c>
      <c r="D35">
        <f>D21</f>
        <v>20</v>
      </c>
      <c r="E35" t="s">
        <v>56</v>
      </c>
      <c r="F35" s="49" t="s">
        <v>164</v>
      </c>
      <c r="G35" t="s">
        <v>328</v>
      </c>
      <c r="H35">
        <f>D37+2*D35+2*D36</f>
        <v>112</v>
      </c>
      <c r="I35" t="s">
        <v>56</v>
      </c>
      <c r="J35" s="49" t="s">
        <v>335</v>
      </c>
    </row>
    <row r="36" spans="1:11" x14ac:dyDescent="0.25">
      <c r="A36" s="67"/>
      <c r="B36" s="65"/>
      <c r="C36" s="55" t="s">
        <v>330</v>
      </c>
      <c r="D36">
        <v>5</v>
      </c>
      <c r="E36" t="s">
        <v>56</v>
      </c>
      <c r="F36" s="49" t="s">
        <v>331</v>
      </c>
      <c r="G36" t="s">
        <v>329</v>
      </c>
      <c r="H36">
        <f>D38+3*D39</f>
        <v>125.39822368615503</v>
      </c>
      <c r="I36" t="s">
        <v>56</v>
      </c>
      <c r="J36" s="49" t="s">
        <v>336</v>
      </c>
      <c r="K36" s="58" t="s">
        <v>332</v>
      </c>
    </row>
    <row r="37" spans="1:11" x14ac:dyDescent="0.25">
      <c r="A37" s="67"/>
      <c r="B37" s="65"/>
      <c r="C37" s="55" t="s">
        <v>333</v>
      </c>
      <c r="D37">
        <f>D8+D3</f>
        <v>62</v>
      </c>
      <c r="E37" t="s">
        <v>56</v>
      </c>
      <c r="F37" s="49" t="s">
        <v>334</v>
      </c>
    </row>
    <row r="38" spans="1:11" x14ac:dyDescent="0.25">
      <c r="A38" s="67"/>
      <c r="B38" s="65"/>
      <c r="C38" s="55" t="s">
        <v>321</v>
      </c>
      <c r="D38">
        <f>D32</f>
        <v>50</v>
      </c>
      <c r="E38" t="s">
        <v>56</v>
      </c>
      <c r="F38" s="49" t="s">
        <v>227</v>
      </c>
    </row>
    <row r="39" spans="1:11" x14ac:dyDescent="0.25">
      <c r="A39" s="67"/>
      <c r="B39" s="65"/>
      <c r="C39" s="57" t="s">
        <v>314</v>
      </c>
      <c r="D39">
        <f>H29</f>
        <v>25.132741228718345</v>
      </c>
      <c r="E39" t="s">
        <v>56</v>
      </c>
      <c r="F39" s="49" t="s">
        <v>29</v>
      </c>
    </row>
    <row r="40" spans="1:11" x14ac:dyDescent="0.25">
      <c r="A40" s="61"/>
      <c r="C40" s="57"/>
      <c r="K40" s="58" t="s">
        <v>344</v>
      </c>
    </row>
    <row r="41" spans="1:11" x14ac:dyDescent="0.25">
      <c r="A41" s="15" t="s">
        <v>342</v>
      </c>
      <c r="B41" s="50" t="s">
        <v>343</v>
      </c>
      <c r="C41" s="1" t="s">
        <v>47</v>
      </c>
      <c r="D41" s="1">
        <v>8</v>
      </c>
      <c r="E41" s="1" t="s">
        <v>28</v>
      </c>
      <c r="F41" s="15" t="s">
        <v>48</v>
      </c>
      <c r="G41" t="s">
        <v>345</v>
      </c>
    </row>
    <row r="42" spans="1:11" ht="30" x14ac:dyDescent="0.25">
      <c r="C42" s="1" t="s">
        <v>278</v>
      </c>
      <c r="D42">
        <f>D18</f>
        <v>1</v>
      </c>
      <c r="F42" s="49" t="s">
        <v>274</v>
      </c>
    </row>
  </sheetData>
  <mergeCells count="14">
    <mergeCell ref="A1:I1"/>
    <mergeCell ref="K1:K2"/>
    <mergeCell ref="B4:B6"/>
    <mergeCell ref="B7:B9"/>
    <mergeCell ref="B10:B12"/>
    <mergeCell ref="B35:B39"/>
    <mergeCell ref="A3:A39"/>
    <mergeCell ref="B16:B18"/>
    <mergeCell ref="B19:B20"/>
    <mergeCell ref="B21:B24"/>
    <mergeCell ref="B25:B27"/>
    <mergeCell ref="B33:B34"/>
    <mergeCell ref="B31:B32"/>
    <mergeCell ref="B13:B15"/>
  </mergeCells>
  <hyperlinks>
    <hyperlink ref="K8" r:id="rId1" xr:uid="{79C24697-8DD6-4ED1-8EAB-3D5C1FB95768}"/>
    <hyperlink ref="L11" r:id="rId2" xr:uid="{FCB93242-8A67-42B7-9A20-7F5F3F9188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90B9-1ABF-4285-9C71-091DF4F1D9A5}">
  <dimension ref="A1"/>
  <sheetViews>
    <sheetView workbookViewId="0">
      <selection activeCell="M29" sqref="M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CBF2-0667-4C3B-BEA7-E6A731017522}">
  <dimension ref="A1:K3"/>
  <sheetViews>
    <sheetView workbookViewId="0">
      <selection activeCell="C8" sqref="C8"/>
    </sheetView>
  </sheetViews>
  <sheetFormatPr defaultRowHeight="15" x14ac:dyDescent="0.25"/>
  <cols>
    <col min="1" max="1" width="16.42578125" customWidth="1"/>
    <col min="2" max="2" width="18.28515625" customWidth="1"/>
    <col min="3" max="3" width="27.7109375" customWidth="1"/>
    <col min="4" max="4" width="13.85546875" customWidth="1"/>
    <col min="7" max="7" width="27.7109375" customWidth="1"/>
    <col min="8" max="8" width="13.85546875" customWidth="1"/>
    <col min="11" max="11" width="64.85546875" customWidth="1"/>
  </cols>
  <sheetData>
    <row r="1" spans="1:11" x14ac:dyDescent="0.25">
      <c r="A1" s="68" t="s">
        <v>42</v>
      </c>
      <c r="B1" s="68"/>
      <c r="C1" s="68"/>
      <c r="D1" s="68"/>
      <c r="E1" s="68"/>
      <c r="F1" s="68"/>
      <c r="G1" s="68"/>
      <c r="H1" s="68"/>
      <c r="I1" s="68"/>
      <c r="J1" s="12"/>
      <c r="K1" s="69" t="s">
        <v>34</v>
      </c>
    </row>
    <row r="2" spans="1:11" x14ac:dyDescent="0.25">
      <c r="A2" s="37" t="s">
        <v>17</v>
      </c>
      <c r="B2" s="37" t="s">
        <v>41</v>
      </c>
      <c r="C2" s="38" t="s">
        <v>43</v>
      </c>
      <c r="D2" s="38" t="s">
        <v>20</v>
      </c>
      <c r="E2" s="38" t="s">
        <v>21</v>
      </c>
      <c r="F2" s="37" t="s">
        <v>19</v>
      </c>
      <c r="G2" s="38" t="s">
        <v>44</v>
      </c>
      <c r="H2" s="38" t="s">
        <v>20</v>
      </c>
      <c r="I2" s="38" t="s">
        <v>21</v>
      </c>
      <c r="J2" s="37" t="s">
        <v>19</v>
      </c>
      <c r="K2" s="70"/>
    </row>
    <row r="3" spans="1:11" x14ac:dyDescent="0.25">
      <c r="A3" s="15" t="s">
        <v>223</v>
      </c>
      <c r="B3" s="18" t="s">
        <v>224</v>
      </c>
      <c r="C3" s="1"/>
      <c r="D3" s="16"/>
      <c r="E3" s="1"/>
      <c r="F3" s="15"/>
      <c r="G3" s="1"/>
      <c r="H3" s="1"/>
      <c r="I3" s="1"/>
      <c r="J3" s="15"/>
      <c r="K3" s="40"/>
    </row>
  </sheetData>
  <mergeCells count="2">
    <mergeCell ref="A1:I1"/>
    <mergeCell ref="K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1FF0-7883-4125-B3D9-66E135FCD1D7}">
  <dimension ref="A1:E18"/>
  <sheetViews>
    <sheetView workbookViewId="0">
      <selection activeCell="E22" sqref="E22"/>
    </sheetView>
  </sheetViews>
  <sheetFormatPr defaultRowHeight="15" x14ac:dyDescent="0.25"/>
  <cols>
    <col min="1" max="1" width="24.7109375" customWidth="1"/>
    <col min="4" max="4" width="61.7109375" customWidth="1"/>
    <col min="5" max="5" width="71.140625" style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175</v>
      </c>
      <c r="C2">
        <v>500</v>
      </c>
      <c r="D2" t="s">
        <v>3</v>
      </c>
    </row>
    <row r="3" spans="1:5" x14ac:dyDescent="0.25">
      <c r="A3" t="s">
        <v>4</v>
      </c>
    </row>
    <row r="4" spans="1:5" x14ac:dyDescent="0.25">
      <c r="A4" t="s">
        <v>5</v>
      </c>
      <c r="C4">
        <v>0.5</v>
      </c>
      <c r="D4" t="s">
        <v>6</v>
      </c>
    </row>
    <row r="5" spans="1:5" x14ac:dyDescent="0.25">
      <c r="A5" t="s">
        <v>7</v>
      </c>
      <c r="B5">
        <v>12</v>
      </c>
      <c r="D5" t="s">
        <v>8</v>
      </c>
    </row>
    <row r="6" spans="1:5" ht="13.15" customHeight="1" x14ac:dyDescent="0.25">
      <c r="A6" t="s">
        <v>9</v>
      </c>
      <c r="B6">
        <f>B2/B5</f>
        <v>14.583333333333334</v>
      </c>
      <c r="C6">
        <f>C2/B5</f>
        <v>41.666666666666664</v>
      </c>
      <c r="D6" t="s">
        <v>10</v>
      </c>
      <c r="E6" s="2" t="s">
        <v>11</v>
      </c>
    </row>
    <row r="7" spans="1:5" x14ac:dyDescent="0.25">
      <c r="A7" t="s">
        <v>12</v>
      </c>
      <c r="B7" t="s">
        <v>13</v>
      </c>
      <c r="D7" t="s">
        <v>14</v>
      </c>
    </row>
    <row r="8" spans="1:5" x14ac:dyDescent="0.25">
      <c r="A8" t="s">
        <v>15</v>
      </c>
      <c r="C8">
        <v>50</v>
      </c>
    </row>
    <row r="10" spans="1:5" x14ac:dyDescent="0.25">
      <c r="A10" t="s">
        <v>226</v>
      </c>
      <c r="E10" s="1" t="s">
        <v>232</v>
      </c>
    </row>
    <row r="11" spans="1:5" x14ac:dyDescent="0.25">
      <c r="A11" t="s">
        <v>225</v>
      </c>
      <c r="B11">
        <v>60</v>
      </c>
      <c r="C11" t="s">
        <v>56</v>
      </c>
      <c r="D11" t="s">
        <v>227</v>
      </c>
    </row>
    <row r="12" spans="1:5" x14ac:dyDescent="0.25">
      <c r="B12">
        <v>10</v>
      </c>
      <c r="C12" t="s">
        <v>56</v>
      </c>
      <c r="D12" t="s">
        <v>228</v>
      </c>
    </row>
    <row r="13" spans="1:5" x14ac:dyDescent="0.25">
      <c r="B13">
        <v>3</v>
      </c>
      <c r="C13" t="s">
        <v>56</v>
      </c>
      <c r="D13" t="s">
        <v>229</v>
      </c>
    </row>
    <row r="14" spans="1:5" x14ac:dyDescent="0.25">
      <c r="A14" t="s">
        <v>230</v>
      </c>
      <c r="B14">
        <v>0.2</v>
      </c>
      <c r="C14" t="s">
        <v>56</v>
      </c>
      <c r="D14" t="s">
        <v>231</v>
      </c>
      <c r="E14" s="1" t="s">
        <v>232</v>
      </c>
    </row>
    <row r="15" spans="1:5" ht="30" x14ac:dyDescent="0.25">
      <c r="E15" s="2" t="s">
        <v>233</v>
      </c>
    </row>
    <row r="16" spans="1:5" x14ac:dyDescent="0.25">
      <c r="A16" t="s">
        <v>234</v>
      </c>
      <c r="E16" s="2" t="s">
        <v>235</v>
      </c>
    </row>
    <row r="17" spans="5:5" x14ac:dyDescent="0.25">
      <c r="E17" s="1" t="s">
        <v>236</v>
      </c>
    </row>
    <row r="18" spans="5:5" x14ac:dyDescent="0.25">
      <c r="E18" s="1" t="s">
        <v>237</v>
      </c>
    </row>
  </sheetData>
  <hyperlinks>
    <hyperlink ref="E6" r:id="rId1" display="https://alienpowersystem.com/shop/brushless-motors/80mm/c80100-outrunner-brushless-motor-50kv-7000w/" xr:uid="{130B44AE-9459-4FC0-9103-A2795BB58B31}"/>
    <hyperlink ref="E15" r:id="rId2" xr:uid="{BDF89016-9F5B-46CD-98F4-17924456AE7C}"/>
    <hyperlink ref="E16" r:id="rId3" xr:uid="{173136B0-2E38-4639-9B4B-295C7BF24A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145" zoomScaleNormal="145" workbookViewId="0">
      <selection activeCell="C6" sqref="C6"/>
    </sheetView>
  </sheetViews>
  <sheetFormatPr defaultRowHeight="15.75" customHeight="1" x14ac:dyDescent="0.25"/>
  <cols>
    <col min="1" max="1" width="18.28515625" style="11" customWidth="1"/>
    <col min="2" max="2" width="34.140625" style="9" customWidth="1"/>
    <col min="3" max="3" width="27.5703125" style="7" customWidth="1"/>
    <col min="4" max="4" width="9.140625" style="8"/>
    <col min="5" max="5" width="9.140625" style="9"/>
    <col min="6" max="6" width="64.85546875" style="5" customWidth="1"/>
    <col min="7" max="7" width="64.42578125" style="5" customWidth="1"/>
  </cols>
  <sheetData>
    <row r="1" spans="1:7" s="6" customFormat="1" ht="15.75" customHeight="1" x14ac:dyDescent="0.25">
      <c r="A1" s="81" t="s">
        <v>39</v>
      </c>
      <c r="B1" s="81"/>
      <c r="C1" s="81"/>
      <c r="D1" s="81"/>
      <c r="E1" s="82"/>
      <c r="F1" s="75" t="s">
        <v>34</v>
      </c>
      <c r="G1" s="75" t="s">
        <v>123</v>
      </c>
    </row>
    <row r="2" spans="1:7" s="7" customFormat="1" ht="15.75" customHeight="1" x14ac:dyDescent="0.25">
      <c r="A2" s="26" t="s">
        <v>17</v>
      </c>
      <c r="B2" s="27" t="s">
        <v>18</v>
      </c>
      <c r="C2" s="28" t="s">
        <v>20</v>
      </c>
      <c r="D2" s="26" t="s">
        <v>21</v>
      </c>
      <c r="E2" s="27" t="s">
        <v>19</v>
      </c>
      <c r="F2" s="76"/>
      <c r="G2" s="76"/>
    </row>
    <row r="3" spans="1:7" ht="15.75" customHeight="1" x14ac:dyDescent="0.25">
      <c r="A3" s="79" t="s">
        <v>16</v>
      </c>
      <c r="B3" s="9" t="s">
        <v>22</v>
      </c>
      <c r="C3" s="7">
        <v>50</v>
      </c>
      <c r="D3" s="8" t="s">
        <v>29</v>
      </c>
      <c r="E3" s="9" t="s">
        <v>30</v>
      </c>
    </row>
    <row r="4" spans="1:7" ht="15.75" customHeight="1" x14ac:dyDescent="0.25">
      <c r="A4" s="79"/>
      <c r="B4" s="9" t="s">
        <v>23</v>
      </c>
      <c r="C4" s="7">
        <v>36</v>
      </c>
      <c r="D4" s="8" t="s">
        <v>8</v>
      </c>
      <c r="E4" s="9" t="s">
        <v>31</v>
      </c>
    </row>
    <row r="5" spans="1:7" ht="15.75" customHeight="1" x14ac:dyDescent="0.25">
      <c r="A5" s="79"/>
      <c r="B5" s="9" t="s">
        <v>24</v>
      </c>
      <c r="C5" s="7">
        <v>0.9</v>
      </c>
      <c r="D5" s="8" t="s">
        <v>28</v>
      </c>
      <c r="E5" s="9" t="s">
        <v>36</v>
      </c>
      <c r="F5" s="5" t="s">
        <v>122</v>
      </c>
    </row>
    <row r="6" spans="1:7" ht="15.75" customHeight="1" x14ac:dyDescent="0.25">
      <c r="A6" s="79"/>
      <c r="B6" s="9" t="s">
        <v>25</v>
      </c>
      <c r="C6" s="7">
        <v>15</v>
      </c>
      <c r="D6" s="8" t="s">
        <v>27</v>
      </c>
      <c r="E6" s="10" t="s">
        <v>37</v>
      </c>
    </row>
    <row r="7" spans="1:7" s="36" customFormat="1" ht="15.75" customHeight="1" x14ac:dyDescent="0.25">
      <c r="A7" s="80"/>
      <c r="B7" s="21" t="s">
        <v>3</v>
      </c>
      <c r="C7" s="22">
        <f>150</f>
        <v>150</v>
      </c>
      <c r="D7" s="23" t="s">
        <v>26</v>
      </c>
      <c r="E7" s="24" t="s">
        <v>38</v>
      </c>
      <c r="F7" s="4" t="s">
        <v>35</v>
      </c>
      <c r="G7" s="4"/>
    </row>
    <row r="8" spans="1:7" s="25" customFormat="1" ht="15.75" customHeight="1" x14ac:dyDescent="0.25">
      <c r="A8" s="41" t="s">
        <v>158</v>
      </c>
      <c r="B8" s="33" t="s">
        <v>156</v>
      </c>
      <c r="C8" s="35"/>
      <c r="E8" s="33" t="s">
        <v>157</v>
      </c>
      <c r="F8" s="4"/>
      <c r="G8" s="4"/>
    </row>
    <row r="9" spans="1:7" ht="15.75" customHeight="1" x14ac:dyDescent="0.25">
      <c r="A9" s="78" t="s">
        <v>132</v>
      </c>
      <c r="B9" s="29" t="s">
        <v>128</v>
      </c>
      <c r="C9" s="39">
        <v>3</v>
      </c>
      <c r="D9" s="30" t="s">
        <v>56</v>
      </c>
      <c r="E9" s="29" t="s">
        <v>129</v>
      </c>
      <c r="F9" s="53"/>
      <c r="G9" s="53"/>
    </row>
    <row r="10" spans="1:7" ht="15.75" customHeight="1" x14ac:dyDescent="0.25">
      <c r="A10" s="79"/>
      <c r="B10" s="15" t="s">
        <v>130</v>
      </c>
      <c r="C10" s="19">
        <v>0</v>
      </c>
      <c r="D10" s="20" t="s">
        <v>56</v>
      </c>
      <c r="E10" s="15" t="s">
        <v>131</v>
      </c>
    </row>
    <row r="11" spans="1:7" ht="15.75" customHeight="1" x14ac:dyDescent="0.25">
      <c r="A11" s="79"/>
      <c r="B11" s="15" t="s">
        <v>135</v>
      </c>
      <c r="C11" s="19">
        <f>360/18</f>
        <v>20</v>
      </c>
      <c r="D11" s="20" t="s">
        <v>62</v>
      </c>
      <c r="E11" s="15" t="s">
        <v>138</v>
      </c>
      <c r="F11" s="5" t="s">
        <v>268</v>
      </c>
    </row>
    <row r="12" spans="1:7" ht="15.75" customHeight="1" x14ac:dyDescent="0.25">
      <c r="A12" s="79"/>
      <c r="B12" s="15" t="s">
        <v>136</v>
      </c>
      <c r="C12" s="19">
        <v>1</v>
      </c>
      <c r="D12" s="20" t="s">
        <v>28</v>
      </c>
      <c r="E12" s="15" t="s">
        <v>137</v>
      </c>
    </row>
    <row r="13" spans="1:7" ht="15.75" customHeight="1" x14ac:dyDescent="0.25">
      <c r="A13" s="79"/>
      <c r="B13" s="15" t="s">
        <v>148</v>
      </c>
      <c r="C13" s="19">
        <v>5</v>
      </c>
      <c r="D13" s="20" t="s">
        <v>56</v>
      </c>
      <c r="E13" s="15" t="s">
        <v>147</v>
      </c>
    </row>
    <row r="14" spans="1:7" ht="15.75" customHeight="1" x14ac:dyDescent="0.25">
      <c r="A14" s="79"/>
      <c r="B14" s="15" t="s">
        <v>151</v>
      </c>
      <c r="C14" s="19">
        <v>1</v>
      </c>
      <c r="D14" s="20" t="s">
        <v>28</v>
      </c>
      <c r="E14" s="15" t="s">
        <v>152</v>
      </c>
    </row>
    <row r="15" spans="1:7" ht="15.75" customHeight="1" x14ac:dyDescent="0.25">
      <c r="A15" s="79"/>
      <c r="B15" s="15" t="s">
        <v>162</v>
      </c>
      <c r="C15" s="19">
        <f>1</f>
        <v>1</v>
      </c>
      <c r="D15" s="20" t="s">
        <v>28</v>
      </c>
      <c r="E15" s="15" t="s">
        <v>161</v>
      </c>
    </row>
    <row r="16" spans="1:7" ht="15.75" customHeight="1" x14ac:dyDescent="0.25">
      <c r="A16" s="79"/>
      <c r="B16" s="15" t="s">
        <v>179</v>
      </c>
      <c r="C16" s="19">
        <v>1</v>
      </c>
      <c r="D16" s="20" t="s">
        <v>28</v>
      </c>
      <c r="E16" s="15" t="s">
        <v>180</v>
      </c>
    </row>
    <row r="17" spans="1:7" ht="15.75" customHeight="1" x14ac:dyDescent="0.25">
      <c r="A17" s="79"/>
      <c r="B17" s="15" t="s">
        <v>188</v>
      </c>
      <c r="C17" s="19">
        <v>18</v>
      </c>
      <c r="D17" s="20" t="s">
        <v>28</v>
      </c>
      <c r="E17" s="15" t="s">
        <v>189</v>
      </c>
    </row>
    <row r="18" spans="1:7" ht="15.75" customHeight="1" x14ac:dyDescent="0.25">
      <c r="A18" s="79"/>
      <c r="B18" s="15" t="s">
        <v>187</v>
      </c>
      <c r="C18" s="19">
        <f>30/0.813</f>
        <v>36.900369003690038</v>
      </c>
      <c r="D18" s="20" t="s">
        <v>28</v>
      </c>
      <c r="E18" s="15" t="s">
        <v>190</v>
      </c>
    </row>
    <row r="19" spans="1:7" ht="15.75" customHeight="1" x14ac:dyDescent="0.3">
      <c r="A19" s="79"/>
      <c r="B19" s="15" t="s">
        <v>200</v>
      </c>
      <c r="C19" s="19" t="e">
        <f>#REF!*0.5</f>
        <v>#REF!</v>
      </c>
      <c r="D19" s="20"/>
      <c r="E19" s="17" t="s">
        <v>201</v>
      </c>
      <c r="F19" s="5" t="s">
        <v>270</v>
      </c>
    </row>
    <row r="20" spans="1:7" ht="15.75" customHeight="1" x14ac:dyDescent="0.25">
      <c r="A20" s="79"/>
      <c r="B20" s="15" t="s">
        <v>205</v>
      </c>
      <c r="C20" s="19">
        <f>10/0.813</f>
        <v>12.300123001230013</v>
      </c>
      <c r="D20" s="20" t="s">
        <v>28</v>
      </c>
      <c r="E20" s="15" t="s">
        <v>206</v>
      </c>
      <c r="F20" s="5" t="s">
        <v>269</v>
      </c>
    </row>
    <row r="21" spans="1:7" ht="15.75" customHeight="1" x14ac:dyDescent="0.25">
      <c r="A21" s="79"/>
      <c r="B21" s="15" t="s">
        <v>210</v>
      </c>
      <c r="C21" s="19">
        <v>1</v>
      </c>
      <c r="D21" s="20" t="s">
        <v>28</v>
      </c>
      <c r="E21" s="15" t="s">
        <v>211</v>
      </c>
    </row>
    <row r="22" spans="1:7" ht="15.75" customHeight="1" x14ac:dyDescent="0.25">
      <c r="A22" s="79"/>
      <c r="B22" s="15" t="s">
        <v>213</v>
      </c>
      <c r="C22" s="19"/>
      <c r="D22" s="20" t="s">
        <v>94</v>
      </c>
      <c r="E22" s="15" t="s">
        <v>216</v>
      </c>
    </row>
    <row r="23" spans="1:7" ht="15.75" customHeight="1" x14ac:dyDescent="0.25">
      <c r="A23" s="80"/>
      <c r="B23" s="33" t="s">
        <v>208</v>
      </c>
      <c r="C23" s="34"/>
      <c r="D23" s="35" t="s">
        <v>94</v>
      </c>
      <c r="E23" s="33" t="s">
        <v>209</v>
      </c>
      <c r="F23" s="4"/>
      <c r="G23" s="4"/>
    </row>
    <row r="24" spans="1:7" ht="15.75" customHeight="1" x14ac:dyDescent="0.25">
      <c r="A24" s="77" t="s">
        <v>257</v>
      </c>
      <c r="B24" s="9" t="s">
        <v>259</v>
      </c>
      <c r="C24" s="7">
        <v>80</v>
      </c>
      <c r="D24" s="8" t="s">
        <v>56</v>
      </c>
      <c r="E24" s="9" t="s">
        <v>262</v>
      </c>
      <c r="F24" s="5" t="s">
        <v>258</v>
      </c>
    </row>
    <row r="25" spans="1:7" ht="15.75" customHeight="1" x14ac:dyDescent="0.25">
      <c r="A25" s="77"/>
      <c r="B25" s="9" t="s">
        <v>260</v>
      </c>
      <c r="C25" s="7">
        <v>10</v>
      </c>
      <c r="D25" s="8" t="s">
        <v>56</v>
      </c>
      <c r="E25" s="9" t="s">
        <v>263</v>
      </c>
    </row>
    <row r="26" spans="1:7" ht="15.75" customHeight="1" x14ac:dyDescent="0.25">
      <c r="A26" s="77"/>
      <c r="B26" s="9" t="s">
        <v>261</v>
      </c>
      <c r="C26" s="7">
        <v>5</v>
      </c>
      <c r="D26" s="8" t="s">
        <v>56</v>
      </c>
      <c r="E26" s="9" t="s">
        <v>264</v>
      </c>
    </row>
    <row r="27" spans="1:7" ht="15.75" customHeight="1" x14ac:dyDescent="0.25">
      <c r="A27" s="77"/>
      <c r="B27" s="15" t="s">
        <v>60</v>
      </c>
      <c r="C27" s="31">
        <v>100</v>
      </c>
      <c r="D27" s="20" t="s">
        <v>56</v>
      </c>
      <c r="E27" s="15" t="s">
        <v>40</v>
      </c>
    </row>
    <row r="28" spans="1:7" ht="15.75" customHeight="1" x14ac:dyDescent="0.25">
      <c r="A28" s="77"/>
      <c r="B28" s="15" t="s">
        <v>104</v>
      </c>
      <c r="C28" s="19">
        <v>2</v>
      </c>
      <c r="D28" s="20" t="s">
        <v>56</v>
      </c>
      <c r="E28" s="15" t="s">
        <v>105</v>
      </c>
    </row>
    <row r="29" spans="1:7" ht="15.75" customHeight="1" x14ac:dyDescent="0.25">
      <c r="A29" s="77"/>
      <c r="B29" s="15" t="s">
        <v>107</v>
      </c>
      <c r="C29" s="19">
        <v>1</v>
      </c>
      <c r="D29" s="20" t="s">
        <v>28</v>
      </c>
      <c r="E29" s="15" t="s">
        <v>108</v>
      </c>
    </row>
    <row r="30" spans="1:7" ht="15.75" customHeight="1" x14ac:dyDescent="0.25">
      <c r="A30" s="77"/>
      <c r="B30" s="15" t="s">
        <v>57</v>
      </c>
      <c r="C30" s="31">
        <v>1</v>
      </c>
      <c r="D30" s="20" t="s">
        <v>28</v>
      </c>
      <c r="E30" s="15" t="s">
        <v>58</v>
      </c>
    </row>
    <row r="31" spans="1:7" ht="15.75" customHeight="1" x14ac:dyDescent="0.25">
      <c r="A31" s="77"/>
      <c r="B31" s="15" t="s">
        <v>61</v>
      </c>
      <c r="C31" s="31">
        <v>30</v>
      </c>
      <c r="D31" s="20" t="s">
        <v>62</v>
      </c>
      <c r="E31" s="15" t="s">
        <v>59</v>
      </c>
    </row>
  </sheetData>
  <mergeCells count="6">
    <mergeCell ref="G1:G2"/>
    <mergeCell ref="A24:A31"/>
    <mergeCell ref="A9:A23"/>
    <mergeCell ref="A1:E1"/>
    <mergeCell ref="A3:A7"/>
    <mergeCell ref="F1:F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B896-C4C7-4381-98B6-1697A41BC541}">
  <dimension ref="A1:K96"/>
  <sheetViews>
    <sheetView tabSelected="1" workbookViewId="0">
      <selection activeCell="K12" sqref="K12"/>
    </sheetView>
  </sheetViews>
  <sheetFormatPr defaultRowHeight="15" x14ac:dyDescent="0.25"/>
  <cols>
    <col min="1" max="1" width="16.42578125" customWidth="1"/>
    <col min="2" max="2" width="18.28515625" customWidth="1"/>
    <col min="3" max="3" width="27.7109375" customWidth="1"/>
    <col min="4" max="4" width="13.85546875" customWidth="1"/>
    <col min="7" max="7" width="27.7109375" customWidth="1"/>
    <col min="8" max="8" width="13.85546875" customWidth="1"/>
    <col min="11" max="11" width="64.85546875" customWidth="1"/>
  </cols>
  <sheetData>
    <row r="1" spans="1:11" x14ac:dyDescent="0.25">
      <c r="A1" s="68" t="s">
        <v>42</v>
      </c>
      <c r="B1" s="68"/>
      <c r="C1" s="68"/>
      <c r="D1" s="68"/>
      <c r="E1" s="68"/>
      <c r="F1" s="68"/>
      <c r="G1" s="68"/>
      <c r="H1" s="68"/>
      <c r="I1" s="68"/>
      <c r="J1" s="12"/>
      <c r="K1" s="69" t="s">
        <v>34</v>
      </c>
    </row>
    <row r="2" spans="1:11" x14ac:dyDescent="0.25">
      <c r="A2" s="37" t="s">
        <v>17</v>
      </c>
      <c r="B2" s="37" t="s">
        <v>41</v>
      </c>
      <c r="C2" s="38" t="s">
        <v>43</v>
      </c>
      <c r="D2" s="38" t="s">
        <v>20</v>
      </c>
      <c r="E2" s="38" t="s">
        <v>21</v>
      </c>
      <c r="F2" s="37" t="s">
        <v>19</v>
      </c>
      <c r="G2" s="38" t="s">
        <v>44</v>
      </c>
      <c r="H2" s="38" t="s">
        <v>20</v>
      </c>
      <c r="I2" s="38" t="s">
        <v>21</v>
      </c>
      <c r="J2" s="37" t="s">
        <v>19</v>
      </c>
      <c r="K2" s="70"/>
    </row>
    <row r="3" spans="1:11" x14ac:dyDescent="0.25">
      <c r="A3" s="85" t="s">
        <v>45</v>
      </c>
      <c r="B3" s="71" t="s">
        <v>46</v>
      </c>
      <c r="C3" s="20" t="s">
        <v>49</v>
      </c>
      <c r="D3" s="19">
        <v>120</v>
      </c>
      <c r="E3" s="20" t="s">
        <v>28</v>
      </c>
      <c r="F3" s="15"/>
      <c r="G3" s="20" t="s">
        <v>47</v>
      </c>
      <c r="H3" s="20">
        <f>D3*D4/D5</f>
        <v>12</v>
      </c>
      <c r="I3" s="20" t="s">
        <v>28</v>
      </c>
      <c r="J3" s="15" t="s">
        <v>48</v>
      </c>
      <c r="K3" s="40" t="s">
        <v>249</v>
      </c>
    </row>
    <row r="4" spans="1:11" x14ac:dyDescent="0.25">
      <c r="A4" s="85"/>
      <c r="B4" s="71"/>
      <c r="C4" s="20" t="s">
        <v>50</v>
      </c>
      <c r="D4" s="19">
        <f>' Design Parameters (NOT USED)'!C6</f>
        <v>15</v>
      </c>
      <c r="E4" s="20" t="s">
        <v>27</v>
      </c>
      <c r="F4" s="15" t="s">
        <v>37</v>
      </c>
      <c r="G4" s="20"/>
      <c r="H4" s="20"/>
      <c r="I4" s="20"/>
      <c r="J4" s="15"/>
      <c r="K4" s="40"/>
    </row>
    <row r="5" spans="1:11" x14ac:dyDescent="0.25">
      <c r="A5" s="85"/>
      <c r="B5" s="71"/>
      <c r="C5" s="20" t="s">
        <v>51</v>
      </c>
      <c r="D5" s="19">
        <f>(' Design Parameters (NOT USED)'!C7)</f>
        <v>150</v>
      </c>
      <c r="E5" s="20" t="s">
        <v>3</v>
      </c>
      <c r="F5" s="17" t="s">
        <v>52</v>
      </c>
      <c r="G5" s="20"/>
      <c r="H5" s="20"/>
      <c r="I5" s="20"/>
      <c r="J5" s="15"/>
      <c r="K5" s="40"/>
    </row>
    <row r="6" spans="1:11" ht="30" x14ac:dyDescent="0.25">
      <c r="A6" s="85"/>
      <c r="B6" s="83" t="s">
        <v>54</v>
      </c>
      <c r="C6" s="20" t="s">
        <v>60</v>
      </c>
      <c r="D6" s="19">
        <f>'DesignParameters(NOtUsed)'!C1</f>
        <v>100</v>
      </c>
      <c r="E6" s="20" t="s">
        <v>56</v>
      </c>
      <c r="F6" s="15" t="s">
        <v>40</v>
      </c>
      <c r="G6" s="20" t="s">
        <v>53</v>
      </c>
      <c r="H6" s="20">
        <f>(D6/2)-COS(D7*D8/2)*D6/2</f>
        <v>0</v>
      </c>
      <c r="I6" s="20" t="s">
        <v>56</v>
      </c>
      <c r="J6" s="15" t="s">
        <v>55</v>
      </c>
      <c r="K6" s="45" t="s">
        <v>159</v>
      </c>
    </row>
    <row r="7" spans="1:11" x14ac:dyDescent="0.25">
      <c r="A7" s="85"/>
      <c r="B7" s="83"/>
      <c r="C7" s="20" t="s">
        <v>57</v>
      </c>
      <c r="D7" s="19">
        <f>'DesignParameters(NOtUsed)'!C2</f>
        <v>0</v>
      </c>
      <c r="E7" s="20" t="s">
        <v>28</v>
      </c>
      <c r="F7" s="15" t="s">
        <v>58</v>
      </c>
      <c r="G7" s="20"/>
      <c r="H7" s="20"/>
      <c r="I7" s="20"/>
      <c r="J7" s="15"/>
      <c r="K7" s="40"/>
    </row>
    <row r="8" spans="1:11" ht="30" x14ac:dyDescent="0.25">
      <c r="A8" s="85"/>
      <c r="B8" s="83"/>
      <c r="C8" s="20" t="s">
        <v>61</v>
      </c>
      <c r="D8" s="19">
        <f>'DesignParameters(NOtUsed)'!C3</f>
        <v>0</v>
      </c>
      <c r="E8" s="20" t="s">
        <v>62</v>
      </c>
      <c r="F8" s="15" t="s">
        <v>59</v>
      </c>
      <c r="G8" s="20"/>
      <c r="H8" s="20"/>
      <c r="I8" s="20"/>
      <c r="J8" s="15"/>
      <c r="K8" s="40" t="s">
        <v>160</v>
      </c>
    </row>
    <row r="9" spans="1:11" x14ac:dyDescent="0.25">
      <c r="A9" s="85"/>
      <c r="B9" s="83" t="s">
        <v>64</v>
      </c>
      <c r="C9" s="20" t="s">
        <v>57</v>
      </c>
      <c r="D9" s="19">
        <f>'DesignParameters(NOtUsed)'!C2</f>
        <v>0</v>
      </c>
      <c r="E9" s="20" t="s">
        <v>28</v>
      </c>
      <c r="F9" s="15" t="s">
        <v>58</v>
      </c>
      <c r="G9" s="20" t="s">
        <v>63</v>
      </c>
      <c r="H9" s="20">
        <f>2*TAN(D9*D10/2)*((D11/2)-D12)</f>
        <v>0</v>
      </c>
      <c r="I9" s="20" t="s">
        <v>56</v>
      </c>
      <c r="J9" s="15" t="s">
        <v>65</v>
      </c>
      <c r="K9" s="40"/>
    </row>
    <row r="10" spans="1:11" x14ac:dyDescent="0.25">
      <c r="A10" s="85"/>
      <c r="B10" s="83"/>
      <c r="C10" s="20" t="s">
        <v>61</v>
      </c>
      <c r="D10" s="19">
        <f>'DesignParameters(NOtUsed)'!C3</f>
        <v>0</v>
      </c>
      <c r="E10" s="20" t="s">
        <v>62</v>
      </c>
      <c r="F10" s="15" t="s">
        <v>59</v>
      </c>
      <c r="G10" s="20"/>
      <c r="H10" s="20"/>
      <c r="I10" s="20"/>
      <c r="J10" s="15"/>
      <c r="K10" s="40"/>
    </row>
    <row r="11" spans="1:11" x14ac:dyDescent="0.25">
      <c r="A11" s="85"/>
      <c r="B11" s="83"/>
      <c r="C11" s="20" t="s">
        <v>60</v>
      </c>
      <c r="D11" s="19">
        <f>'DesignParameters(NOtUsed)'!C1</f>
        <v>100</v>
      </c>
      <c r="E11" s="20" t="s">
        <v>56</v>
      </c>
      <c r="F11" s="15" t="s">
        <v>40</v>
      </c>
      <c r="G11" s="20"/>
      <c r="H11" s="20"/>
      <c r="I11" s="20"/>
      <c r="J11" s="15"/>
      <c r="K11" s="40"/>
    </row>
    <row r="12" spans="1:11" ht="30" x14ac:dyDescent="0.25">
      <c r="A12" s="85"/>
      <c r="B12" s="83"/>
      <c r="C12" s="20" t="s">
        <v>53</v>
      </c>
      <c r="D12" s="19">
        <f>H6</f>
        <v>0</v>
      </c>
      <c r="E12" s="20" t="s">
        <v>56</v>
      </c>
      <c r="F12" s="15" t="s">
        <v>55</v>
      </c>
      <c r="G12" s="20"/>
      <c r="H12" s="20"/>
      <c r="I12" s="20"/>
      <c r="J12" s="15"/>
      <c r="K12" s="40"/>
    </row>
    <row r="13" spans="1:11" x14ac:dyDescent="0.25">
      <c r="A13" s="85"/>
      <c r="B13" s="83" t="s">
        <v>70</v>
      </c>
      <c r="C13" s="20" t="s">
        <v>63</v>
      </c>
      <c r="D13" s="19">
        <f>H9</f>
        <v>0</v>
      </c>
      <c r="E13" s="20" t="s">
        <v>56</v>
      </c>
      <c r="F13" s="15" t="s">
        <v>65</v>
      </c>
      <c r="G13" s="20" t="s">
        <v>66</v>
      </c>
      <c r="H13" s="20">
        <f>D13*D14</f>
        <v>0</v>
      </c>
      <c r="I13" s="20" t="s">
        <v>56</v>
      </c>
      <c r="J13" s="15" t="s">
        <v>69</v>
      </c>
      <c r="K13" s="40"/>
    </row>
    <row r="14" spans="1:11" x14ac:dyDescent="0.25">
      <c r="A14" s="85"/>
      <c r="B14" s="83"/>
      <c r="C14" s="20" t="s">
        <v>67</v>
      </c>
      <c r="D14" s="19">
        <f>'DesignParameters(NOtUsed)'!C4</f>
        <v>0</v>
      </c>
      <c r="E14" s="20" t="s">
        <v>28</v>
      </c>
      <c r="F14" s="15" t="s">
        <v>68</v>
      </c>
      <c r="G14" s="20"/>
      <c r="H14" s="20"/>
      <c r="I14" s="20"/>
      <c r="J14" s="15"/>
      <c r="K14" s="40"/>
    </row>
    <row r="15" spans="1:11" ht="30" x14ac:dyDescent="0.25">
      <c r="A15" s="85"/>
      <c r="B15" s="83" t="s">
        <v>71</v>
      </c>
      <c r="C15" s="20" t="s">
        <v>60</v>
      </c>
      <c r="D15" s="19">
        <f>'DesignParameters(NOtUsed)'!C1</f>
        <v>100</v>
      </c>
      <c r="E15" s="20" t="s">
        <v>56</v>
      </c>
      <c r="F15" s="15" t="s">
        <v>40</v>
      </c>
      <c r="G15" s="20" t="s">
        <v>74</v>
      </c>
      <c r="H15" s="20">
        <f>D15*D16/D17</f>
        <v>0</v>
      </c>
      <c r="I15" s="20" t="s">
        <v>56</v>
      </c>
      <c r="J15" s="15" t="s">
        <v>75</v>
      </c>
      <c r="K15" s="40"/>
    </row>
    <row r="16" spans="1:11" x14ac:dyDescent="0.25">
      <c r="A16" s="85"/>
      <c r="B16" s="83"/>
      <c r="C16" s="20" t="s">
        <v>72</v>
      </c>
      <c r="D16" s="19">
        <f>'DesignParameters(NOtUsed)'!C5</f>
        <v>0</v>
      </c>
      <c r="E16" s="20" t="s">
        <v>28</v>
      </c>
      <c r="F16" s="15" t="s">
        <v>73</v>
      </c>
      <c r="G16" s="20"/>
      <c r="H16" s="20"/>
      <c r="I16" s="20"/>
      <c r="J16" s="15"/>
      <c r="K16" s="40"/>
    </row>
    <row r="17" spans="1:11" x14ac:dyDescent="0.25">
      <c r="A17" s="85"/>
      <c r="B17" s="83"/>
      <c r="C17" s="20" t="s">
        <v>47</v>
      </c>
      <c r="D17" s="19">
        <f>H3</f>
        <v>12</v>
      </c>
      <c r="E17" s="20"/>
      <c r="F17" s="15" t="s">
        <v>48</v>
      </c>
      <c r="G17" s="20"/>
      <c r="H17" s="20"/>
      <c r="I17" s="20"/>
      <c r="J17" s="15"/>
      <c r="K17" s="40"/>
    </row>
    <row r="18" spans="1:11" ht="30" x14ac:dyDescent="0.25">
      <c r="A18" s="85"/>
      <c r="B18" s="83" t="s">
        <v>76</v>
      </c>
      <c r="C18" s="20" t="s">
        <v>53</v>
      </c>
      <c r="D18" s="19">
        <f>H6</f>
        <v>0</v>
      </c>
      <c r="E18" s="20" t="s">
        <v>56</v>
      </c>
      <c r="F18" s="15" t="s">
        <v>55</v>
      </c>
      <c r="G18" s="20" t="s">
        <v>78</v>
      </c>
      <c r="H18" s="20">
        <f>D18+D19</f>
        <v>0</v>
      </c>
      <c r="I18" s="20" t="s">
        <v>56</v>
      </c>
      <c r="J18" s="15" t="s">
        <v>77</v>
      </c>
      <c r="K18" s="40"/>
    </row>
    <row r="19" spans="1:11" ht="30" x14ac:dyDescent="0.25">
      <c r="A19" s="85"/>
      <c r="B19" s="83"/>
      <c r="C19" s="20" t="s">
        <v>74</v>
      </c>
      <c r="D19" s="19">
        <f>H15</f>
        <v>0</v>
      </c>
      <c r="E19" s="20" t="s">
        <v>56</v>
      </c>
      <c r="F19" s="15" t="s">
        <v>75</v>
      </c>
      <c r="G19" s="20"/>
      <c r="H19" s="20"/>
      <c r="I19" s="20"/>
      <c r="J19" s="15"/>
      <c r="K19" s="40"/>
    </row>
    <row r="20" spans="1:11" ht="30" x14ac:dyDescent="0.25">
      <c r="A20" s="85"/>
      <c r="B20" s="83" t="s">
        <v>79</v>
      </c>
      <c r="C20" s="20" t="s">
        <v>63</v>
      </c>
      <c r="D20" s="19">
        <f>H9</f>
        <v>0</v>
      </c>
      <c r="E20" s="20" t="s">
        <v>56</v>
      </c>
      <c r="F20" s="15" t="s">
        <v>65</v>
      </c>
      <c r="G20" s="20" t="s">
        <v>80</v>
      </c>
      <c r="H20" s="20">
        <f>(D20-D21)/2</f>
        <v>0</v>
      </c>
      <c r="I20" s="20" t="s">
        <v>56</v>
      </c>
      <c r="J20" s="15" t="s">
        <v>81</v>
      </c>
      <c r="K20" s="40"/>
    </row>
    <row r="21" spans="1:11" x14ac:dyDescent="0.25">
      <c r="A21" s="85"/>
      <c r="B21" s="83"/>
      <c r="C21" s="20" t="s">
        <v>66</v>
      </c>
      <c r="D21" s="19">
        <f>H13</f>
        <v>0</v>
      </c>
      <c r="E21" s="20" t="s">
        <v>56</v>
      </c>
      <c r="F21" s="15" t="s">
        <v>69</v>
      </c>
      <c r="G21" s="20"/>
      <c r="H21" s="20"/>
      <c r="I21" s="20"/>
      <c r="J21" s="15"/>
      <c r="K21" s="40"/>
    </row>
    <row r="22" spans="1:11" x14ac:dyDescent="0.25">
      <c r="A22" s="85"/>
      <c r="B22" s="83" t="s">
        <v>82</v>
      </c>
      <c r="C22" s="20" t="s">
        <v>60</v>
      </c>
      <c r="D22" s="19">
        <f>'DesignParameters(NOtUsed)'!C1</f>
        <v>100</v>
      </c>
      <c r="E22" s="20" t="s">
        <v>56</v>
      </c>
      <c r="F22" s="15" t="s">
        <v>40</v>
      </c>
      <c r="G22" s="20" t="s">
        <v>83</v>
      </c>
      <c r="H22" s="20">
        <f>(D22/2)-D23-(D24/2)*TAN((PI()-D25)/2)</f>
        <v>50</v>
      </c>
      <c r="I22" s="20" t="s">
        <v>56</v>
      </c>
      <c r="J22" s="15" t="s">
        <v>84</v>
      </c>
      <c r="K22" s="40"/>
    </row>
    <row r="23" spans="1:11" x14ac:dyDescent="0.25">
      <c r="A23" s="85"/>
      <c r="B23" s="83"/>
      <c r="C23" s="20" t="s">
        <v>78</v>
      </c>
      <c r="D23" s="19">
        <f>H18</f>
        <v>0</v>
      </c>
      <c r="E23" s="20" t="s">
        <v>56</v>
      </c>
      <c r="F23" s="15" t="s">
        <v>77</v>
      </c>
      <c r="G23" s="20"/>
      <c r="H23" s="20"/>
      <c r="I23" s="20"/>
      <c r="J23" s="15"/>
      <c r="K23" s="40"/>
    </row>
    <row r="24" spans="1:11" x14ac:dyDescent="0.25">
      <c r="A24" s="85"/>
      <c r="B24" s="83"/>
      <c r="C24" s="20" t="s">
        <v>63</v>
      </c>
      <c r="D24" s="19">
        <f>H9</f>
        <v>0</v>
      </c>
      <c r="E24" s="20" t="s">
        <v>56</v>
      </c>
      <c r="F24" s="15" t="s">
        <v>65</v>
      </c>
      <c r="G24" s="20"/>
      <c r="H24" s="20"/>
      <c r="I24" s="20"/>
      <c r="J24" s="15"/>
      <c r="K24" s="40"/>
    </row>
    <row r="25" spans="1:11" x14ac:dyDescent="0.25">
      <c r="A25" s="85"/>
      <c r="B25" s="83"/>
      <c r="C25" s="20" t="s">
        <v>61</v>
      </c>
      <c r="D25" s="19">
        <f>'DesignParameters(NOtUsed)'!C3</f>
        <v>0</v>
      </c>
      <c r="E25" s="20" t="s">
        <v>62</v>
      </c>
      <c r="F25" s="15" t="s">
        <v>59</v>
      </c>
      <c r="G25" s="20"/>
      <c r="H25" s="20"/>
      <c r="I25" s="20"/>
      <c r="J25" s="15"/>
      <c r="K25" s="40"/>
    </row>
    <row r="26" spans="1:11" ht="30" x14ac:dyDescent="0.25">
      <c r="A26" s="85"/>
      <c r="B26" s="83" t="s">
        <v>85</v>
      </c>
      <c r="C26" s="20" t="s">
        <v>86</v>
      </c>
      <c r="D26" s="19">
        <f>'DesignParameters(NOtUsed)'!C6</f>
        <v>0</v>
      </c>
      <c r="E26" s="20" t="s">
        <v>88</v>
      </c>
      <c r="F26" s="15" t="s">
        <v>87</v>
      </c>
      <c r="G26" s="20" t="s">
        <v>92</v>
      </c>
      <c r="H26" s="20" t="e">
        <f>D26/D27</f>
        <v>#DIV/0!</v>
      </c>
      <c r="I26" s="20" t="s">
        <v>94</v>
      </c>
      <c r="J26" s="15" t="s">
        <v>93</v>
      </c>
      <c r="K26" s="40"/>
    </row>
    <row r="27" spans="1:11" x14ac:dyDescent="0.25">
      <c r="A27" s="85"/>
      <c r="B27" s="83"/>
      <c r="C27" s="20" t="s">
        <v>89</v>
      </c>
      <c r="D27" s="19">
        <f>'DesignParameters(NOtUsed)'!C7</f>
        <v>0</v>
      </c>
      <c r="E27" s="20" t="s">
        <v>91</v>
      </c>
      <c r="F27" s="15" t="s">
        <v>90</v>
      </c>
      <c r="G27" s="20"/>
      <c r="H27" s="20"/>
      <c r="I27" s="20"/>
      <c r="J27" s="15"/>
      <c r="K27" s="40"/>
    </row>
    <row r="28" spans="1:11" x14ac:dyDescent="0.25">
      <c r="A28" s="85"/>
      <c r="B28" s="83" t="s">
        <v>97</v>
      </c>
      <c r="C28" s="20" t="s">
        <v>83</v>
      </c>
      <c r="D28" s="19">
        <f>H22</f>
        <v>50</v>
      </c>
      <c r="E28" s="20" t="s">
        <v>56</v>
      </c>
      <c r="F28" s="15" t="s">
        <v>84</v>
      </c>
      <c r="G28" s="20" t="s">
        <v>98</v>
      </c>
      <c r="H28" s="20" t="e">
        <f>D28*D29*D30/D31</f>
        <v>#DIV/0!</v>
      </c>
      <c r="I28" s="20" t="s">
        <v>28</v>
      </c>
      <c r="J28" s="15" t="s">
        <v>99</v>
      </c>
      <c r="K28" s="40"/>
    </row>
    <row r="29" spans="1:11" x14ac:dyDescent="0.25">
      <c r="A29" s="85"/>
      <c r="B29" s="83"/>
      <c r="C29" s="20" t="s">
        <v>66</v>
      </c>
      <c r="D29" s="19">
        <f>H13</f>
        <v>0</v>
      </c>
      <c r="E29" s="20" t="s">
        <v>56</v>
      </c>
      <c r="F29" s="15" t="s">
        <v>69</v>
      </c>
      <c r="G29" s="20"/>
      <c r="H29" s="20"/>
      <c r="I29" s="20"/>
      <c r="J29" s="15"/>
      <c r="K29" s="40"/>
    </row>
    <row r="30" spans="1:11" x14ac:dyDescent="0.25">
      <c r="A30" s="85"/>
      <c r="B30" s="83"/>
      <c r="C30" s="20" t="s">
        <v>95</v>
      </c>
      <c r="D30" s="19">
        <f>'DesignParameters(NOtUsed)'!C8</f>
        <v>0</v>
      </c>
      <c r="E30" s="20" t="s">
        <v>28</v>
      </c>
      <c r="F30" s="15" t="s">
        <v>96</v>
      </c>
      <c r="G30" s="20"/>
      <c r="H30" s="20"/>
      <c r="I30" s="20"/>
      <c r="J30" s="15"/>
      <c r="K30" s="40"/>
    </row>
    <row r="31" spans="1:11" x14ac:dyDescent="0.25">
      <c r="A31" s="85"/>
      <c r="B31" s="83"/>
      <c r="C31" s="20" t="s">
        <v>92</v>
      </c>
      <c r="D31" s="19" t="e">
        <f>H26</f>
        <v>#DIV/0!</v>
      </c>
      <c r="E31" s="20" t="s">
        <v>94</v>
      </c>
      <c r="F31" s="15" t="s">
        <v>93</v>
      </c>
      <c r="G31" s="20"/>
      <c r="H31" s="20"/>
      <c r="I31" s="20"/>
      <c r="J31" s="15"/>
      <c r="K31" s="40"/>
    </row>
    <row r="32" spans="1:11" ht="30" x14ac:dyDescent="0.25">
      <c r="A32" s="85"/>
      <c r="B32" s="73" t="s">
        <v>103</v>
      </c>
      <c r="C32" s="42" t="s">
        <v>60</v>
      </c>
      <c r="D32" s="51">
        <f>'DesignParameters(NOtUsed)'!C1</f>
        <v>100</v>
      </c>
      <c r="E32" s="42" t="s">
        <v>56</v>
      </c>
      <c r="F32" s="43" t="s">
        <v>40</v>
      </c>
      <c r="G32" s="42" t="s">
        <v>100</v>
      </c>
      <c r="H32" s="42" t="e">
        <f>D35/(D38*D36*D37*(D32/2)*(D33/2)*D34)</f>
        <v>#DIV/0!</v>
      </c>
      <c r="I32" s="42" t="s">
        <v>102</v>
      </c>
      <c r="J32" s="43" t="s">
        <v>101</v>
      </c>
      <c r="K32" s="40" t="s">
        <v>254</v>
      </c>
    </row>
    <row r="33" spans="1:11" x14ac:dyDescent="0.25">
      <c r="A33" s="85"/>
      <c r="B33" s="73"/>
      <c r="C33" s="42" t="s">
        <v>61</v>
      </c>
      <c r="D33" s="51">
        <f>'DesignParameters(NOtUsed)'!C3</f>
        <v>0</v>
      </c>
      <c r="E33" s="42" t="s">
        <v>62</v>
      </c>
      <c r="F33" s="43" t="s">
        <v>59</v>
      </c>
      <c r="G33" s="42"/>
      <c r="H33" s="42"/>
      <c r="I33" s="42"/>
      <c r="J33" s="43"/>
      <c r="K33" s="40" t="s">
        <v>255</v>
      </c>
    </row>
    <row r="34" spans="1:11" x14ac:dyDescent="0.25">
      <c r="A34" s="85"/>
      <c r="B34" s="73"/>
      <c r="C34" s="42" t="s">
        <v>57</v>
      </c>
      <c r="D34" s="51">
        <f>'DesignParameters(NOtUsed)'!C2</f>
        <v>0</v>
      </c>
      <c r="E34" s="42" t="s">
        <v>28</v>
      </c>
      <c r="F34" s="43" t="s">
        <v>58</v>
      </c>
      <c r="G34" s="42"/>
      <c r="H34" s="42"/>
      <c r="I34" s="42"/>
      <c r="J34" s="43"/>
      <c r="K34" s="40"/>
    </row>
    <row r="35" spans="1:11" x14ac:dyDescent="0.25">
      <c r="A35" s="85"/>
      <c r="B35" s="73"/>
      <c r="C35" s="42" t="s">
        <v>104</v>
      </c>
      <c r="D35" s="51">
        <f>'DesignParameters(NOtUsed)'!C9</f>
        <v>5</v>
      </c>
      <c r="E35" s="42" t="s">
        <v>56</v>
      </c>
      <c r="F35" s="43" t="s">
        <v>105</v>
      </c>
      <c r="G35" s="42"/>
      <c r="H35" s="42"/>
      <c r="I35" s="42"/>
      <c r="J35" s="43"/>
      <c r="K35" s="40"/>
    </row>
    <row r="36" spans="1:11" ht="30" x14ac:dyDescent="0.25">
      <c r="A36" s="85"/>
      <c r="B36" s="73"/>
      <c r="C36" s="42" t="s">
        <v>106</v>
      </c>
      <c r="D36" s="51">
        <f>'DesignParameters(NOtUsed)'!C10</f>
        <v>0</v>
      </c>
      <c r="E36" s="42" t="s">
        <v>56</v>
      </c>
      <c r="F36" s="43" t="s">
        <v>109</v>
      </c>
      <c r="G36" s="42"/>
      <c r="H36" s="42"/>
      <c r="I36" s="42"/>
      <c r="J36" s="43"/>
      <c r="K36" s="40"/>
    </row>
    <row r="37" spans="1:11" x14ac:dyDescent="0.25">
      <c r="A37" s="85"/>
      <c r="B37" s="73"/>
      <c r="C37" s="42" t="s">
        <v>107</v>
      </c>
      <c r="D37" s="51">
        <f>'DesignParameters(NOtUsed)'!C11</f>
        <v>0</v>
      </c>
      <c r="E37" s="42" t="s">
        <v>28</v>
      </c>
      <c r="F37" s="43" t="s">
        <v>108</v>
      </c>
      <c r="G37" s="42"/>
      <c r="H37" s="42"/>
      <c r="I37" s="42"/>
      <c r="J37" s="43"/>
      <c r="K37" s="40"/>
    </row>
    <row r="38" spans="1:11" x14ac:dyDescent="0.25">
      <c r="A38" s="85"/>
      <c r="B38" s="73"/>
      <c r="C38" s="52" t="s">
        <v>156</v>
      </c>
      <c r="D38" s="52"/>
      <c r="E38" s="52"/>
      <c r="F38" s="43" t="s">
        <v>157</v>
      </c>
      <c r="G38" s="42"/>
      <c r="H38" s="42"/>
      <c r="I38" s="42"/>
      <c r="J38" s="43"/>
      <c r="K38" s="40"/>
    </row>
    <row r="39" spans="1:11" ht="18.75" x14ac:dyDescent="0.3">
      <c r="A39" s="85"/>
      <c r="B39" s="73" t="s">
        <v>110</v>
      </c>
      <c r="C39" s="42" t="s">
        <v>98</v>
      </c>
      <c r="D39" s="51" t="e">
        <f>H28</f>
        <v>#DIV/0!</v>
      </c>
      <c r="E39" s="42" t="s">
        <v>28</v>
      </c>
      <c r="F39" s="43" t="s">
        <v>99</v>
      </c>
      <c r="G39" s="42" t="s">
        <v>111</v>
      </c>
      <c r="H39" s="42" t="e" cm="1">
        <f t="array" ref="H39">D39*D40/(K6SDD41/2)</f>
        <v>#DIV/0!</v>
      </c>
      <c r="I39" s="42" t="s">
        <v>112</v>
      </c>
      <c r="J39" s="44" t="s">
        <v>113</v>
      </c>
      <c r="K39" s="40" t="s">
        <v>116</v>
      </c>
    </row>
    <row r="40" spans="1:11" x14ac:dyDescent="0.25">
      <c r="A40" s="85"/>
      <c r="B40" s="73"/>
      <c r="C40" s="42" t="s">
        <v>114</v>
      </c>
      <c r="D40" s="51">
        <f>'DesignParameters(NOtUsed)'!C12</f>
        <v>0</v>
      </c>
      <c r="E40" s="42" t="s">
        <v>88</v>
      </c>
      <c r="F40" s="43" t="s">
        <v>115</v>
      </c>
      <c r="G40" s="42"/>
      <c r="H40" s="42"/>
      <c r="I40" s="42"/>
      <c r="J40" s="43"/>
      <c r="K40" s="40" t="s">
        <v>253</v>
      </c>
    </row>
    <row r="41" spans="1:11" x14ac:dyDescent="0.25">
      <c r="A41" s="85"/>
      <c r="B41" s="73"/>
      <c r="C41" s="42" t="s">
        <v>100</v>
      </c>
      <c r="D41" s="51" t="e">
        <f>H32</f>
        <v>#DIV/0!</v>
      </c>
      <c r="E41" s="42" t="s">
        <v>102</v>
      </c>
      <c r="F41" s="43" t="s">
        <v>101</v>
      </c>
      <c r="G41" s="42"/>
      <c r="H41" s="42"/>
      <c r="I41" s="42"/>
      <c r="J41" s="43"/>
      <c r="K41" s="40"/>
    </row>
    <row r="42" spans="1:11" ht="30.75" x14ac:dyDescent="0.3">
      <c r="A42" s="85"/>
      <c r="B42" s="73" t="s">
        <v>117</v>
      </c>
      <c r="C42" s="42" t="s">
        <v>111</v>
      </c>
      <c r="D42" s="51" t="e">
        <f>H39</f>
        <v>#DIV/0!</v>
      </c>
      <c r="E42" s="42" t="s">
        <v>112</v>
      </c>
      <c r="F42" s="44" t="s">
        <v>113</v>
      </c>
      <c r="G42" s="42" t="s">
        <v>118</v>
      </c>
      <c r="H42" s="42" t="e">
        <f>D42/(D43*D44)</f>
        <v>#DIV/0!</v>
      </c>
      <c r="I42" s="42" t="s">
        <v>120</v>
      </c>
      <c r="J42" s="43" t="s">
        <v>119</v>
      </c>
      <c r="K42" s="40" t="s">
        <v>252</v>
      </c>
    </row>
    <row r="43" spans="1:11" ht="30" x14ac:dyDescent="0.25">
      <c r="A43" s="85"/>
      <c r="B43" s="73"/>
      <c r="C43" s="42" t="s">
        <v>106</v>
      </c>
      <c r="D43" s="51">
        <f>'DesignParameters(NOtUsed)'!C9</f>
        <v>5</v>
      </c>
      <c r="E43" s="42" t="s">
        <v>56</v>
      </c>
      <c r="F43" s="43" t="s">
        <v>109</v>
      </c>
      <c r="G43" s="42"/>
      <c r="H43" s="42"/>
      <c r="I43" s="42"/>
      <c r="J43" s="43"/>
      <c r="K43" s="40" t="s">
        <v>250</v>
      </c>
    </row>
    <row r="44" spans="1:11" x14ac:dyDescent="0.25">
      <c r="A44" s="86"/>
      <c r="B44" s="73"/>
      <c r="C44" s="42" t="s">
        <v>66</v>
      </c>
      <c r="D44" s="51">
        <f>H13</f>
        <v>0</v>
      </c>
      <c r="E44" s="42" t="s">
        <v>56</v>
      </c>
      <c r="F44" s="43" t="s">
        <v>69</v>
      </c>
      <c r="G44" s="42"/>
      <c r="H44" s="42"/>
      <c r="I44" s="42"/>
      <c r="J44" s="43"/>
      <c r="K44" s="40" t="s">
        <v>251</v>
      </c>
    </row>
    <row r="45" spans="1:11" x14ac:dyDescent="0.25">
      <c r="A45" s="84" t="s">
        <v>121</v>
      </c>
      <c r="B45" s="84" t="s">
        <v>124</v>
      </c>
      <c r="C45" s="30" t="s">
        <v>60</v>
      </c>
      <c r="D45" s="39">
        <f>'DesignParameters(NOtUsed)'!C1</f>
        <v>100</v>
      </c>
      <c r="E45" s="30" t="s">
        <v>56</v>
      </c>
      <c r="F45" s="29" t="s">
        <v>40</v>
      </c>
      <c r="G45" s="30" t="s">
        <v>125</v>
      </c>
      <c r="H45" s="30">
        <f>D45+2*D46</f>
        <v>110</v>
      </c>
      <c r="I45" s="30" t="s">
        <v>56</v>
      </c>
      <c r="J45" s="29" t="s">
        <v>126</v>
      </c>
      <c r="K45" s="46"/>
    </row>
    <row r="46" spans="1:11" x14ac:dyDescent="0.25">
      <c r="A46" s="85"/>
      <c r="B46" s="85"/>
      <c r="C46" s="20" t="s">
        <v>104</v>
      </c>
      <c r="D46" s="19">
        <f>'DesignParameters(NOtUsed)'!C9</f>
        <v>5</v>
      </c>
      <c r="E46" s="20" t="s">
        <v>56</v>
      </c>
      <c r="F46" s="15" t="s">
        <v>105</v>
      </c>
      <c r="G46" s="20"/>
      <c r="H46" s="20"/>
      <c r="I46" s="20"/>
      <c r="J46" s="15"/>
      <c r="K46" s="40"/>
    </row>
    <row r="47" spans="1:11" ht="30" x14ac:dyDescent="0.25">
      <c r="A47" s="85"/>
      <c r="B47" s="85" t="s">
        <v>127</v>
      </c>
      <c r="C47" s="20" t="s">
        <v>125</v>
      </c>
      <c r="D47" s="19">
        <f>H45</f>
        <v>110</v>
      </c>
      <c r="E47" s="20" t="s">
        <v>56</v>
      </c>
      <c r="F47" s="15" t="s">
        <v>126</v>
      </c>
      <c r="G47" s="20" t="s">
        <v>133</v>
      </c>
      <c r="H47" s="20">
        <f>D47+2*(D48+D49)</f>
        <v>116</v>
      </c>
      <c r="I47" s="20" t="s">
        <v>56</v>
      </c>
      <c r="J47" s="15" t="s">
        <v>134</v>
      </c>
      <c r="K47" s="40"/>
    </row>
    <row r="48" spans="1:11" x14ac:dyDescent="0.25">
      <c r="A48" s="85"/>
      <c r="B48" s="85"/>
      <c r="C48" s="20" t="s">
        <v>128</v>
      </c>
      <c r="D48" s="19">
        <f>' Design Parameters (NOT USED)'!C9</f>
        <v>3</v>
      </c>
      <c r="E48" s="20" t="s">
        <v>56</v>
      </c>
      <c r="F48" s="15" t="s">
        <v>129</v>
      </c>
      <c r="G48" s="20"/>
      <c r="H48" s="20"/>
      <c r="I48" s="20"/>
      <c r="J48" s="15"/>
      <c r="K48" s="40"/>
    </row>
    <row r="49" spans="1:11" x14ac:dyDescent="0.25">
      <c r="A49" s="85"/>
      <c r="B49" s="85"/>
      <c r="C49" s="20" t="s">
        <v>130</v>
      </c>
      <c r="D49" s="19">
        <f>' Design Parameters (NOT USED)'!C10</f>
        <v>0</v>
      </c>
      <c r="E49" s="20" t="s">
        <v>56</v>
      </c>
      <c r="F49" s="15" t="s">
        <v>131</v>
      </c>
      <c r="G49" s="20"/>
      <c r="H49" s="20"/>
      <c r="I49" s="20"/>
      <c r="J49" s="15"/>
      <c r="K49" s="40"/>
    </row>
    <row r="50" spans="1:11" ht="30" x14ac:dyDescent="0.25">
      <c r="A50" s="85"/>
      <c r="B50" s="85" t="s">
        <v>139</v>
      </c>
      <c r="C50" s="20" t="s">
        <v>135</v>
      </c>
      <c r="D50" s="19">
        <f>' Design Parameters (NOT USED)'!C11</f>
        <v>20</v>
      </c>
      <c r="E50" s="20" t="s">
        <v>62</v>
      </c>
      <c r="F50" s="15" t="s">
        <v>138</v>
      </c>
      <c r="G50" s="20" t="s">
        <v>140</v>
      </c>
      <c r="H50" s="20">
        <f>D50/(1+D51)</f>
        <v>10</v>
      </c>
      <c r="I50" s="20" t="s">
        <v>141</v>
      </c>
      <c r="J50" s="15" t="s">
        <v>142</v>
      </c>
      <c r="K50" s="40"/>
    </row>
    <row r="51" spans="1:11" x14ac:dyDescent="0.25">
      <c r="A51" s="85"/>
      <c r="B51" s="85"/>
      <c r="C51" s="20" t="s">
        <v>136</v>
      </c>
      <c r="D51" s="19">
        <f>' Design Parameters (NOT USED)'!C12</f>
        <v>1</v>
      </c>
      <c r="E51" s="20" t="s">
        <v>28</v>
      </c>
      <c r="F51" s="15" t="s">
        <v>137</v>
      </c>
      <c r="G51" s="20"/>
      <c r="H51" s="20"/>
      <c r="I51" s="20"/>
      <c r="J51" s="15"/>
      <c r="K51" s="40"/>
    </row>
    <row r="52" spans="1:11" ht="30" x14ac:dyDescent="0.25">
      <c r="A52" s="85"/>
      <c r="B52" s="83" t="s">
        <v>143</v>
      </c>
      <c r="C52" s="20" t="s">
        <v>133</v>
      </c>
      <c r="D52" s="19">
        <f>H47</f>
        <v>116</v>
      </c>
      <c r="E52" s="20" t="s">
        <v>56</v>
      </c>
      <c r="F52" s="15" t="s">
        <v>134</v>
      </c>
      <c r="G52" s="20" t="s">
        <v>144</v>
      </c>
      <c r="H52" s="20">
        <f>D52*TAN(D53/2)</f>
        <v>-392.13974072460394</v>
      </c>
      <c r="I52" s="20" t="s">
        <v>56</v>
      </c>
      <c r="J52" s="15" t="s">
        <v>145</v>
      </c>
      <c r="K52" s="40"/>
    </row>
    <row r="53" spans="1:11" ht="30" x14ac:dyDescent="0.25">
      <c r="A53" s="85"/>
      <c r="B53" s="83"/>
      <c r="C53" s="20" t="s">
        <v>140</v>
      </c>
      <c r="D53" s="19">
        <f>H50</f>
        <v>10</v>
      </c>
      <c r="E53" s="20" t="s">
        <v>141</v>
      </c>
      <c r="F53" s="15" t="s">
        <v>142</v>
      </c>
      <c r="G53" s="20"/>
      <c r="H53" s="20"/>
      <c r="I53" s="20"/>
      <c r="J53" s="15"/>
      <c r="K53" s="40"/>
    </row>
    <row r="54" spans="1:11" x14ac:dyDescent="0.25">
      <c r="A54" s="85"/>
      <c r="B54" s="85" t="s">
        <v>146</v>
      </c>
      <c r="C54" s="20" t="s">
        <v>144</v>
      </c>
      <c r="D54" s="19">
        <f>H52</f>
        <v>-392.13974072460394</v>
      </c>
      <c r="E54" s="20" t="s">
        <v>56</v>
      </c>
      <c r="F54" s="15" t="s">
        <v>145</v>
      </c>
      <c r="G54" s="20" t="s">
        <v>149</v>
      </c>
      <c r="H54" s="20">
        <f>(D54-D55)/2</f>
        <v>-198.56987036230197</v>
      </c>
      <c r="I54" s="20" t="s">
        <v>56</v>
      </c>
      <c r="J54" s="15" t="s">
        <v>147</v>
      </c>
      <c r="K54" s="40"/>
    </row>
    <row r="55" spans="1:11" x14ac:dyDescent="0.25">
      <c r="A55" s="85"/>
      <c r="B55" s="85"/>
      <c r="C55" s="20" t="s">
        <v>148</v>
      </c>
      <c r="D55" s="19">
        <f>' Design Parameters (NOT USED)'!C13</f>
        <v>5</v>
      </c>
      <c r="E55" s="20" t="s">
        <v>56</v>
      </c>
      <c r="F55" s="15" t="s">
        <v>147</v>
      </c>
      <c r="G55" s="20"/>
      <c r="H55" s="20"/>
      <c r="I55" s="20"/>
      <c r="J55" s="15"/>
      <c r="K55" s="40"/>
    </row>
    <row r="56" spans="1:11" x14ac:dyDescent="0.25">
      <c r="A56" s="85"/>
      <c r="B56" s="83" t="s">
        <v>150</v>
      </c>
      <c r="C56" s="20" t="s">
        <v>66</v>
      </c>
      <c r="D56" s="19">
        <f>H13</f>
        <v>0</v>
      </c>
      <c r="E56" s="20" t="s">
        <v>56</v>
      </c>
      <c r="F56" s="15" t="s">
        <v>69</v>
      </c>
      <c r="G56" s="20" t="s">
        <v>153</v>
      </c>
      <c r="H56" s="20">
        <f>D56*D57</f>
        <v>0</v>
      </c>
      <c r="I56" s="20" t="s">
        <v>56</v>
      </c>
      <c r="J56" s="15" t="s">
        <v>154</v>
      </c>
      <c r="K56" s="40"/>
    </row>
    <row r="57" spans="1:11" x14ac:dyDescent="0.25">
      <c r="A57" s="85"/>
      <c r="B57" s="83"/>
      <c r="C57" s="20" t="s">
        <v>151</v>
      </c>
      <c r="D57" s="19">
        <f>' Design Parameters (NOT USED)'!C14</f>
        <v>1</v>
      </c>
      <c r="E57" s="20" t="s">
        <v>28</v>
      </c>
      <c r="F57" s="15" t="s">
        <v>152</v>
      </c>
      <c r="G57" s="20"/>
      <c r="H57" s="20"/>
      <c r="I57" s="20"/>
      <c r="J57" s="15"/>
      <c r="K57" s="40"/>
    </row>
    <row r="58" spans="1:11" x14ac:dyDescent="0.25">
      <c r="A58" s="85"/>
      <c r="B58" s="83" t="s">
        <v>155</v>
      </c>
      <c r="C58" s="20" t="s">
        <v>153</v>
      </c>
      <c r="D58" s="19">
        <f>H56</f>
        <v>0</v>
      </c>
      <c r="E58" s="20" t="s">
        <v>56</v>
      </c>
      <c r="F58" s="15" t="s">
        <v>154</v>
      </c>
      <c r="G58" s="20" t="s">
        <v>163</v>
      </c>
      <c r="H58" s="20">
        <f>D58*D59</f>
        <v>0</v>
      </c>
      <c r="I58" s="20" t="s">
        <v>56</v>
      </c>
      <c r="J58" s="15" t="s">
        <v>164</v>
      </c>
      <c r="K58" s="40"/>
    </row>
    <row r="59" spans="1:11" ht="30" x14ac:dyDescent="0.25">
      <c r="A59" s="85"/>
      <c r="B59" s="83"/>
      <c r="C59" s="20" t="s">
        <v>162</v>
      </c>
      <c r="D59" s="19">
        <f>' Design Parameters (NOT USED)'!C15</f>
        <v>1</v>
      </c>
      <c r="E59" s="20" t="s">
        <v>28</v>
      </c>
      <c r="F59" s="15" t="s">
        <v>161</v>
      </c>
      <c r="G59" s="20"/>
      <c r="H59" s="20"/>
      <c r="I59" s="20"/>
      <c r="J59" s="15"/>
      <c r="K59" s="40"/>
    </row>
    <row r="60" spans="1:11" ht="30" x14ac:dyDescent="0.25">
      <c r="A60" s="85"/>
      <c r="B60" s="18" t="s">
        <v>165</v>
      </c>
      <c r="C60" s="20" t="s">
        <v>135</v>
      </c>
      <c r="D60" s="19">
        <f>' Design Parameters (NOT USED)'!C11</f>
        <v>20</v>
      </c>
      <c r="E60" s="20" t="s">
        <v>62</v>
      </c>
      <c r="F60" s="15" t="s">
        <v>138</v>
      </c>
      <c r="G60" s="20" t="s">
        <v>166</v>
      </c>
      <c r="H60" s="20">
        <f>D60/2</f>
        <v>10</v>
      </c>
      <c r="I60" s="20" t="s">
        <v>62</v>
      </c>
      <c r="J60" s="15" t="s">
        <v>167</v>
      </c>
      <c r="K60" s="40"/>
    </row>
    <row r="61" spans="1:11" x14ac:dyDescent="0.25">
      <c r="A61" s="85"/>
      <c r="B61" s="83" t="s">
        <v>170</v>
      </c>
      <c r="C61" s="20" t="s">
        <v>144</v>
      </c>
      <c r="D61" s="19">
        <f>H52</f>
        <v>-392.13974072460394</v>
      </c>
      <c r="E61" s="20" t="s">
        <v>56</v>
      </c>
      <c r="F61" s="15" t="s">
        <v>145</v>
      </c>
      <c r="G61" s="20" t="s">
        <v>168</v>
      </c>
      <c r="H61" s="20">
        <f>D61+2*D62*TAN(D63)</f>
        <v>-392.13974072460394</v>
      </c>
      <c r="I61" s="20" t="s">
        <v>56</v>
      </c>
      <c r="J61" s="15" t="s">
        <v>169</v>
      </c>
      <c r="K61" s="40"/>
    </row>
    <row r="62" spans="1:11" x14ac:dyDescent="0.25">
      <c r="A62" s="85"/>
      <c r="B62" s="83"/>
      <c r="C62" s="20" t="s">
        <v>163</v>
      </c>
      <c r="D62" s="19">
        <f>H58</f>
        <v>0</v>
      </c>
      <c r="E62" s="20" t="s">
        <v>56</v>
      </c>
      <c r="F62" s="15" t="s">
        <v>164</v>
      </c>
      <c r="G62" s="20"/>
      <c r="H62" s="20"/>
      <c r="I62" s="20"/>
      <c r="J62" s="15"/>
      <c r="K62" s="40"/>
    </row>
    <row r="63" spans="1:11" ht="30" x14ac:dyDescent="0.25">
      <c r="A63" s="85"/>
      <c r="B63" s="83"/>
      <c r="C63" s="20" t="s">
        <v>166</v>
      </c>
      <c r="D63" s="19">
        <f>H60</f>
        <v>10</v>
      </c>
      <c r="E63" s="20" t="s">
        <v>62</v>
      </c>
      <c r="F63" s="15" t="s">
        <v>167</v>
      </c>
      <c r="G63" s="20"/>
      <c r="H63" s="20"/>
      <c r="I63" s="20"/>
      <c r="J63" s="15"/>
      <c r="K63" s="40"/>
    </row>
    <row r="64" spans="1:11" ht="30" x14ac:dyDescent="0.25">
      <c r="A64" s="85"/>
      <c r="B64" s="83" t="s">
        <v>173</v>
      </c>
      <c r="C64" s="20" t="s">
        <v>133</v>
      </c>
      <c r="D64" s="19">
        <f>H47</f>
        <v>116</v>
      </c>
      <c r="E64" s="20" t="s">
        <v>56</v>
      </c>
      <c r="F64" s="15" t="s">
        <v>134</v>
      </c>
      <c r="G64" s="20" t="s">
        <v>171</v>
      </c>
      <c r="H64" s="20">
        <f>D64+2*D65+2*D66</f>
        <v>116</v>
      </c>
      <c r="I64" s="20" t="s">
        <v>56</v>
      </c>
      <c r="J64" s="15" t="s">
        <v>172</v>
      </c>
      <c r="K64" s="40"/>
    </row>
    <row r="65" spans="1:11" x14ac:dyDescent="0.25">
      <c r="A65" s="85"/>
      <c r="B65" s="83"/>
      <c r="C65" s="20" t="s">
        <v>163</v>
      </c>
      <c r="D65" s="19">
        <f>H58</f>
        <v>0</v>
      </c>
      <c r="E65" s="20" t="s">
        <v>56</v>
      </c>
      <c r="F65" s="15" t="s">
        <v>164</v>
      </c>
      <c r="G65" s="20"/>
      <c r="H65" s="20"/>
      <c r="I65" s="20"/>
      <c r="J65" s="15"/>
      <c r="K65" s="40"/>
    </row>
    <row r="66" spans="1:11" x14ac:dyDescent="0.25">
      <c r="A66" s="85"/>
      <c r="B66" s="83"/>
      <c r="C66" s="20" t="s">
        <v>153</v>
      </c>
      <c r="D66" s="19">
        <f>H56</f>
        <v>0</v>
      </c>
      <c r="E66" s="20" t="s">
        <v>56</v>
      </c>
      <c r="F66" s="15" t="s">
        <v>154</v>
      </c>
      <c r="G66" s="20"/>
      <c r="H66" s="20"/>
      <c r="I66" s="20"/>
      <c r="J66" s="15"/>
      <c r="K66" s="40"/>
    </row>
    <row r="67" spans="1:11" ht="30" x14ac:dyDescent="0.25">
      <c r="A67" s="85"/>
      <c r="B67" s="83" t="s">
        <v>177</v>
      </c>
      <c r="C67" s="20" t="s">
        <v>163</v>
      </c>
      <c r="D67" s="19">
        <f>H58</f>
        <v>0</v>
      </c>
      <c r="E67" s="20" t="s">
        <v>56</v>
      </c>
      <c r="F67" s="15" t="s">
        <v>164</v>
      </c>
      <c r="G67" s="20" t="s">
        <v>174</v>
      </c>
      <c r="H67" s="20">
        <f>D67*(D68+D69)/2</f>
        <v>0</v>
      </c>
      <c r="I67" s="20" t="s">
        <v>176</v>
      </c>
      <c r="J67" s="15" t="s">
        <v>175</v>
      </c>
      <c r="K67" s="40"/>
    </row>
    <row r="68" spans="1:11" x14ac:dyDescent="0.25">
      <c r="A68" s="85"/>
      <c r="B68" s="83"/>
      <c r="C68" s="20" t="s">
        <v>144</v>
      </c>
      <c r="D68" s="19">
        <f>H52</f>
        <v>-392.13974072460394</v>
      </c>
      <c r="E68" s="20" t="s">
        <v>56</v>
      </c>
      <c r="F68" s="15" t="s">
        <v>145</v>
      </c>
      <c r="G68" s="20"/>
      <c r="H68" s="20"/>
      <c r="I68" s="20"/>
      <c r="J68" s="15"/>
      <c r="K68" s="40"/>
    </row>
    <row r="69" spans="1:11" x14ac:dyDescent="0.25">
      <c r="A69" s="85"/>
      <c r="B69" s="83"/>
      <c r="C69" s="20" t="s">
        <v>168</v>
      </c>
      <c r="D69" s="19">
        <f>H61</f>
        <v>-392.13974072460394</v>
      </c>
      <c r="E69" s="20" t="s">
        <v>56</v>
      </c>
      <c r="F69" s="15" t="s">
        <v>169</v>
      </c>
      <c r="G69" s="20"/>
      <c r="H69" s="20"/>
      <c r="I69" s="20"/>
      <c r="J69" s="15"/>
      <c r="K69" s="40"/>
    </row>
    <row r="70" spans="1:11" ht="30" x14ac:dyDescent="0.25">
      <c r="A70" s="85"/>
      <c r="B70" s="83" t="s">
        <v>178</v>
      </c>
      <c r="C70" s="20" t="s">
        <v>179</v>
      </c>
      <c r="D70" s="19">
        <f>' Design Parameters (NOT USED)'!C16</f>
        <v>1</v>
      </c>
      <c r="E70" s="20" t="s">
        <v>28</v>
      </c>
      <c r="F70" s="15" t="s">
        <v>180</v>
      </c>
      <c r="G70" s="20" t="s">
        <v>181</v>
      </c>
      <c r="H70" s="20">
        <f>D70*D71*D72/2</f>
        <v>0</v>
      </c>
      <c r="I70" s="20" t="s">
        <v>62</v>
      </c>
      <c r="J70" s="15" t="s">
        <v>182</v>
      </c>
      <c r="K70" s="40"/>
    </row>
    <row r="71" spans="1:11" x14ac:dyDescent="0.25">
      <c r="A71" s="85"/>
      <c r="B71" s="83"/>
      <c r="C71" s="20" t="s">
        <v>61</v>
      </c>
      <c r="D71" s="19">
        <f>'DesignParameters(NOtUsed)'!C3</f>
        <v>0</v>
      </c>
      <c r="E71" s="20" t="s">
        <v>62</v>
      </c>
      <c r="F71" s="15" t="s">
        <v>59</v>
      </c>
      <c r="G71" s="20"/>
      <c r="H71" s="20"/>
      <c r="I71" s="20"/>
      <c r="J71" s="15"/>
      <c r="K71" s="40"/>
    </row>
    <row r="72" spans="1:11" x14ac:dyDescent="0.25">
      <c r="A72" s="85"/>
      <c r="B72" s="83"/>
      <c r="C72" s="20" t="s">
        <v>47</v>
      </c>
      <c r="D72" s="19">
        <f>H3</f>
        <v>12</v>
      </c>
      <c r="E72" s="20" t="s">
        <v>28</v>
      </c>
      <c r="F72" s="15" t="s">
        <v>48</v>
      </c>
      <c r="G72" s="20"/>
      <c r="H72" s="20"/>
      <c r="I72" s="20"/>
      <c r="J72" s="15"/>
      <c r="K72" s="40"/>
    </row>
    <row r="73" spans="1:11" ht="30.75" x14ac:dyDescent="0.3">
      <c r="A73" s="85"/>
      <c r="B73" s="18" t="s">
        <v>183</v>
      </c>
      <c r="C73" s="20" t="s">
        <v>181</v>
      </c>
      <c r="D73" s="19">
        <f>H70</f>
        <v>0</v>
      </c>
      <c r="E73" s="20" t="s">
        <v>62</v>
      </c>
      <c r="F73" s="15" t="s">
        <v>182</v>
      </c>
      <c r="G73" s="20" t="s">
        <v>184</v>
      </c>
      <c r="H73" s="20">
        <f>SIN(D73/2)</f>
        <v>0</v>
      </c>
      <c r="I73" s="20"/>
      <c r="J73" s="17" t="s">
        <v>185</v>
      </c>
      <c r="K73" s="40"/>
    </row>
    <row r="74" spans="1:11" x14ac:dyDescent="0.25">
      <c r="A74" s="85"/>
      <c r="B74" s="83" t="s">
        <v>186</v>
      </c>
      <c r="C74" s="20" t="s">
        <v>188</v>
      </c>
      <c r="D74" s="19">
        <f>' Design Parameters (NOT USED)'!C17</f>
        <v>18</v>
      </c>
      <c r="E74" s="20" t="s">
        <v>28</v>
      </c>
      <c r="F74" s="15" t="s">
        <v>189</v>
      </c>
      <c r="G74" s="20" t="s">
        <v>191</v>
      </c>
      <c r="H74" s="20">
        <f>D74*D75/(6*D76)</f>
        <v>9.2250922509225095</v>
      </c>
      <c r="I74" s="20" t="s">
        <v>28</v>
      </c>
      <c r="J74" s="15" t="s">
        <v>192</v>
      </c>
      <c r="K74" s="40"/>
    </row>
    <row r="75" spans="1:11" x14ac:dyDescent="0.25">
      <c r="A75" s="85"/>
      <c r="B75" s="83"/>
      <c r="C75" s="20" t="s">
        <v>187</v>
      </c>
      <c r="D75" s="19">
        <f>' Design Parameters (NOT USED)'!C18</f>
        <v>36.900369003690038</v>
      </c>
      <c r="E75" s="20" t="s">
        <v>28</v>
      </c>
      <c r="F75" s="15" t="s">
        <v>190</v>
      </c>
      <c r="G75" s="20"/>
      <c r="H75" s="20"/>
      <c r="I75" s="20"/>
      <c r="J75" s="15"/>
      <c r="K75" s="40"/>
    </row>
    <row r="76" spans="1:11" x14ac:dyDescent="0.25">
      <c r="A76" s="85"/>
      <c r="B76" s="83"/>
      <c r="C76" s="20" t="s">
        <v>47</v>
      </c>
      <c r="D76" s="19">
        <f>H3</f>
        <v>12</v>
      </c>
      <c r="E76" s="20" t="s">
        <v>28</v>
      </c>
      <c r="F76" s="15" t="s">
        <v>48</v>
      </c>
      <c r="G76" s="20"/>
      <c r="H76" s="20"/>
      <c r="I76" s="20"/>
      <c r="J76" s="15"/>
      <c r="K76" s="40"/>
    </row>
    <row r="77" spans="1:11" ht="30.75" x14ac:dyDescent="0.3">
      <c r="A77" s="85"/>
      <c r="B77" s="83" t="s">
        <v>193</v>
      </c>
      <c r="C77" s="20" t="s">
        <v>191</v>
      </c>
      <c r="D77" s="19">
        <f>H74</f>
        <v>9.2250922509225095</v>
      </c>
      <c r="E77" s="20" t="s">
        <v>28</v>
      </c>
      <c r="F77" s="15" t="s">
        <v>192</v>
      </c>
      <c r="G77" s="20" t="s">
        <v>194</v>
      </c>
      <c r="H77" s="20">
        <f>SIN(D77*D78/2)/(D77*SIN(D78/2))</f>
        <v>0.1814435677688471</v>
      </c>
      <c r="I77" s="20"/>
      <c r="J77" s="17" t="s">
        <v>196</v>
      </c>
      <c r="K77" s="40" t="s">
        <v>195</v>
      </c>
    </row>
    <row r="78" spans="1:11" x14ac:dyDescent="0.25">
      <c r="A78" s="85"/>
      <c r="B78" s="83"/>
      <c r="C78" s="20" t="s">
        <v>135</v>
      </c>
      <c r="D78" s="19">
        <f>' Design Parameters (NOT USED)'!C11</f>
        <v>20</v>
      </c>
      <c r="E78" s="20" t="s">
        <v>62</v>
      </c>
      <c r="F78" s="15" t="s">
        <v>138</v>
      </c>
      <c r="G78" s="20"/>
      <c r="H78" s="20"/>
      <c r="I78" s="20"/>
      <c r="J78" s="15"/>
      <c r="K78" s="40"/>
    </row>
    <row r="79" spans="1:11" ht="30" x14ac:dyDescent="0.25">
      <c r="A79" s="85"/>
      <c r="B79" s="83" t="s">
        <v>197</v>
      </c>
      <c r="C79" s="20" t="s">
        <v>23</v>
      </c>
      <c r="D79" s="19">
        <f>' Design Parameters (NOT USED)'!C4</f>
        <v>36</v>
      </c>
      <c r="E79" s="20" t="s">
        <v>8</v>
      </c>
      <c r="F79" s="15" t="s">
        <v>31</v>
      </c>
      <c r="G79" s="20" t="s">
        <v>198</v>
      </c>
      <c r="H79" s="20" t="e">
        <f>(D79/SQRT(3))/(SQRT(2)*PI()*D80*D81*D82*D83*D84)</f>
        <v>#REF!</v>
      </c>
      <c r="I79" s="20" t="s">
        <v>28</v>
      </c>
      <c r="J79" s="15" t="s">
        <v>199</v>
      </c>
      <c r="K79" s="40"/>
    </row>
    <row r="80" spans="1:11" x14ac:dyDescent="0.25">
      <c r="A80" s="85"/>
      <c r="B80" s="83"/>
      <c r="C80" s="32" t="s">
        <v>25</v>
      </c>
      <c r="D80" s="19">
        <f>' Design Parameters (NOT USED)'!C6</f>
        <v>15</v>
      </c>
      <c r="E80" s="32" t="s">
        <v>27</v>
      </c>
      <c r="F80" s="10" t="s">
        <v>37</v>
      </c>
      <c r="G80" s="20"/>
      <c r="H80" s="20"/>
      <c r="I80" s="20"/>
      <c r="J80" s="15"/>
      <c r="K80" s="40"/>
    </row>
    <row r="81" spans="1:11" ht="17.25" x14ac:dyDescent="0.3">
      <c r="A81" s="85"/>
      <c r="B81" s="83"/>
      <c r="C81" s="20" t="s">
        <v>200</v>
      </c>
      <c r="D81" s="19" t="e">
        <f>' Design Parameters (NOT USED)'!C19</f>
        <v>#REF!</v>
      </c>
      <c r="E81" s="20"/>
      <c r="F81" s="17" t="s">
        <v>201</v>
      </c>
      <c r="G81" s="20"/>
      <c r="H81" s="20"/>
      <c r="I81" s="20"/>
      <c r="J81" s="15"/>
      <c r="K81" s="40"/>
    </row>
    <row r="82" spans="1:11" ht="30.75" x14ac:dyDescent="0.3">
      <c r="A82" s="85"/>
      <c r="B82" s="83"/>
      <c r="C82" s="20" t="s">
        <v>184</v>
      </c>
      <c r="D82" s="19">
        <f>H73</f>
        <v>0</v>
      </c>
      <c r="E82" s="20"/>
      <c r="F82" s="17" t="s">
        <v>185</v>
      </c>
      <c r="G82" s="20"/>
      <c r="H82" s="20"/>
      <c r="I82" s="20"/>
      <c r="J82" s="15"/>
      <c r="K82" s="40"/>
    </row>
    <row r="83" spans="1:11" ht="30.75" x14ac:dyDescent="0.3">
      <c r="A83" s="85"/>
      <c r="B83" s="83"/>
      <c r="C83" s="20" t="s">
        <v>194</v>
      </c>
      <c r="D83" s="19">
        <f>H77</f>
        <v>0.1814435677688471</v>
      </c>
      <c r="E83" s="20"/>
      <c r="F83" s="17" t="s">
        <v>196</v>
      </c>
      <c r="G83" s="20"/>
      <c r="H83" s="20"/>
      <c r="I83" s="20"/>
      <c r="J83" s="15"/>
      <c r="K83" s="40"/>
    </row>
    <row r="84" spans="1:11" ht="18.75" x14ac:dyDescent="0.3">
      <c r="A84" s="85"/>
      <c r="B84" s="83"/>
      <c r="C84" s="42" t="s">
        <v>111</v>
      </c>
      <c r="D84" s="19" t="e">
        <f>H39</f>
        <v>#DIV/0!</v>
      </c>
      <c r="E84" s="42" t="s">
        <v>112</v>
      </c>
      <c r="F84" s="44" t="s">
        <v>113</v>
      </c>
      <c r="G84" s="20"/>
      <c r="H84" s="20"/>
      <c r="I84" s="20"/>
      <c r="J84" s="15"/>
      <c r="K84" s="40"/>
    </row>
    <row r="85" spans="1:11" ht="30" x14ac:dyDescent="0.25">
      <c r="A85" s="85"/>
      <c r="B85" s="83" t="s">
        <v>202</v>
      </c>
      <c r="C85" s="20" t="s">
        <v>198</v>
      </c>
      <c r="D85" s="19" t="e">
        <f>H79</f>
        <v>#REF!</v>
      </c>
      <c r="E85" s="20" t="s">
        <v>28</v>
      </c>
      <c r="F85" s="15" t="s">
        <v>199</v>
      </c>
      <c r="G85" s="20" t="s">
        <v>203</v>
      </c>
      <c r="H85" s="20" t="e">
        <f>D85/(D86*D87)</f>
        <v>#REF!</v>
      </c>
      <c r="I85" s="20" t="s">
        <v>28</v>
      </c>
      <c r="J85" s="15" t="s">
        <v>204</v>
      </c>
      <c r="K85" s="40"/>
    </row>
    <row r="86" spans="1:11" x14ac:dyDescent="0.25">
      <c r="A86" s="85"/>
      <c r="B86" s="83"/>
      <c r="C86" s="20" t="s">
        <v>191</v>
      </c>
      <c r="D86" s="19">
        <f>H74</f>
        <v>9.2250922509225095</v>
      </c>
      <c r="E86" s="20" t="s">
        <v>28</v>
      </c>
      <c r="F86" s="15" t="s">
        <v>192</v>
      </c>
      <c r="G86" s="20"/>
      <c r="H86" s="20"/>
      <c r="I86" s="20"/>
      <c r="J86" s="15"/>
      <c r="K86" s="40"/>
    </row>
    <row r="87" spans="1:11" ht="30" x14ac:dyDescent="0.25">
      <c r="A87" s="85"/>
      <c r="B87" s="83"/>
      <c r="C87" s="20" t="s">
        <v>205</v>
      </c>
      <c r="D87" s="19">
        <f>' Design Parameters (NOT USED)'!C20</f>
        <v>12.300123001230013</v>
      </c>
      <c r="E87" s="20" t="s">
        <v>28</v>
      </c>
      <c r="F87" s="15" t="s">
        <v>206</v>
      </c>
      <c r="G87" s="20"/>
      <c r="H87" s="20"/>
      <c r="I87" s="20"/>
      <c r="J87" s="15"/>
      <c r="K87" s="40"/>
    </row>
    <row r="88" spans="1:11" ht="30" x14ac:dyDescent="0.25">
      <c r="A88" s="85"/>
      <c r="B88" s="83" t="s">
        <v>207</v>
      </c>
      <c r="C88" s="20" t="s">
        <v>174</v>
      </c>
      <c r="D88" s="19">
        <f>H67</f>
        <v>0</v>
      </c>
      <c r="E88" s="20" t="s">
        <v>176</v>
      </c>
      <c r="F88" s="15" t="s">
        <v>175</v>
      </c>
      <c r="G88" s="20" t="s">
        <v>208</v>
      </c>
      <c r="H88" s="20" t="e">
        <f>(D88*D89)/(D90*D91)</f>
        <v>#REF!</v>
      </c>
      <c r="I88" s="20" t="s">
        <v>94</v>
      </c>
      <c r="J88" s="15" t="s">
        <v>209</v>
      </c>
      <c r="K88" s="40"/>
    </row>
    <row r="89" spans="1:11" x14ac:dyDescent="0.25">
      <c r="A89" s="85"/>
      <c r="B89" s="83"/>
      <c r="C89" s="20" t="s">
        <v>210</v>
      </c>
      <c r="D89" s="19">
        <f>' Design Parameters (NOT USED)'!C21</f>
        <v>1</v>
      </c>
      <c r="E89" s="20" t="s">
        <v>28</v>
      </c>
      <c r="F89" s="15" t="s">
        <v>211</v>
      </c>
      <c r="G89" s="20"/>
      <c r="H89" s="20"/>
      <c r="I89" s="20"/>
      <c r="J89" s="15"/>
      <c r="K89" s="40"/>
    </row>
    <row r="90" spans="1:11" ht="30" x14ac:dyDescent="0.25">
      <c r="A90" s="85"/>
      <c r="B90" s="83"/>
      <c r="C90" s="20" t="s">
        <v>203</v>
      </c>
      <c r="D90" s="19" t="e">
        <f>H85</f>
        <v>#REF!</v>
      </c>
      <c r="E90" s="20" t="s">
        <v>28</v>
      </c>
      <c r="F90" s="15" t="s">
        <v>204</v>
      </c>
      <c r="G90" s="20"/>
      <c r="H90" s="20"/>
      <c r="I90" s="20"/>
      <c r="J90" s="15"/>
      <c r="K90" s="40"/>
    </row>
    <row r="91" spans="1:11" x14ac:dyDescent="0.25">
      <c r="A91" s="85"/>
      <c r="B91" s="83"/>
      <c r="C91" s="20" t="s">
        <v>187</v>
      </c>
      <c r="D91" s="19">
        <f>' Design Parameters (NOT USED)'!C18</f>
        <v>36.900369003690038</v>
      </c>
      <c r="E91" s="20" t="s">
        <v>28</v>
      </c>
      <c r="F91" s="15" t="s">
        <v>190</v>
      </c>
      <c r="G91" s="20"/>
      <c r="H91" s="20"/>
      <c r="I91" s="20"/>
      <c r="J91" s="15"/>
      <c r="K91" s="40"/>
    </row>
    <row r="92" spans="1:11" x14ac:dyDescent="0.25">
      <c r="A92" s="85"/>
      <c r="B92" s="83" t="s">
        <v>212</v>
      </c>
      <c r="C92" s="20" t="s">
        <v>213</v>
      </c>
      <c r="D92" s="19">
        <f>' Design Parameters (NOT USED)'!C22</f>
        <v>0</v>
      </c>
      <c r="E92" s="20" t="s">
        <v>94</v>
      </c>
      <c r="F92" s="15" t="s">
        <v>216</v>
      </c>
      <c r="G92" s="20" t="s">
        <v>214</v>
      </c>
      <c r="H92" s="20">
        <f>D92*D93</f>
        <v>0</v>
      </c>
      <c r="I92" s="20" t="s">
        <v>88</v>
      </c>
      <c r="J92" s="15" t="s">
        <v>215</v>
      </c>
      <c r="K92" s="40"/>
    </row>
    <row r="93" spans="1:11" x14ac:dyDescent="0.25">
      <c r="A93" s="85"/>
      <c r="B93" s="83"/>
      <c r="C93" s="20" t="s">
        <v>208</v>
      </c>
      <c r="D93" s="19">
        <f>' Design Parameters (NOT USED)'!C23</f>
        <v>0</v>
      </c>
      <c r="E93" s="20" t="s">
        <v>94</v>
      </c>
      <c r="F93" s="15" t="s">
        <v>209</v>
      </c>
      <c r="G93" s="20"/>
      <c r="H93" s="20"/>
      <c r="I93" s="20"/>
      <c r="J93" s="15"/>
      <c r="K93" s="40"/>
    </row>
    <row r="94" spans="1:11" x14ac:dyDescent="0.25">
      <c r="A94" s="85"/>
      <c r="B94" s="83" t="s">
        <v>217</v>
      </c>
      <c r="C94" s="20" t="s">
        <v>214</v>
      </c>
      <c r="D94" s="19">
        <f>H92</f>
        <v>0</v>
      </c>
      <c r="E94" s="20" t="s">
        <v>88</v>
      </c>
      <c r="F94" s="15" t="s">
        <v>215</v>
      </c>
      <c r="G94" s="20" t="s">
        <v>218</v>
      </c>
      <c r="H94" s="20">
        <f>SQRT(3)*D94*D95</f>
        <v>0</v>
      </c>
      <c r="I94" s="20" t="s">
        <v>29</v>
      </c>
      <c r="J94" s="15" t="s">
        <v>219</v>
      </c>
      <c r="K94" s="40"/>
    </row>
    <row r="95" spans="1:11" x14ac:dyDescent="0.25">
      <c r="A95" s="85"/>
      <c r="B95" s="83"/>
      <c r="C95" s="20" t="s">
        <v>23</v>
      </c>
      <c r="D95" s="19">
        <f>' Design Parameters (NOT USED)'!C4</f>
        <v>36</v>
      </c>
      <c r="E95" s="20" t="s">
        <v>8</v>
      </c>
      <c r="F95" s="15" t="s">
        <v>31</v>
      </c>
      <c r="G95" s="20"/>
      <c r="H95" s="20"/>
      <c r="I95" s="20"/>
      <c r="J95" s="15"/>
      <c r="K95" s="40"/>
    </row>
    <row r="96" spans="1:11" ht="30" x14ac:dyDescent="0.25">
      <c r="A96" s="86"/>
      <c r="B96" s="47" t="s">
        <v>220</v>
      </c>
      <c r="C96" s="35" t="s">
        <v>24</v>
      </c>
      <c r="D96" s="34">
        <f>' Design Parameters (NOT USED)'!C5</f>
        <v>0.9</v>
      </c>
      <c r="E96" s="35" t="s">
        <v>28</v>
      </c>
      <c r="F96" s="21" t="s">
        <v>36</v>
      </c>
      <c r="G96" s="35" t="s">
        <v>221</v>
      </c>
      <c r="H96" s="35"/>
      <c r="I96" s="35"/>
      <c r="J96" s="33"/>
      <c r="K96" s="48" t="s">
        <v>222</v>
      </c>
    </row>
  </sheetData>
  <mergeCells count="35">
    <mergeCell ref="K1:K2"/>
    <mergeCell ref="A3:A44"/>
    <mergeCell ref="B3:B5"/>
    <mergeCell ref="B6:B8"/>
    <mergeCell ref="B9:B12"/>
    <mergeCell ref="B13:B14"/>
    <mergeCell ref="B15:B17"/>
    <mergeCell ref="B18:B19"/>
    <mergeCell ref="B20:B21"/>
    <mergeCell ref="B22:B25"/>
    <mergeCell ref="B26:B27"/>
    <mergeCell ref="B28:B31"/>
    <mergeCell ref="B32:B38"/>
    <mergeCell ref="B39:B41"/>
    <mergeCell ref="B67:B69"/>
    <mergeCell ref="B70:B72"/>
    <mergeCell ref="B74:B76"/>
    <mergeCell ref="B42:B44"/>
    <mergeCell ref="A1:I1"/>
    <mergeCell ref="B77:B78"/>
    <mergeCell ref="B79:B84"/>
    <mergeCell ref="B85:B87"/>
    <mergeCell ref="A45:A96"/>
    <mergeCell ref="B45:B46"/>
    <mergeCell ref="B47:B49"/>
    <mergeCell ref="B50:B51"/>
    <mergeCell ref="B52:B53"/>
    <mergeCell ref="B54:B55"/>
    <mergeCell ref="B56:B57"/>
    <mergeCell ref="B58:B59"/>
    <mergeCell ref="B61:B63"/>
    <mergeCell ref="B64:B66"/>
    <mergeCell ref="B88:B91"/>
    <mergeCell ref="B92:B93"/>
    <mergeCell ref="B94:B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E855-9951-4D6D-96EA-1CB9E49A4F6B}">
  <dimension ref="A1:G12"/>
  <sheetViews>
    <sheetView workbookViewId="0">
      <selection activeCell="B2" sqref="B2:E3"/>
    </sheetView>
  </sheetViews>
  <sheetFormatPr defaultRowHeight="15" x14ac:dyDescent="0.25"/>
  <sheetData>
    <row r="1" spans="1:7" ht="30" x14ac:dyDescent="0.25">
      <c r="A1" s="88" t="s">
        <v>256</v>
      </c>
      <c r="B1" s="15" t="s">
        <v>60</v>
      </c>
      <c r="C1" s="31">
        <v>100</v>
      </c>
      <c r="D1" s="20" t="s">
        <v>56</v>
      </c>
      <c r="E1" s="15" t="s">
        <v>40</v>
      </c>
      <c r="F1" s="72" t="s">
        <v>265</v>
      </c>
      <c r="G1" s="5"/>
    </row>
    <row r="2" spans="1:7" ht="45" x14ac:dyDescent="0.25">
      <c r="A2" s="89"/>
      <c r="B2" s="15" t="s">
        <v>57</v>
      </c>
      <c r="C2" s="31"/>
      <c r="D2" s="20" t="s">
        <v>28</v>
      </c>
      <c r="E2" s="15" t="s">
        <v>58</v>
      </c>
      <c r="F2" s="65"/>
      <c r="G2" s="5"/>
    </row>
    <row r="3" spans="1:7" ht="30" x14ac:dyDescent="0.25">
      <c r="A3" s="89"/>
      <c r="B3" s="15" t="s">
        <v>61</v>
      </c>
      <c r="C3" s="31">
        <v>0</v>
      </c>
      <c r="D3" s="20" t="s">
        <v>62</v>
      </c>
      <c r="E3" s="15" t="s">
        <v>59</v>
      </c>
      <c r="F3" s="65"/>
      <c r="G3" s="5"/>
    </row>
    <row r="4" spans="1:7" ht="45" x14ac:dyDescent="0.25">
      <c r="A4" s="89"/>
      <c r="B4" s="15" t="s">
        <v>67</v>
      </c>
      <c r="C4" s="19"/>
      <c r="D4" s="20" t="s">
        <v>28</v>
      </c>
      <c r="E4" s="15" t="s">
        <v>68</v>
      </c>
      <c r="F4" s="65"/>
      <c r="G4" s="5"/>
    </row>
    <row r="5" spans="1:7" ht="30" x14ac:dyDescent="0.25">
      <c r="A5" s="89"/>
      <c r="B5" s="15" t="s">
        <v>72</v>
      </c>
      <c r="C5" s="31"/>
      <c r="D5" s="32" t="s">
        <v>28</v>
      </c>
      <c r="E5" s="15" t="s">
        <v>73</v>
      </c>
      <c r="F5" s="65"/>
      <c r="G5" s="5"/>
    </row>
    <row r="6" spans="1:7" ht="75" x14ac:dyDescent="0.25">
      <c r="A6" s="89"/>
      <c r="B6" s="15" t="s">
        <v>86</v>
      </c>
      <c r="C6" s="19"/>
      <c r="D6" s="20" t="s">
        <v>88</v>
      </c>
      <c r="E6" s="15" t="s">
        <v>87</v>
      </c>
      <c r="F6" s="65"/>
      <c r="G6" s="5"/>
    </row>
    <row r="7" spans="1:7" ht="45" x14ac:dyDescent="0.25">
      <c r="A7" s="89"/>
      <c r="B7" s="15" t="s">
        <v>89</v>
      </c>
      <c r="C7" s="19"/>
      <c r="D7" s="20" t="s">
        <v>91</v>
      </c>
      <c r="E7" s="15" t="s">
        <v>90</v>
      </c>
      <c r="F7" s="65"/>
      <c r="G7" s="5"/>
    </row>
    <row r="8" spans="1:7" ht="45" x14ac:dyDescent="0.25">
      <c r="A8" s="89"/>
      <c r="B8" s="15" t="s">
        <v>95</v>
      </c>
      <c r="C8" s="19"/>
      <c r="D8" s="20" t="s">
        <v>28</v>
      </c>
      <c r="E8" s="15" t="s">
        <v>96</v>
      </c>
      <c r="F8" s="65"/>
      <c r="G8" s="5"/>
    </row>
    <row r="9" spans="1:7" ht="30" x14ac:dyDescent="0.25">
      <c r="A9" s="89"/>
      <c r="B9" s="15" t="s">
        <v>104</v>
      </c>
      <c r="C9" s="19">
        <v>5</v>
      </c>
      <c r="D9" s="20" t="s">
        <v>56</v>
      </c>
      <c r="E9" s="15" t="s">
        <v>105</v>
      </c>
      <c r="F9" s="65"/>
      <c r="G9" s="5"/>
    </row>
    <row r="10" spans="1:7" ht="60" x14ac:dyDescent="0.25">
      <c r="A10" s="89"/>
      <c r="B10" s="15" t="s">
        <v>106</v>
      </c>
      <c r="C10" s="19"/>
      <c r="D10" s="20" t="s">
        <v>56</v>
      </c>
      <c r="E10" s="15" t="s">
        <v>109</v>
      </c>
      <c r="F10" s="65"/>
      <c r="G10" s="5"/>
    </row>
    <row r="11" spans="1:7" ht="30" x14ac:dyDescent="0.25">
      <c r="A11" s="89"/>
      <c r="B11" s="15" t="s">
        <v>107</v>
      </c>
      <c r="C11" s="19"/>
      <c r="D11" s="20" t="s">
        <v>28</v>
      </c>
      <c r="E11" s="15" t="s">
        <v>108</v>
      </c>
      <c r="F11" s="65"/>
      <c r="G11" s="5"/>
    </row>
    <row r="12" spans="1:7" ht="45" x14ac:dyDescent="0.25">
      <c r="A12" s="90"/>
      <c r="B12" s="33" t="s">
        <v>114</v>
      </c>
      <c r="C12" s="34"/>
      <c r="D12" s="35" t="s">
        <v>88</v>
      </c>
      <c r="E12" s="33" t="s">
        <v>115</v>
      </c>
      <c r="F12" s="87"/>
      <c r="G12" s="4"/>
    </row>
  </sheetData>
  <mergeCells count="2">
    <mergeCell ref="F1:F12"/>
    <mergeCell ref="A1:A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977528-d31f-40a8-8b2a-7546294d8265">
      <Terms xmlns="http://schemas.microsoft.com/office/infopath/2007/PartnerControls"/>
    </lcf76f155ced4ddcb4097134ff3c332f>
    <TaxCatchAll xmlns="a92701df-34ef-4042-85b4-1a762fd043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85F26CD232245AE8497B419F2F41E" ma:contentTypeVersion="14" ma:contentTypeDescription="Create a new document." ma:contentTypeScope="" ma:versionID="f8bc081316ec9e2458f2de51598da847">
  <xsd:schema xmlns:xsd="http://www.w3.org/2001/XMLSchema" xmlns:xs="http://www.w3.org/2001/XMLSchema" xmlns:p="http://schemas.microsoft.com/office/2006/metadata/properties" xmlns:ns2="6f977528-d31f-40a8-8b2a-7546294d8265" xmlns:ns3="a92701df-34ef-4042-85b4-1a762fd04360" targetNamespace="http://schemas.microsoft.com/office/2006/metadata/properties" ma:root="true" ma:fieldsID="22787c37daf70d3ac3403392be62b4ed" ns2:_="" ns3:_="">
    <xsd:import namespace="6f977528-d31f-40a8-8b2a-7546294d8265"/>
    <xsd:import namespace="a92701df-34ef-4042-85b4-1a762fd04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7528-d31f-40a8-8b2a-7546294d82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701df-34ef-4042-85b4-1a762fd0436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b028b-19ea-41d8-81b1-3ea7ab1f90a1}" ma:internalName="TaxCatchAll" ma:showField="CatchAllData" ma:web="a92701df-34ef-4042-85b4-1a762fd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66427-CA9D-4EE4-8EE4-F13E348611BF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6f977528-d31f-40a8-8b2a-7546294d826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92701df-34ef-4042-85b4-1a762fd04360"/>
  </ds:schemaRefs>
</ds:datastoreItem>
</file>

<file path=customXml/itemProps2.xml><?xml version="1.0" encoding="utf-8"?>
<ds:datastoreItem xmlns:ds="http://schemas.openxmlformats.org/officeDocument/2006/customXml" ds:itemID="{BB12995D-C335-46C0-B03B-128629CC2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239D2-C5B9-4EDE-9A23-FD999C69F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Design Methodology</vt:lpstr>
      <vt:lpstr>Sheet3</vt:lpstr>
      <vt:lpstr>Desgn Equations</vt:lpstr>
      <vt:lpstr>Power Output Test</vt:lpstr>
      <vt:lpstr>FullLoadDesign</vt:lpstr>
      <vt:lpstr>bldc</vt:lpstr>
      <vt:lpstr> Design Parameters (NOT USED)</vt:lpstr>
      <vt:lpstr>NoLoadDesign_FESG(NOT USED)</vt:lpstr>
      <vt:lpstr>DesignParameters(NOtUsed)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Lee (kwl1y19)</cp:lastModifiedBy>
  <cp:revision/>
  <dcterms:created xsi:type="dcterms:W3CDTF">2023-11-07T20:14:49Z</dcterms:created>
  <dcterms:modified xsi:type="dcterms:W3CDTF">2023-11-28T23:25:53Z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0x01010095A85F26CD232245AE8497B419F2F41E</vt:lpwstr>
  </property>
  <property fmtid="{D5CDD505-2E9C-101B-9397-08002B2CF9AE}" pid="3" name="MediaServiceImageTags">
    <vt:lpwstr/>
  </property>
</Properties>
</file>