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eetx\Downloads\"/>
    </mc:Choice>
  </mc:AlternateContent>
  <xr:revisionPtr revIDLastSave="0" documentId="13_ncr:1_{141F762C-DBB7-4DC0-A9D6-8C0FA4559324}" xr6:coauthVersionLast="47" xr6:coauthVersionMax="47" xr10:uidLastSave="{00000000-0000-0000-0000-000000000000}"/>
  <bookViews>
    <workbookView xWindow="-110" yWindow="-110" windowWidth="19420" windowHeight="10300" xr2:uid="{528FD423-2499-4C9D-9E0F-44640903B6E2}"/>
  </bookViews>
  <sheets>
    <sheet name="Sheet1" sheetId="1" r:id="rId1"/>
    <sheet name="Sheet2" sheetId="2" r:id="rId2"/>
  </sheets>
  <definedNames>
    <definedName name="_xlnm._FilterDatabase" localSheetId="0" hidden="1">Sheet1!$A$1:$E$43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D61" i="1"/>
  <c r="B61" i="1"/>
  <c r="A61" i="1"/>
  <c r="G60" i="1"/>
  <c r="D60" i="1"/>
  <c r="B60" i="1"/>
  <c r="A60" i="1"/>
  <c r="G59" i="1"/>
  <c r="D59" i="1"/>
  <c r="B59" i="1"/>
  <c r="A59" i="1"/>
  <c r="B58" i="1"/>
  <c r="B57" i="1"/>
  <c r="B56" i="1"/>
  <c r="G55" i="1"/>
  <c r="D55" i="1"/>
  <c r="B55" i="1"/>
  <c r="A55" i="1"/>
  <c r="G54" i="1"/>
  <c r="D54" i="1"/>
  <c r="B54" i="1"/>
  <c r="A54" i="1"/>
  <c r="G53" i="1"/>
  <c r="D53" i="1"/>
  <c r="B53" i="1"/>
  <c r="A53" i="1"/>
  <c r="G52" i="1"/>
  <c r="D52" i="1"/>
  <c r="B52" i="1"/>
  <c r="A52" i="1"/>
  <c r="G51" i="1"/>
  <c r="D51" i="1"/>
  <c r="B51" i="1"/>
  <c r="A51" i="1"/>
  <c r="G50" i="1"/>
  <c r="D50" i="1"/>
  <c r="B50" i="1"/>
  <c r="A50" i="1"/>
  <c r="G49" i="1"/>
  <c r="D49" i="1"/>
  <c r="B49" i="1"/>
  <c r="A49" i="1"/>
  <c r="G48" i="1"/>
  <c r="D48" i="1"/>
  <c r="B48" i="1"/>
  <c r="A48" i="1"/>
  <c r="G47" i="1"/>
  <c r="D47" i="1"/>
  <c r="B47" i="1"/>
  <c r="A47" i="1"/>
  <c r="G46" i="1"/>
  <c r="D46" i="1"/>
  <c r="B46" i="1"/>
  <c r="A46" i="1"/>
  <c r="G45" i="1"/>
  <c r="D45" i="1"/>
  <c r="B45" i="1"/>
  <c r="A45" i="1"/>
  <c r="G44" i="1"/>
  <c r="D44" i="1"/>
  <c r="B44" i="1"/>
  <c r="A44" i="1"/>
  <c r="G43" i="1"/>
  <c r="D43" i="1"/>
  <c r="B43" i="1"/>
  <c r="A43" i="1"/>
  <c r="G19" i="1"/>
  <c r="D19" i="1"/>
  <c r="B19" i="1"/>
  <c r="A19" i="1"/>
  <c r="G22" i="1"/>
  <c r="D22" i="1"/>
  <c r="B22" i="1"/>
  <c r="A22" i="1"/>
  <c r="G25" i="1"/>
  <c r="D25" i="1"/>
  <c r="B25" i="1"/>
  <c r="A25" i="1"/>
  <c r="G30" i="1"/>
  <c r="D30" i="1"/>
  <c r="B30" i="1"/>
  <c r="A30" i="1"/>
  <c r="G29" i="1"/>
  <c r="D29" i="1"/>
  <c r="B29" i="1"/>
  <c r="A29" i="1"/>
  <c r="G39" i="1"/>
  <c r="D39" i="1"/>
  <c r="B39" i="1"/>
  <c r="A39" i="1"/>
  <c r="G16" i="1"/>
  <c r="D16" i="1"/>
  <c r="B16" i="1"/>
  <c r="A16" i="1"/>
  <c r="G13" i="1"/>
  <c r="D13" i="1"/>
  <c r="B13" i="1"/>
  <c r="A13" i="1"/>
  <c r="G12" i="1"/>
  <c r="D12" i="1"/>
  <c r="B12" i="1"/>
  <c r="A12" i="1"/>
  <c r="G11" i="1"/>
  <c r="D11" i="1"/>
  <c r="B11" i="1"/>
  <c r="A11" i="1"/>
  <c r="G10" i="1"/>
  <c r="D10" i="1"/>
  <c r="B10" i="1"/>
  <c r="A10" i="1"/>
  <c r="G9" i="1"/>
  <c r="D9" i="1"/>
  <c r="B9" i="1"/>
  <c r="A9" i="1"/>
  <c r="G8" i="1"/>
  <c r="B8" i="1"/>
  <c r="A8" i="1"/>
  <c r="G42" i="1" l="1"/>
  <c r="B42" i="1"/>
  <c r="A42" i="1"/>
  <c r="D42" i="1"/>
  <c r="G41" i="1"/>
  <c r="B41" i="1"/>
  <c r="A41" i="1"/>
  <c r="D41" i="1"/>
  <c r="G40" i="1"/>
  <c r="B40" i="1"/>
  <c r="A40" i="1"/>
  <c r="D40" i="1"/>
  <c r="G38" i="1"/>
  <c r="B38" i="1"/>
  <c r="A38" i="1"/>
  <c r="D38" i="1"/>
  <c r="G37" i="1"/>
  <c r="B37" i="1"/>
  <c r="A37" i="1"/>
  <c r="D37" i="1"/>
  <c r="G36" i="1"/>
  <c r="B36" i="1"/>
  <c r="A36" i="1"/>
  <c r="D36" i="1"/>
  <c r="D35" i="1"/>
  <c r="G35" i="1"/>
  <c r="B35" i="1"/>
  <c r="A35" i="1"/>
  <c r="G34" i="1"/>
  <c r="D34" i="1"/>
  <c r="B34" i="1"/>
  <c r="A34" i="1"/>
  <c r="G33" i="1"/>
  <c r="B33" i="1"/>
  <c r="A33" i="1"/>
  <c r="D33" i="1"/>
  <c r="G32" i="1"/>
  <c r="B32" i="1"/>
  <c r="A32" i="1"/>
  <c r="D32" i="1"/>
  <c r="G31" i="1"/>
  <c r="B31" i="1"/>
  <c r="A31" i="1"/>
  <c r="D31" i="1"/>
  <c r="D28" i="1"/>
  <c r="G28" i="1"/>
  <c r="B28" i="1"/>
  <c r="A28" i="1"/>
  <c r="G27" i="1"/>
  <c r="B27" i="1"/>
  <c r="A27" i="1"/>
  <c r="D27" i="1"/>
  <c r="D26" i="1"/>
  <c r="G26" i="1"/>
  <c r="B26" i="1"/>
  <c r="A26" i="1"/>
  <c r="G24" i="1"/>
  <c r="B24" i="1"/>
  <c r="A24" i="1"/>
  <c r="D21" i="1"/>
  <c r="D7" i="1"/>
  <c r="D6" i="1"/>
  <c r="D5" i="1"/>
  <c r="D4" i="1"/>
  <c r="D3" i="1"/>
  <c r="D18" i="1"/>
  <c r="D23" i="1"/>
  <c r="D24" i="1"/>
  <c r="D2" i="1"/>
  <c r="G23" i="1"/>
  <c r="B23" i="1"/>
  <c r="A23" i="1"/>
  <c r="G21" i="1"/>
  <c r="B21" i="1"/>
  <c r="A21" i="1"/>
  <c r="G18" i="1"/>
  <c r="B18" i="1"/>
  <c r="A18" i="1"/>
  <c r="G7" i="1"/>
  <c r="B7" i="1"/>
  <c r="A7" i="1"/>
  <c r="G6" i="1"/>
  <c r="B6" i="1"/>
  <c r="A6" i="1"/>
  <c r="G5" i="1"/>
  <c r="B5" i="1"/>
  <c r="A5" i="1"/>
  <c r="G4" i="1" l="1"/>
  <c r="B4" i="1"/>
  <c r="A4" i="1"/>
  <c r="G3" i="1"/>
  <c r="B3" i="1"/>
  <c r="A3" i="1"/>
  <c r="G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Tran, Van Hung</author>
    <author>Tan, KhaiX Ee</author>
  </authors>
  <commentList>
    <comment ref="H15" authorId="0" shapeId="0" xr:uid="{353DB5E6-8E9B-441D-B7A6-C11B8D2CF384}">
      <text>
        <r>
          <rPr>
            <sz val="11"/>
            <color theme="1"/>
            <rFont val="Intel Clear Light"/>
            <family val="2"/>
          </rPr>
          <t>Tran, Van Hung:
before rebaseline SPI</t>
        </r>
      </text>
    </comment>
    <comment ref="A37" authorId="1" shapeId="0" xr:uid="{168FA52B-8DC3-4F82-89AA-5247CF6A70DA}">
      <text>
        <r>
          <rPr>
            <b/>
            <sz val="9"/>
            <color indexed="81"/>
            <rFont val="Tahoma"/>
            <family val="2"/>
          </rPr>
          <t>Tan, KhaiX Ee:
Breakdown of submittal Document: product catalogue</t>
        </r>
      </text>
    </comment>
    <comment ref="B37" authorId="1" shapeId="0" xr:uid="{083712EB-789A-4B73-9313-F87F5D2FE67A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breakdown: shop drawing </t>
        </r>
      </text>
    </comment>
    <comment ref="C37" authorId="1" shapeId="0" xr:uid="{453577A3-69B2-4200-B4C8-06888C382BC5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1.0 total SOC based on ratio</t>
        </r>
      </text>
    </comment>
    <comment ref="D37" authorId="1" shapeId="0" xr:uid="{324513B0-BF73-4C60-B5E5-FFC176639262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1.0 b (ii) - take the average
</t>
        </r>
      </text>
    </comment>
    <comment ref="F37" authorId="1" shapeId="0" xr:uid="{25F43EEA-9B51-4AB9-A0E7-8BCB7490EF23}">
      <text>
        <r>
          <rPr>
            <b/>
            <sz val="9"/>
            <color indexed="81"/>
            <rFont val="Tahoma"/>
            <family val="2"/>
          </rPr>
          <t>Tan, KhaiX Ee:</t>
        </r>
        <r>
          <rPr>
            <sz val="9"/>
            <color indexed="81"/>
            <rFont val="Tahoma"/>
            <family val="2"/>
          </rPr>
          <t xml:space="preserve">
1.0</t>
        </r>
      </text>
    </comment>
    <comment ref="G37" authorId="1" shapeId="0" xr:uid="{005450A6-5E41-49C3-BF1A-C17E1FEB282F}">
      <text>
        <r>
          <rPr>
            <b/>
            <sz val="9"/>
            <color indexed="81"/>
            <rFont val="Tahoma"/>
            <family val="2"/>
          </rPr>
          <t>Tan, KhaiX Ee:
breakdown</t>
        </r>
      </text>
    </comment>
  </commentList>
</comments>
</file>

<file path=xl/sharedStrings.xml><?xml version="1.0" encoding="utf-8"?>
<sst xmlns="http://schemas.openxmlformats.org/spreadsheetml/2006/main" count="74" uniqueCount="15">
  <si>
    <t>IFF Issuance rate</t>
  </si>
  <si>
    <t>manpower</t>
  </si>
  <si>
    <t>discipline</t>
  </si>
  <si>
    <t>safety incident</t>
  </si>
  <si>
    <t>rfi closure rate</t>
  </si>
  <si>
    <t>material receive rate = sum received/sum total</t>
  </si>
  <si>
    <t>qaqc closure rate = closed/total use weekly</t>
  </si>
  <si>
    <t>submittal closure rate = sum(returned to date)/sum(submitted to date + returned to date)</t>
  </si>
  <si>
    <t>safety induction use YTD #</t>
  </si>
  <si>
    <t>manpower use actual #</t>
  </si>
  <si>
    <t>SPI use accumulative SPI at the week start</t>
  </si>
  <si>
    <t>material submittal closure rate</t>
  </si>
  <si>
    <t>SOC Submission</t>
  </si>
  <si>
    <t>2wks ahead acum SPI</t>
  </si>
  <si>
    <t>Electrical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</si>
</sst>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Intel Clear Light"/>
      <family val="2"/>
    </font>
    <font>
      <sz val="11"/>
      <color rgb="FF000000"/>
      <name val="Intel Clear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Intel Clear Light"/>
    </font>
    <font>
      <sz val="11"/>
      <name val="Intel Clear Light"/>
      <family val="2"/>
    </font>
    <font>
      <sz val="11"/>
      <color rgb="FFFF0000"/>
      <name val="Intel Clear Light"/>
      <family val="2"/>
    </font>
    <font>
      <sz val="11"/>
      <name val="Intel Clear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horizontal="right" vertical="top" wrapText="1"/>
    </xf>
    <xf numFmtId="2" fontId="0" fillId="0" borderId="0" xfId="0" applyNumberFormat="1"/>
    <xf numFmtId="164" fontId="0" fillId="0" borderId="0" xfId="0" applyNumberFormat="1"/>
    <xf numFmtId="0" fontId="5" fillId="0" borderId="0" xfId="0" applyFont="1" applyAlignment="1">
      <alignment horizontal="right" vertical="top"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right" vertical="top" wrapText="1"/>
    </xf>
    <xf numFmtId="2" fontId="5" fillId="0" borderId="0" xfId="0" applyNumberFormat="1" applyFont="1" applyAlignment="1">
      <alignment horizontal="right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left" vertical="top" wrapText="1"/>
    </xf>
    <xf numFmtId="2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top" wrapText="1"/>
    </xf>
    <xf numFmtId="2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164" fontId="5" fillId="0" borderId="0" xfId="0" applyNumberFormat="1" applyFont="1"/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top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AC20-3E9A-4F66-A853-0B3ED62ED0BC}">
  <dimension ref="A1:H61"/>
  <sheetViews>
    <sheetView tabSelected="1" zoomScale="80" zoomScaleNormal="80" workbookViewId="0">
      <pane ySplit="1" topLeftCell="A2" activePane="bottomLeft" state="frozen"/>
      <selection pane="bottomLeft" activeCell="J29" sqref="J29"/>
    </sheetView>
  </sheetViews>
  <sheetFormatPr defaultRowHeight="14.25" customHeight="1"/>
  <cols>
    <col min="1" max="1" width="14.75" customWidth="1"/>
    <col min="2" max="2" width="15.33203125" customWidth="1"/>
    <col min="3" max="3" width="12.75" customWidth="1"/>
    <col min="4" max="4" width="14.75" customWidth="1"/>
    <col min="5" max="5" width="17.5" customWidth="1"/>
    <col min="6" max="6" width="9.83203125" bestFit="1" customWidth="1"/>
    <col min="7" max="7" width="13.9140625" customWidth="1"/>
  </cols>
  <sheetData>
    <row r="1" spans="1:8" s="1" customFormat="1" ht="59" customHeight="1">
      <c r="A1" s="1" t="s">
        <v>11</v>
      </c>
      <c r="B1" s="1" t="s">
        <v>0</v>
      </c>
      <c r="C1" s="1" t="s">
        <v>12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13</v>
      </c>
    </row>
    <row r="2" spans="1:8" s="1" customFormat="1" ht="14">
      <c r="A2" s="2">
        <f>6/15</f>
        <v>0.4</v>
      </c>
      <c r="B2" s="6">
        <f>0/2</f>
        <v>0</v>
      </c>
      <c r="C2" s="2">
        <v>12</v>
      </c>
      <c r="D2" s="2">
        <f>59/2</f>
        <v>29.5</v>
      </c>
      <c r="E2" s="1" t="s">
        <v>14</v>
      </c>
      <c r="F2" s="2">
        <v>0</v>
      </c>
      <c r="G2" s="3">
        <f>11/16</f>
        <v>0.6875</v>
      </c>
      <c r="H2" s="2">
        <v>0.1</v>
      </c>
    </row>
    <row r="3" spans="1:8" s="1" customFormat="1" ht="14">
      <c r="A3" s="6">
        <f>6/15</f>
        <v>0.4</v>
      </c>
      <c r="B3" s="6">
        <f>0/2</f>
        <v>0</v>
      </c>
      <c r="C3" s="2">
        <v>30</v>
      </c>
      <c r="D3" s="3">
        <f>185/6</f>
        <v>30.833333333333332</v>
      </c>
      <c r="E3" s="1" t="s">
        <v>14</v>
      </c>
      <c r="F3" s="2">
        <v>0</v>
      </c>
      <c r="G3" s="3">
        <f>12/17</f>
        <v>0.70588235294117652</v>
      </c>
      <c r="H3" s="2">
        <v>0.11</v>
      </c>
    </row>
    <row r="4" spans="1:8" s="1" customFormat="1" ht="14">
      <c r="A4" s="10">
        <f>6/16</f>
        <v>0.375</v>
      </c>
      <c r="B4" s="6">
        <f>0/4</f>
        <v>0</v>
      </c>
      <c r="C4" s="2">
        <v>34</v>
      </c>
      <c r="D4" s="2">
        <f>204/6</f>
        <v>34</v>
      </c>
      <c r="E4" s="1" t="s">
        <v>14</v>
      </c>
      <c r="F4" s="2">
        <v>0</v>
      </c>
      <c r="G4" s="3">
        <f>18/26</f>
        <v>0.69230769230769229</v>
      </c>
      <c r="H4" s="2">
        <v>0.15</v>
      </c>
    </row>
    <row r="5" spans="1:8" s="1" customFormat="1" ht="14">
      <c r="A5" s="10">
        <f>7/18</f>
        <v>0.3888888888888889</v>
      </c>
      <c r="B5" s="6">
        <f>0/5</f>
        <v>0</v>
      </c>
      <c r="C5" s="2">
        <v>50</v>
      </c>
      <c r="D5" s="2">
        <f>195/6</f>
        <v>32.5</v>
      </c>
      <c r="E5" s="1" t="s">
        <v>14</v>
      </c>
      <c r="F5" s="2">
        <v>0</v>
      </c>
      <c r="G5" s="3">
        <f>22/31</f>
        <v>0.70967741935483875</v>
      </c>
      <c r="H5" s="2">
        <v>0.14000000000000001</v>
      </c>
    </row>
    <row r="6" spans="1:8" s="1" customFormat="1" ht="14">
      <c r="A6" s="11">
        <f>10/19</f>
        <v>0.52631578947368418</v>
      </c>
      <c r="B6" s="8">
        <f>0/6</f>
        <v>0</v>
      </c>
      <c r="C6" s="2">
        <v>40</v>
      </c>
      <c r="D6" s="12">
        <f>175/6</f>
        <v>29.166666666666668</v>
      </c>
      <c r="E6" s="1" t="s">
        <v>14</v>
      </c>
      <c r="F6">
        <v>0</v>
      </c>
      <c r="G6" s="12">
        <f>33/38</f>
        <v>0.86842105263157898</v>
      </c>
      <c r="H6" s="2">
        <v>0.11</v>
      </c>
    </row>
    <row r="7" spans="1:8" s="1" customFormat="1" ht="14">
      <c r="A7" s="11">
        <f>10/21</f>
        <v>0.47619047619047616</v>
      </c>
      <c r="B7" s="8">
        <f>0/6</f>
        <v>0</v>
      </c>
      <c r="C7" s="2">
        <v>30</v>
      </c>
      <c r="D7" s="12">
        <f>227/6</f>
        <v>37.833333333333336</v>
      </c>
      <c r="E7" s="1" t="s">
        <v>14</v>
      </c>
      <c r="F7">
        <v>0</v>
      </c>
      <c r="G7" s="12">
        <f>33/38</f>
        <v>0.86842105263157898</v>
      </c>
      <c r="H7" s="2">
        <v>0.1</v>
      </c>
    </row>
    <row r="8" spans="1:8" s="1" customFormat="1" ht="14">
      <c r="A8" s="22">
        <f>10/23</f>
        <v>0.43478260869565216</v>
      </c>
      <c r="B8" s="22">
        <f>1/11</f>
        <v>9.0909090909090912E-2</v>
      </c>
      <c r="C8" s="23">
        <v>15</v>
      </c>
      <c r="D8" s="22">
        <v>48</v>
      </c>
      <c r="E8" s="24" t="s">
        <v>14</v>
      </c>
      <c r="F8" s="23">
        <v>0</v>
      </c>
      <c r="G8" s="22">
        <f>35/42</f>
        <v>0.83333333333333337</v>
      </c>
      <c r="H8" s="2">
        <v>0.09</v>
      </c>
    </row>
    <row r="9" spans="1:8" s="1" customFormat="1" ht="14">
      <c r="A9" s="22">
        <f>11/26</f>
        <v>0.42307692307692307</v>
      </c>
      <c r="B9" s="22">
        <f>1/12</f>
        <v>8.3333333333333329E-2</v>
      </c>
      <c r="C9" s="23">
        <v>21</v>
      </c>
      <c r="D9" s="22">
        <f>265/6</f>
        <v>44.166666666666664</v>
      </c>
      <c r="E9" s="24" t="s">
        <v>14</v>
      </c>
      <c r="F9" s="23">
        <v>0</v>
      </c>
      <c r="G9" s="22">
        <f>35/42</f>
        <v>0.83333333333333337</v>
      </c>
      <c r="H9" s="2">
        <v>0.14000000000000001</v>
      </c>
    </row>
    <row r="10" spans="1:8" s="1" customFormat="1" ht="14">
      <c r="A10" s="22">
        <f>10/28</f>
        <v>0.35714285714285715</v>
      </c>
      <c r="B10" s="22">
        <f>2/14</f>
        <v>0.14285714285714285</v>
      </c>
      <c r="C10" s="23">
        <v>26</v>
      </c>
      <c r="D10" s="22">
        <f>317/6</f>
        <v>52.833333333333336</v>
      </c>
      <c r="E10" s="24" t="s">
        <v>14</v>
      </c>
      <c r="F10" s="23">
        <v>0</v>
      </c>
      <c r="G10" s="22">
        <f>37/41</f>
        <v>0.90243902439024393</v>
      </c>
      <c r="H10" s="2">
        <v>0.14000000000000001</v>
      </c>
    </row>
    <row r="11" spans="1:8" s="1" customFormat="1" ht="14">
      <c r="A11" s="22">
        <f>13/29</f>
        <v>0.44827586206896552</v>
      </c>
      <c r="B11" s="22">
        <f>6/16</f>
        <v>0.375</v>
      </c>
      <c r="C11" s="23">
        <v>95</v>
      </c>
      <c r="D11" s="22">
        <f>388/6</f>
        <v>64.666666666666671</v>
      </c>
      <c r="E11" s="24" t="s">
        <v>14</v>
      </c>
      <c r="F11" s="23">
        <v>0</v>
      </c>
      <c r="G11" s="22">
        <f>40/47</f>
        <v>0.85106382978723405</v>
      </c>
      <c r="H11" s="2">
        <v>0.14000000000000001</v>
      </c>
    </row>
    <row r="12" spans="1:8" s="1" customFormat="1" ht="14">
      <c r="A12" s="22">
        <f>13/29</f>
        <v>0.44827586206896552</v>
      </c>
      <c r="B12" s="22">
        <f>7/18</f>
        <v>0.3888888888888889</v>
      </c>
      <c r="C12" s="23">
        <v>35</v>
      </c>
      <c r="D12" s="22">
        <f>420/6</f>
        <v>70</v>
      </c>
      <c r="E12" s="24" t="s">
        <v>14</v>
      </c>
      <c r="F12" s="23">
        <v>0</v>
      </c>
      <c r="G12" s="22">
        <f>41/54</f>
        <v>0.7592592592592593</v>
      </c>
      <c r="H12" s="2">
        <v>0.17</v>
      </c>
    </row>
    <row r="13" spans="1:8" s="1" customFormat="1" ht="14">
      <c r="A13" s="22">
        <f>14/30</f>
        <v>0.46666666666666667</v>
      </c>
      <c r="B13" s="22">
        <f>7/23</f>
        <v>0.30434782608695654</v>
      </c>
      <c r="C13" s="23">
        <v>36</v>
      </c>
      <c r="D13" s="22">
        <f>492/6</f>
        <v>82</v>
      </c>
      <c r="E13" s="24" t="s">
        <v>14</v>
      </c>
      <c r="F13" s="23">
        <v>0</v>
      </c>
      <c r="G13" s="22">
        <f>43/58</f>
        <v>0.74137931034482762</v>
      </c>
      <c r="H13" s="2">
        <v>0.18</v>
      </c>
    </row>
    <row r="14" spans="1:8" s="1" customFormat="1" ht="14">
      <c r="A14" s="14">
        <v>0.48</v>
      </c>
      <c r="B14" s="14">
        <v>0.3</v>
      </c>
      <c r="C14" s="14">
        <v>36</v>
      </c>
      <c r="D14" s="15">
        <v>82</v>
      </c>
      <c r="E14" s="16" t="s">
        <v>14</v>
      </c>
      <c r="F14" s="14">
        <v>0</v>
      </c>
      <c r="G14" s="14">
        <v>0.8</v>
      </c>
      <c r="H14">
        <v>0.2</v>
      </c>
    </row>
    <row r="15" spans="1:8" s="1" customFormat="1" ht="14">
      <c r="A15" s="14">
        <v>0.48</v>
      </c>
      <c r="B15" s="14">
        <v>0.3</v>
      </c>
      <c r="C15" s="14">
        <v>36</v>
      </c>
      <c r="D15" s="15">
        <v>82</v>
      </c>
      <c r="E15" s="16" t="s">
        <v>14</v>
      </c>
      <c r="F15" s="14">
        <v>0</v>
      </c>
      <c r="G15" s="14">
        <v>0.8</v>
      </c>
      <c r="H15">
        <v>1</v>
      </c>
    </row>
    <row r="16" spans="1:8" s="1" customFormat="1" ht="14">
      <c r="A16" s="22">
        <f>16/36</f>
        <v>0.44444444444444442</v>
      </c>
      <c r="B16" s="22">
        <f>12/37</f>
        <v>0.32432432432432434</v>
      </c>
      <c r="C16" s="23">
        <v>96</v>
      </c>
      <c r="D16" s="22">
        <f>497/6</f>
        <v>82.833333333333329</v>
      </c>
      <c r="E16" s="24" t="s">
        <v>14</v>
      </c>
      <c r="F16" s="23">
        <v>0</v>
      </c>
      <c r="G16" s="23">
        <f>60/64</f>
        <v>0.9375</v>
      </c>
      <c r="H16">
        <v>1</v>
      </c>
    </row>
    <row r="17" spans="1:8" s="1" customFormat="1" ht="14">
      <c r="A17" s="14">
        <v>0.48</v>
      </c>
      <c r="B17" s="14">
        <v>0.3</v>
      </c>
      <c r="C17" s="14">
        <v>96</v>
      </c>
      <c r="D17" s="15">
        <v>85</v>
      </c>
      <c r="E17" s="16" t="s">
        <v>14</v>
      </c>
      <c r="F17" s="14">
        <v>0</v>
      </c>
      <c r="G17" s="14">
        <v>0.9</v>
      </c>
      <c r="H17">
        <v>1.1100000000000001</v>
      </c>
    </row>
    <row r="18" spans="1:8" s="1" customFormat="1" ht="14">
      <c r="A18" s="9">
        <f>28/39</f>
        <v>0.71794871794871795</v>
      </c>
      <c r="B18" s="9">
        <f>11/41</f>
        <v>0.26829268292682928</v>
      </c>
      <c r="C18">
        <v>120</v>
      </c>
      <c r="D18" s="4">
        <f>548/6</f>
        <v>91.333333333333329</v>
      </c>
      <c r="E18" s="1" t="s">
        <v>14</v>
      </c>
      <c r="F18">
        <v>0</v>
      </c>
      <c r="G18" s="4">
        <f>65/73</f>
        <v>0.8904109589041096</v>
      </c>
      <c r="H18">
        <v>1.1200000000000001</v>
      </c>
    </row>
    <row r="19" spans="1:8" s="1" customFormat="1" ht="14">
      <c r="A19" s="23">
        <f>28/41</f>
        <v>0.68292682926829273</v>
      </c>
      <c r="B19" s="23">
        <f>14/43</f>
        <v>0.32558139534883723</v>
      </c>
      <c r="C19" s="23">
        <v>150</v>
      </c>
      <c r="D19" s="22">
        <f>711/6</f>
        <v>118.5</v>
      </c>
      <c r="E19" s="24" t="s">
        <v>14</v>
      </c>
      <c r="F19" s="23">
        <v>0</v>
      </c>
      <c r="G19" s="22">
        <f>72/75</f>
        <v>0.96</v>
      </c>
      <c r="H19">
        <v>1.07</v>
      </c>
    </row>
    <row r="20" spans="1:8" s="1" customFormat="1" ht="14">
      <c r="A20" s="14">
        <v>0.75</v>
      </c>
      <c r="B20" s="14">
        <v>0.3</v>
      </c>
      <c r="C20" s="14">
        <v>120</v>
      </c>
      <c r="D20" s="15">
        <v>110</v>
      </c>
      <c r="E20" s="16" t="s">
        <v>14</v>
      </c>
      <c r="F20" s="14">
        <v>0</v>
      </c>
      <c r="G20" s="15">
        <v>0.9</v>
      </c>
      <c r="H20">
        <v>1.01</v>
      </c>
    </row>
    <row r="21" spans="1:8" s="1" customFormat="1" ht="14">
      <c r="A21" s="9">
        <f>31/41</f>
        <v>0.75609756097560976</v>
      </c>
      <c r="B21" s="9">
        <f>24/62</f>
        <v>0.38709677419354838</v>
      </c>
      <c r="C21">
        <v>120</v>
      </c>
      <c r="D21" s="4">
        <f>693/6</f>
        <v>115.5</v>
      </c>
      <c r="E21" s="1" t="s">
        <v>14</v>
      </c>
      <c r="F21">
        <v>0</v>
      </c>
      <c r="G21" s="4">
        <f>73/77</f>
        <v>0.94805194805194803</v>
      </c>
      <c r="H21">
        <v>1.05</v>
      </c>
    </row>
    <row r="22" spans="1:8" s="1" customFormat="1" ht="14">
      <c r="A22" s="23">
        <f>32/41</f>
        <v>0.78048780487804881</v>
      </c>
      <c r="B22" s="23">
        <f>29/70</f>
        <v>0.41428571428571431</v>
      </c>
      <c r="C22" s="23">
        <v>125</v>
      </c>
      <c r="D22" s="22">
        <f>888/6</f>
        <v>148</v>
      </c>
      <c r="E22" s="24" t="s">
        <v>14</v>
      </c>
      <c r="F22" s="23">
        <v>0</v>
      </c>
      <c r="G22" s="22">
        <f>75/77</f>
        <v>0.97402597402597402</v>
      </c>
      <c r="H22">
        <v>1.05</v>
      </c>
    </row>
    <row r="23" spans="1:8" s="1" customFormat="1" ht="14">
      <c r="A23" s="9">
        <f>32/41</f>
        <v>0.78048780487804881</v>
      </c>
      <c r="B23" s="9">
        <f>33/71</f>
        <v>0.46478873239436619</v>
      </c>
      <c r="C23">
        <v>70</v>
      </c>
      <c r="D23" s="4">
        <f>764/6</f>
        <v>127.33333333333333</v>
      </c>
      <c r="E23" s="1" t="s">
        <v>14</v>
      </c>
      <c r="F23">
        <v>0</v>
      </c>
      <c r="G23" s="4">
        <f>76/79</f>
        <v>0.96202531645569622</v>
      </c>
      <c r="H23">
        <v>1.05</v>
      </c>
    </row>
    <row r="24" spans="1:8" s="1" customFormat="1" ht="14">
      <c r="A24" s="4">
        <f>33/41</f>
        <v>0.80487804878048785</v>
      </c>
      <c r="B24" s="9">
        <f>33/74</f>
        <v>0.44594594594594594</v>
      </c>
      <c r="C24">
        <v>62</v>
      </c>
      <c r="D24" s="4">
        <f>674/5</f>
        <v>134.80000000000001</v>
      </c>
      <c r="E24" s="1" t="s">
        <v>14</v>
      </c>
      <c r="F24">
        <v>0</v>
      </c>
      <c r="G24" s="4">
        <f>76/81</f>
        <v>0.93827160493827155</v>
      </c>
      <c r="H24">
        <v>1.01</v>
      </c>
    </row>
    <row r="25" spans="1:8" s="1" customFormat="1" ht="14">
      <c r="A25" s="23">
        <f>33/42</f>
        <v>0.7857142857142857</v>
      </c>
      <c r="B25" s="23">
        <f>33/81</f>
        <v>0.40740740740740738</v>
      </c>
      <c r="C25" s="23">
        <v>68</v>
      </c>
      <c r="D25" s="22">
        <f>719/6</f>
        <v>119.83333333333333</v>
      </c>
      <c r="E25" s="24" t="s">
        <v>14</v>
      </c>
      <c r="F25" s="23">
        <v>0</v>
      </c>
      <c r="G25" s="22">
        <f>79/81</f>
        <v>0.97530864197530864</v>
      </c>
      <c r="H25">
        <v>1.01</v>
      </c>
    </row>
    <row r="26" spans="1:8" s="1" customFormat="1" ht="14">
      <c r="A26" s="4">
        <f>33/42</f>
        <v>0.7857142857142857</v>
      </c>
      <c r="B26" s="4">
        <f>33/84</f>
        <v>0.39285714285714285</v>
      </c>
      <c r="C26">
        <v>72</v>
      </c>
      <c r="D26" s="9">
        <f>934/6</f>
        <v>155.66666666666666</v>
      </c>
      <c r="E26" s="1" t="s">
        <v>14</v>
      </c>
      <c r="F26">
        <v>0</v>
      </c>
      <c r="G26" s="4">
        <f>79/84</f>
        <v>0.94047619047619047</v>
      </c>
      <c r="H26">
        <v>1.01</v>
      </c>
    </row>
    <row r="27" spans="1:8" s="1" customFormat="1" ht="14">
      <c r="A27" s="4">
        <f>35/42</f>
        <v>0.83333333333333337</v>
      </c>
      <c r="B27" s="4">
        <f>51/104</f>
        <v>0.49038461538461536</v>
      </c>
      <c r="C27">
        <v>82</v>
      </c>
      <c r="D27" s="10">
        <f>723/5</f>
        <v>144.6</v>
      </c>
      <c r="E27" s="1" t="s">
        <v>14</v>
      </c>
      <c r="F27">
        <v>0</v>
      </c>
      <c r="G27" s="4">
        <f>85/87</f>
        <v>0.97701149425287359</v>
      </c>
      <c r="H27">
        <v>1.02</v>
      </c>
    </row>
    <row r="28" spans="1:8" s="1" customFormat="1" ht="14">
      <c r="A28" s="4">
        <f>35/42</f>
        <v>0.83333333333333337</v>
      </c>
      <c r="B28" s="3">
        <f>62/104</f>
        <v>0.59615384615384615</v>
      </c>
      <c r="C28">
        <v>82</v>
      </c>
      <c r="D28" s="9">
        <f>1112/6</f>
        <v>185.33333333333334</v>
      </c>
      <c r="E28" s="1" t="s">
        <v>14</v>
      </c>
      <c r="F28">
        <v>0</v>
      </c>
      <c r="G28" s="4">
        <f>85/89</f>
        <v>0.9550561797752809</v>
      </c>
      <c r="H28">
        <v>0.96</v>
      </c>
    </row>
    <row r="29" spans="1:8" s="1" customFormat="1" ht="14">
      <c r="A29" s="23">
        <f>36/43</f>
        <v>0.83720930232558144</v>
      </c>
      <c r="B29" s="23">
        <f>70/104</f>
        <v>0.67307692307692313</v>
      </c>
      <c r="C29" s="23">
        <v>86</v>
      </c>
      <c r="D29" s="22">
        <f>1183/6</f>
        <v>197.16666666666666</v>
      </c>
      <c r="E29" s="24" t="s">
        <v>14</v>
      </c>
      <c r="F29" s="23">
        <v>0</v>
      </c>
      <c r="G29" s="23">
        <f>87/89</f>
        <v>0.97752808988764039</v>
      </c>
      <c r="H29">
        <v>0.92</v>
      </c>
    </row>
    <row r="30" spans="1:8" s="1" customFormat="1" ht="14">
      <c r="A30" s="23">
        <f>36/43</f>
        <v>0.83720930232558144</v>
      </c>
      <c r="B30" s="23">
        <f>70/104</f>
        <v>0.67307692307692313</v>
      </c>
      <c r="C30" s="23">
        <v>80</v>
      </c>
      <c r="D30" s="22">
        <f>1207/6</f>
        <v>201.16666666666666</v>
      </c>
      <c r="E30" s="24" t="s">
        <v>14</v>
      </c>
      <c r="F30" s="23">
        <v>0</v>
      </c>
      <c r="G30" s="23">
        <f>88/90</f>
        <v>0.97777777777777775</v>
      </c>
      <c r="H30">
        <v>0.88</v>
      </c>
    </row>
    <row r="31" spans="1:8" s="1" customFormat="1" ht="14">
      <c r="A31" s="4">
        <f>36/43</f>
        <v>0.83720930232558144</v>
      </c>
      <c r="B31" s="4">
        <f>68/106</f>
        <v>0.64150943396226412</v>
      </c>
      <c r="C31">
        <v>102</v>
      </c>
      <c r="D31" s="4">
        <f>1321/6</f>
        <v>220.16666666666666</v>
      </c>
      <c r="E31" s="1" t="s">
        <v>14</v>
      </c>
      <c r="F31">
        <v>0</v>
      </c>
      <c r="G31" s="4">
        <f>88/92</f>
        <v>0.95652173913043481</v>
      </c>
      <c r="H31">
        <v>0.83</v>
      </c>
    </row>
    <row r="32" spans="1:8" s="1" customFormat="1" ht="14">
      <c r="A32" s="4">
        <f>36/44</f>
        <v>0.81818181818181823</v>
      </c>
      <c r="B32" s="4">
        <f>68/106</f>
        <v>0.64150943396226412</v>
      </c>
      <c r="C32">
        <v>134</v>
      </c>
      <c r="D32" s="4">
        <f>1634/6</f>
        <v>272.33333333333331</v>
      </c>
      <c r="E32" s="1" t="s">
        <v>14</v>
      </c>
      <c r="F32">
        <v>0</v>
      </c>
      <c r="G32" s="4">
        <f>88/92</f>
        <v>0.95652173913043481</v>
      </c>
      <c r="H32">
        <v>0.79</v>
      </c>
    </row>
    <row r="33" spans="1:8" s="1" customFormat="1" ht="14">
      <c r="A33" s="4">
        <f>36/44</f>
        <v>0.81818181818181823</v>
      </c>
      <c r="B33" s="4">
        <f>77/108</f>
        <v>0.71296296296296291</v>
      </c>
      <c r="C33">
        <v>76</v>
      </c>
      <c r="D33" s="4">
        <f>1292/6</f>
        <v>215.33333333333334</v>
      </c>
      <c r="E33" s="1" t="s">
        <v>14</v>
      </c>
      <c r="F33">
        <v>0</v>
      </c>
      <c r="G33" s="4">
        <f>90/92</f>
        <v>0.97826086956521741</v>
      </c>
      <c r="H33">
        <v>0.75</v>
      </c>
    </row>
    <row r="34" spans="1:8" s="1" customFormat="1" ht="14">
      <c r="A34" s="4">
        <f>36/44</f>
        <v>0.81818181818181823</v>
      </c>
      <c r="B34" s="4">
        <f>77/112</f>
        <v>0.6875</v>
      </c>
      <c r="C34">
        <v>82</v>
      </c>
      <c r="D34" s="4">
        <f>1473/6</f>
        <v>245.5</v>
      </c>
      <c r="E34" s="1" t="s">
        <v>14</v>
      </c>
      <c r="F34">
        <v>0</v>
      </c>
      <c r="G34" s="4">
        <f>90/92</f>
        <v>0.97826086956521741</v>
      </c>
      <c r="H34">
        <v>0.7</v>
      </c>
    </row>
    <row r="35" spans="1:8" s="1" customFormat="1" ht="14">
      <c r="A35" s="4">
        <f>36/45</f>
        <v>0.8</v>
      </c>
      <c r="B35" s="4">
        <f>81/115</f>
        <v>0.70434782608695656</v>
      </c>
      <c r="C35">
        <v>138</v>
      </c>
      <c r="D35" s="4">
        <f>1533/6</f>
        <v>255.5</v>
      </c>
      <c r="E35" s="1" t="s">
        <v>14</v>
      </c>
      <c r="F35" s="7">
        <v>0</v>
      </c>
      <c r="G35" s="4">
        <f>92/95</f>
        <v>0.96842105263157896</v>
      </c>
      <c r="H35">
        <v>0.68</v>
      </c>
    </row>
    <row r="36" spans="1:8" s="1" customFormat="1" ht="14">
      <c r="A36" s="4">
        <f>36/45</f>
        <v>0.8</v>
      </c>
      <c r="B36" s="4">
        <f>81/117</f>
        <v>0.69230769230769229</v>
      </c>
      <c r="C36">
        <v>169</v>
      </c>
      <c r="D36" s="4">
        <f>1633/6</f>
        <v>272.16666666666669</v>
      </c>
      <c r="E36" s="1" t="s">
        <v>14</v>
      </c>
      <c r="F36" s="7">
        <v>0</v>
      </c>
      <c r="G36" s="13">
        <f>92/95</f>
        <v>0.96842105263157896</v>
      </c>
      <c r="H36">
        <v>0.69</v>
      </c>
    </row>
    <row r="37" spans="1:8" s="21" customFormat="1" ht="14">
      <c r="A37" s="17">
        <f>36/45</f>
        <v>0.8</v>
      </c>
      <c r="B37" s="17">
        <f>70/117</f>
        <v>0.59829059829059827</v>
      </c>
      <c r="C37" s="18">
        <v>82</v>
      </c>
      <c r="D37" s="17">
        <f>1616/6</f>
        <v>269.33333333333331</v>
      </c>
      <c r="E37" s="1" t="s">
        <v>14</v>
      </c>
      <c r="F37" s="19">
        <v>0</v>
      </c>
      <c r="G37" s="20">
        <f>92/95</f>
        <v>0.96842105263157896</v>
      </c>
      <c r="H37" s="18">
        <v>0.7</v>
      </c>
    </row>
    <row r="38" spans="1:8" s="1" customFormat="1" ht="14">
      <c r="A38" s="4">
        <f>36/49</f>
        <v>0.73469387755102045</v>
      </c>
      <c r="B38" s="4">
        <f>84/118</f>
        <v>0.71186440677966101</v>
      </c>
      <c r="C38">
        <v>100</v>
      </c>
      <c r="D38" s="4">
        <f>1630/6</f>
        <v>271.66666666666669</v>
      </c>
      <c r="E38" s="1" t="s">
        <v>14</v>
      </c>
      <c r="F38" s="7">
        <v>0</v>
      </c>
      <c r="G38" s="13">
        <f>91/92</f>
        <v>0.98913043478260865</v>
      </c>
      <c r="H38" s="2">
        <v>0.7</v>
      </c>
    </row>
    <row r="39" spans="1:8" s="1" customFormat="1" ht="14">
      <c r="A39" s="23">
        <f>37/49</f>
        <v>0.75510204081632648</v>
      </c>
      <c r="B39" s="23">
        <f>82/122</f>
        <v>0.67213114754098358</v>
      </c>
      <c r="C39" s="23">
        <v>34</v>
      </c>
      <c r="D39" s="22">
        <f>1706/6</f>
        <v>284.33333333333331</v>
      </c>
      <c r="E39" s="24" t="s">
        <v>14</v>
      </c>
      <c r="F39" s="25">
        <v>0</v>
      </c>
      <c r="G39" s="25">
        <f>97/100</f>
        <v>0.97</v>
      </c>
      <c r="H39" s="2">
        <v>0.7</v>
      </c>
    </row>
    <row r="40" spans="1:8" s="1" customFormat="1" ht="14">
      <c r="A40" s="4">
        <f>37/49</f>
        <v>0.75510204081632648</v>
      </c>
      <c r="B40" s="5">
        <f>81/131</f>
        <v>0.61832061068702293</v>
      </c>
      <c r="C40" s="2">
        <v>160</v>
      </c>
      <c r="D40" s="4">
        <f>1742/6</f>
        <v>290.33333333333331</v>
      </c>
      <c r="E40" s="1" t="s">
        <v>14</v>
      </c>
      <c r="F40" s="2">
        <v>0</v>
      </c>
      <c r="G40" s="3">
        <f>99/107</f>
        <v>0.92523364485981308</v>
      </c>
      <c r="H40" s="2">
        <v>0.71</v>
      </c>
    </row>
    <row r="41" spans="1:8" s="1" customFormat="1" ht="14">
      <c r="A41" s="5">
        <f>41/49</f>
        <v>0.83673469387755106</v>
      </c>
      <c r="B41" s="5">
        <f>90/113</f>
        <v>0.79646017699115046</v>
      </c>
      <c r="C41" s="2">
        <v>80</v>
      </c>
      <c r="D41" s="4">
        <f>2014/6</f>
        <v>335.66666666666669</v>
      </c>
      <c r="E41" s="1" t="s">
        <v>14</v>
      </c>
      <c r="F41" s="2">
        <v>0</v>
      </c>
      <c r="G41" s="3">
        <f>107/111</f>
        <v>0.963963963963964</v>
      </c>
      <c r="H41" s="2">
        <v>0.7</v>
      </c>
    </row>
    <row r="42" spans="1:8" s="1" customFormat="1" ht="14">
      <c r="A42" s="5">
        <f>41/51</f>
        <v>0.80392156862745101</v>
      </c>
      <c r="B42" s="5">
        <f>97/134</f>
        <v>0.72388059701492535</v>
      </c>
      <c r="C42" s="2">
        <v>85</v>
      </c>
      <c r="D42" s="4">
        <f>2093/6</f>
        <v>348.83333333333331</v>
      </c>
      <c r="E42" s="1" t="s">
        <v>14</v>
      </c>
      <c r="F42" s="2">
        <v>0</v>
      </c>
      <c r="G42" s="3">
        <f>117/122</f>
        <v>0.95901639344262291</v>
      </c>
      <c r="H42" s="6">
        <v>0.69</v>
      </c>
    </row>
    <row r="43" spans="1:8" s="1" customFormat="1" ht="14">
      <c r="A43" s="26">
        <f>41/51</f>
        <v>0.80392156862745101</v>
      </c>
      <c r="B43" s="26">
        <f>93/134</f>
        <v>0.69402985074626866</v>
      </c>
      <c r="C43" s="6">
        <v>80</v>
      </c>
      <c r="D43" s="9">
        <f>2043/6</f>
        <v>340.5</v>
      </c>
      <c r="E43" s="1" t="s">
        <v>14</v>
      </c>
      <c r="F43" s="2">
        <v>0</v>
      </c>
      <c r="G43" s="27">
        <f>118/122</f>
        <v>0.96721311475409832</v>
      </c>
      <c r="H43" s="2">
        <v>0.69</v>
      </c>
    </row>
    <row r="44" spans="1:8" ht="14.25" customHeight="1">
      <c r="A44" s="4">
        <f>41/51</f>
        <v>0.80392156862745101</v>
      </c>
      <c r="B44" s="5">
        <f>91/134</f>
        <v>0.67910447761194026</v>
      </c>
      <c r="C44" s="2">
        <v>80</v>
      </c>
      <c r="D44" s="4">
        <f>1488/5</f>
        <v>297.60000000000002</v>
      </c>
      <c r="E44" s="1" t="s">
        <v>14</v>
      </c>
      <c r="F44" s="2">
        <v>0</v>
      </c>
      <c r="G44" s="27">
        <f>119/123</f>
        <v>0.96747967479674801</v>
      </c>
      <c r="H44" s="2">
        <v>0.7</v>
      </c>
    </row>
    <row r="45" spans="1:8" ht="14.25" customHeight="1">
      <c r="A45" s="4">
        <f>41/51</f>
        <v>0.80392156862745101</v>
      </c>
      <c r="B45">
        <f>99/135</f>
        <v>0.73333333333333328</v>
      </c>
      <c r="C45" s="2">
        <v>80</v>
      </c>
      <c r="D45" s="4">
        <f>2314/6</f>
        <v>385.66666666666669</v>
      </c>
      <c r="E45" s="4" t="s">
        <v>14</v>
      </c>
      <c r="F45" s="2">
        <v>0</v>
      </c>
      <c r="G45" s="2">
        <f>120/125</f>
        <v>0.96</v>
      </c>
      <c r="H45" s="2">
        <v>0.7</v>
      </c>
    </row>
    <row r="46" spans="1:8" ht="14.25" customHeight="1">
      <c r="A46" s="4">
        <f>41/51</f>
        <v>0.80392156862745101</v>
      </c>
      <c r="B46" s="4">
        <f>99/135</f>
        <v>0.73333333333333328</v>
      </c>
      <c r="C46" s="2">
        <v>60</v>
      </c>
      <c r="D46" s="4">
        <f>2512/6</f>
        <v>418.66666666666669</v>
      </c>
      <c r="E46" s="4" t="s">
        <v>14</v>
      </c>
      <c r="F46" s="2">
        <v>0</v>
      </c>
      <c r="G46" s="3">
        <f>122/126</f>
        <v>0.96825396825396826</v>
      </c>
      <c r="H46" s="2">
        <v>0.7</v>
      </c>
    </row>
    <row r="47" spans="1:8" ht="14.25" customHeight="1">
      <c r="A47" s="4">
        <f>40/51</f>
        <v>0.78431372549019607</v>
      </c>
      <c r="B47" s="4">
        <f>99/135</f>
        <v>0.73333333333333328</v>
      </c>
      <c r="C47" s="2">
        <v>60</v>
      </c>
      <c r="D47">
        <f>2550/6</f>
        <v>425</v>
      </c>
      <c r="E47" s="4" t="s">
        <v>14</v>
      </c>
      <c r="F47" s="2">
        <v>1</v>
      </c>
      <c r="G47" s="3">
        <f>125/133</f>
        <v>0.93984962406015038</v>
      </c>
      <c r="H47" s="2">
        <v>0.7</v>
      </c>
    </row>
    <row r="48" spans="1:8" ht="14.25" customHeight="1">
      <c r="A48" s="4">
        <f>40/51</f>
        <v>0.78431372549019607</v>
      </c>
      <c r="B48" s="4">
        <f>107/137</f>
        <v>0.78102189781021902</v>
      </c>
      <c r="C48" s="28">
        <v>24</v>
      </c>
      <c r="D48" s="4">
        <f>2425/6</f>
        <v>404.16666666666669</v>
      </c>
      <c r="E48" s="4" t="s">
        <v>14</v>
      </c>
      <c r="F48" s="2">
        <v>0</v>
      </c>
      <c r="G48" s="3">
        <f>125/133</f>
        <v>0.93984962406015038</v>
      </c>
      <c r="H48" s="2">
        <v>0.72</v>
      </c>
    </row>
    <row r="49" spans="1:8" ht="14.25" customHeight="1">
      <c r="A49" s="3">
        <f>40/51</f>
        <v>0.78431372549019607</v>
      </c>
      <c r="B49" s="3">
        <f>113/138</f>
        <v>0.8188405797101449</v>
      </c>
      <c r="C49" s="2">
        <v>60</v>
      </c>
      <c r="D49" s="3">
        <f>3091/6</f>
        <v>515.16666666666663</v>
      </c>
      <c r="E49" s="24" t="s">
        <v>14</v>
      </c>
      <c r="F49" s="2">
        <v>0</v>
      </c>
      <c r="G49" s="3">
        <f>128/136</f>
        <v>0.94117647058823528</v>
      </c>
      <c r="H49" s="2">
        <v>0.73</v>
      </c>
    </row>
    <row r="50" spans="1:8" ht="14.25" customHeight="1">
      <c r="A50" s="27">
        <f>41/52</f>
        <v>0.78846153846153844</v>
      </c>
      <c r="B50" s="2">
        <f>113/138</f>
        <v>0.8188405797101449</v>
      </c>
      <c r="C50" s="2">
        <v>60</v>
      </c>
      <c r="D50" s="3">
        <f>4127/6</f>
        <v>687.83333333333337</v>
      </c>
      <c r="E50" s="24" t="s">
        <v>14</v>
      </c>
      <c r="F50" s="2">
        <v>0</v>
      </c>
      <c r="G50" s="3">
        <f>128/136</f>
        <v>0.94117647058823528</v>
      </c>
      <c r="H50" s="2">
        <v>0.73</v>
      </c>
    </row>
    <row r="51" spans="1:8" ht="14.25" customHeight="1">
      <c r="A51" s="27">
        <f>41/52</f>
        <v>0.78846153846153844</v>
      </c>
      <c r="B51" s="2">
        <f t="shared" ref="B51:B59" si="0">113/141</f>
        <v>0.8014184397163121</v>
      </c>
      <c r="C51" s="2">
        <v>60</v>
      </c>
      <c r="D51" s="3">
        <f>3815/6</f>
        <v>635.83333333333337</v>
      </c>
      <c r="E51" s="24" t="s">
        <v>14</v>
      </c>
      <c r="F51" s="2">
        <v>0</v>
      </c>
      <c r="G51" s="3">
        <f>128/136</f>
        <v>0.94117647058823528</v>
      </c>
      <c r="H51" s="2">
        <v>0.74</v>
      </c>
    </row>
    <row r="52" spans="1:8" ht="14.25" customHeight="1">
      <c r="A52" s="27">
        <f>41/53</f>
        <v>0.77358490566037741</v>
      </c>
      <c r="B52" s="2">
        <f t="shared" si="0"/>
        <v>0.8014184397163121</v>
      </c>
      <c r="C52" s="2">
        <v>30</v>
      </c>
      <c r="D52" s="3">
        <f>4437/6</f>
        <v>739.5</v>
      </c>
      <c r="E52" s="24" t="s">
        <v>14</v>
      </c>
      <c r="F52" s="2">
        <v>0</v>
      </c>
      <c r="G52" s="3">
        <f>128/137</f>
        <v>0.93430656934306566</v>
      </c>
      <c r="H52" s="2">
        <v>0.76</v>
      </c>
    </row>
    <row r="53" spans="1:8" ht="14.25" customHeight="1">
      <c r="A53" s="27">
        <f>41/53</f>
        <v>0.77358490566037741</v>
      </c>
      <c r="B53" s="2">
        <f t="shared" si="0"/>
        <v>0.8014184397163121</v>
      </c>
      <c r="C53" s="2">
        <v>21</v>
      </c>
      <c r="D53" s="3">
        <f>4591/6</f>
        <v>765.16666666666663</v>
      </c>
      <c r="E53" s="1" t="s">
        <v>14</v>
      </c>
      <c r="F53" s="2">
        <v>0</v>
      </c>
      <c r="G53" s="3">
        <f>128/138</f>
        <v>0.92753623188405798</v>
      </c>
      <c r="H53" s="2">
        <v>0.77</v>
      </c>
    </row>
    <row r="54" spans="1:8" ht="14.25" customHeight="1">
      <c r="A54" s="29">
        <f>41/54</f>
        <v>0.7592592592592593</v>
      </c>
      <c r="B54" s="7">
        <f t="shared" si="0"/>
        <v>0.8014184397163121</v>
      </c>
      <c r="C54" s="30">
        <v>20</v>
      </c>
      <c r="D54" s="13">
        <f>4559/6</f>
        <v>759.83333333333337</v>
      </c>
      <c r="E54" s="1" t="s">
        <v>14</v>
      </c>
      <c r="F54" s="30">
        <v>0</v>
      </c>
      <c r="G54" s="13">
        <f>128/139</f>
        <v>0.92086330935251803</v>
      </c>
      <c r="H54">
        <v>0.79</v>
      </c>
    </row>
    <row r="55" spans="1:8" ht="14.25" customHeight="1">
      <c r="A55" s="29">
        <f>41/54</f>
        <v>0.7592592592592593</v>
      </c>
      <c r="B55" s="7">
        <f t="shared" si="0"/>
        <v>0.8014184397163121</v>
      </c>
      <c r="C55" s="7">
        <v>20</v>
      </c>
      <c r="D55" s="13">
        <f>4968/6</f>
        <v>828</v>
      </c>
      <c r="E55" s="31" t="s">
        <v>14</v>
      </c>
      <c r="F55" s="7">
        <v>0</v>
      </c>
      <c r="G55" s="13">
        <f>128/140</f>
        <v>0.91428571428571426</v>
      </c>
      <c r="H55">
        <v>0.79</v>
      </c>
    </row>
    <row r="56" spans="1:8" ht="14.25" customHeight="1">
      <c r="A56" s="14">
        <v>0.77</v>
      </c>
      <c r="B56" s="32">
        <f t="shared" si="0"/>
        <v>0.8014184397163121</v>
      </c>
      <c r="C56" s="32">
        <v>25</v>
      </c>
      <c r="D56" s="14">
        <v>850</v>
      </c>
      <c r="E56" s="1" t="s">
        <v>14</v>
      </c>
      <c r="F56" s="14">
        <v>0</v>
      </c>
      <c r="G56" s="14">
        <v>0.9</v>
      </c>
      <c r="H56" s="33">
        <v>0.79</v>
      </c>
    </row>
    <row r="57" spans="1:8" ht="14.25" customHeight="1">
      <c r="A57" s="14">
        <v>0.77</v>
      </c>
      <c r="B57" s="30">
        <f t="shared" si="0"/>
        <v>0.8014184397163121</v>
      </c>
      <c r="C57" s="32">
        <v>23</v>
      </c>
      <c r="D57" s="14">
        <v>850</v>
      </c>
      <c r="E57" s="1" t="s">
        <v>14</v>
      </c>
      <c r="F57" s="14">
        <v>0</v>
      </c>
      <c r="G57" s="14">
        <v>0.9</v>
      </c>
      <c r="H57" s="33">
        <v>0.79</v>
      </c>
    </row>
    <row r="58" spans="1:8" ht="14.25" customHeight="1">
      <c r="A58" s="14">
        <v>0.77</v>
      </c>
      <c r="B58" s="30">
        <f t="shared" si="0"/>
        <v>0.8014184397163121</v>
      </c>
      <c r="C58" s="32">
        <v>25</v>
      </c>
      <c r="D58" s="14">
        <v>850</v>
      </c>
      <c r="E58" s="31" t="s">
        <v>14</v>
      </c>
      <c r="F58" s="14">
        <v>0</v>
      </c>
      <c r="G58" s="14">
        <v>0.9</v>
      </c>
      <c r="H58" s="33">
        <v>0.79</v>
      </c>
    </row>
    <row r="59" spans="1:8" ht="14.25" customHeight="1">
      <c r="A59">
        <f>44/56</f>
        <v>0.7857142857142857</v>
      </c>
      <c r="B59">
        <f t="shared" si="0"/>
        <v>0.8014184397163121</v>
      </c>
      <c r="C59">
        <v>29</v>
      </c>
      <c r="D59">
        <f>5177/6</f>
        <v>862.83333333333337</v>
      </c>
      <c r="E59" s="1" t="s">
        <v>14</v>
      </c>
      <c r="F59">
        <v>0</v>
      </c>
      <c r="G59">
        <f>135/153</f>
        <v>0.88235294117647056</v>
      </c>
      <c r="H59" s="33">
        <v>0.79</v>
      </c>
    </row>
    <row r="60" spans="1:8" ht="14.25" customHeight="1">
      <c r="A60">
        <f>44/56</f>
        <v>0.7857142857142857</v>
      </c>
      <c r="B60">
        <f>113/141</f>
        <v>0.8014184397163121</v>
      </c>
      <c r="C60" s="6">
        <v>22</v>
      </c>
      <c r="D60">
        <f>5228/6</f>
        <v>871.33333333333337</v>
      </c>
      <c r="E60" s="1" t="s">
        <v>14</v>
      </c>
      <c r="F60" s="33">
        <v>0</v>
      </c>
      <c r="G60">
        <f>135/153</f>
        <v>0.88235294117647056</v>
      </c>
      <c r="H60">
        <v>0.8</v>
      </c>
    </row>
    <row r="61" spans="1:8" ht="14.25" customHeight="1">
      <c r="A61">
        <f>44/56</f>
        <v>0.7857142857142857</v>
      </c>
      <c r="B61">
        <f>113/141</f>
        <v>0.8014184397163121</v>
      </c>
      <c r="C61" s="6">
        <v>22</v>
      </c>
      <c r="D61">
        <f>4950/6</f>
        <v>825</v>
      </c>
      <c r="E61" s="31" t="s">
        <v>14</v>
      </c>
      <c r="F61" s="33">
        <v>0</v>
      </c>
      <c r="G61">
        <f>143/153</f>
        <v>0.934640522875817</v>
      </c>
      <c r="H61">
        <v>0.8</v>
      </c>
    </row>
  </sheetData>
  <autoFilter ref="A1:E43" xr:uid="{38CBAC20-3E9A-4F66-A853-0B3ED62ED0B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0D97-413A-4693-A142-2D9BC233960F}">
  <dimension ref="A1:A6"/>
  <sheetViews>
    <sheetView workbookViewId="0">
      <selection activeCell="A6" sqref="A6"/>
    </sheetView>
  </sheetViews>
  <sheetFormatPr defaultRowHeight="14"/>
  <cols>
    <col min="1" max="1" width="20.75" customWidth="1"/>
  </cols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Huang, Huazhang</dc:creator>
  <cp:keywords/>
  <dc:description/>
  <cp:lastModifiedBy>Tan, KhaiX Ee</cp:lastModifiedBy>
  <cp:revision/>
  <dcterms:created xsi:type="dcterms:W3CDTF">2023-06-23T05:01:21Z</dcterms:created>
  <dcterms:modified xsi:type="dcterms:W3CDTF">2024-05-02T07:39:49Z</dcterms:modified>
  <cp:category/>
  <cp:contentStatus/>
</cp:coreProperties>
</file>