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Spider" sheetId="2" r:id="rId5"/>
    <sheet state="visible" name="Solar Production" sheetId="3" r:id="rId6"/>
    <sheet state="visible" name="Operating Costs" sheetId="4" r:id="rId7"/>
    <sheet state="visible" name="Top Down" sheetId="5" r:id="rId8"/>
    <sheet state="visible" name="Preliminary Assessment" sheetId="6" r:id="rId9"/>
    <sheet state="visible" name="Permits &amp; Approvals" sheetId="7" r:id="rId10"/>
    <sheet state="visible" name="Design &amp; Engineering" sheetId="8" r:id="rId11"/>
    <sheet state="visible" name="Financing &amp; Procurement" sheetId="9" r:id="rId12"/>
    <sheet state="visible" name="Construction" sheetId="10" r:id="rId13"/>
    <sheet state="visible" name="Validation" sheetId="11" r:id="rId14"/>
    <sheet state="visible" name="Inverter Requirements" sheetId="12" r:id="rId15"/>
  </sheets>
  <definedNames/>
  <calcPr/>
</workbook>
</file>

<file path=xl/sharedStrings.xml><?xml version="1.0" encoding="utf-8"?>
<sst xmlns="http://schemas.openxmlformats.org/spreadsheetml/2006/main" count="262" uniqueCount="225">
  <si>
    <t>Preliminary Assessment</t>
  </si>
  <si>
    <t>Permits &amp; Approvals</t>
  </si>
  <si>
    <t>Design &amp; Engineering</t>
  </si>
  <si>
    <t>Financing &amp; Procurement</t>
  </si>
  <si>
    <t>Construction</t>
  </si>
  <si>
    <t>Validation</t>
  </si>
  <si>
    <t>TOTAL COSTS (Bottom Up)</t>
  </si>
  <si>
    <t>Final Cash Flow</t>
  </si>
  <si>
    <t>All figures in AU $1mil</t>
  </si>
  <si>
    <t>Tax rate</t>
  </si>
  <si>
    <t>Cash Flow</t>
  </si>
  <si>
    <t>Capex</t>
  </si>
  <si>
    <t>Opex</t>
  </si>
  <si>
    <t>Revenue</t>
  </si>
  <si>
    <t>Government take</t>
  </si>
  <si>
    <t>NCF</t>
  </si>
  <si>
    <t>Total NCF</t>
  </si>
  <si>
    <t>NPV</t>
  </si>
  <si>
    <t>Discout Rate</t>
  </si>
  <si>
    <t>Discount Factor</t>
  </si>
  <si>
    <t>Present Values</t>
  </si>
  <si>
    <t>Total NPV</t>
  </si>
  <si>
    <t>Sheet Name</t>
  </si>
  <si>
    <t>Cell</t>
  </si>
  <si>
    <t>Adjustments</t>
  </si>
  <si>
    <t>Solar Production</t>
  </si>
  <si>
    <t>P6</t>
  </si>
  <si>
    <t>Solar Value / MWh</t>
  </si>
  <si>
    <t>P7</t>
  </si>
  <si>
    <t>Battery Discharge Value / MWh</t>
  </si>
  <si>
    <t>H4</t>
  </si>
  <si>
    <t>Solar Panel Cost</t>
  </si>
  <si>
    <t>H3</t>
  </si>
  <si>
    <t>Battery Cost</t>
  </si>
  <si>
    <t>H2</t>
  </si>
  <si>
    <t>Labour Cost</t>
  </si>
  <si>
    <t>Operating Costs</t>
  </si>
  <si>
    <t>N3</t>
  </si>
  <si>
    <t>Operating Cost</t>
  </si>
  <si>
    <t>https://www.endeavourenergy.com.au/news/media-releases/australian-energy-regulator-aer-published-endeavour-energy-regulatory-proposal-for-2024-2029</t>
  </si>
  <si>
    <t>https://reneweconomy.com.au/anatomy-of-one-of-australias-first-solar-and-battery-hybrid-projects-the-costs-and-revenues/</t>
  </si>
  <si>
    <t>Kerang Solar generation</t>
  </si>
  <si>
    <t>Jan</t>
  </si>
  <si>
    <t>Feb</t>
  </si>
  <si>
    <t>March</t>
  </si>
  <si>
    <t>April</t>
  </si>
  <si>
    <t>May</t>
  </si>
  <si>
    <t>June</t>
  </si>
  <si>
    <t>July</t>
  </si>
  <si>
    <t>August</t>
  </si>
  <si>
    <t>September</t>
  </si>
  <si>
    <t>October</t>
  </si>
  <si>
    <t>November (2023)</t>
  </si>
  <si>
    <t>December (2023)</t>
  </si>
  <si>
    <t>Battery storage MWh</t>
  </si>
  <si>
    <t>Battery Power</t>
  </si>
  <si>
    <t>Charge discharge time (hrs)</t>
  </si>
  <si>
    <t>Daily average solar generation for 10kW array (kWh)</t>
  </si>
  <si>
    <t>Scaled daily average solar generation for 100MW array (MWh)</t>
  </si>
  <si>
    <t>Full battery charges</t>
  </si>
  <si>
    <t>Wholesale Solar Scale</t>
  </si>
  <si>
    <t>Acheivable charge discharge cycles</t>
  </si>
  <si>
    <t>Wholesale Battery Scale</t>
  </si>
  <si>
    <t>Wholesale Battery/day</t>
  </si>
  <si>
    <t>Wholesale Solar/day</t>
  </si>
  <si>
    <t>Month average solar value/MWh</t>
  </si>
  <si>
    <t>Month average battery value/MWh</t>
  </si>
  <si>
    <t>days of the month</t>
  </si>
  <si>
    <t>Month revenue ($k)</t>
  </si>
  <si>
    <t xml:space="preserve">Year 1 revenue ($M) </t>
  </si>
  <si>
    <t>https://emp.lbl.gov/publications/benchmarking-utility-scale-pv</t>
  </si>
  <si>
    <t>Operation scale</t>
  </si>
  <si>
    <t>Estimated pricing (in 2019) of OpEx being ~US$17/kW/yr</t>
  </si>
  <si>
    <t>Again, using currency conversion rate of 1.5AUD = 1USD (22/10)</t>
  </si>
  <si>
    <t>Year</t>
  </si>
  <si>
    <t>OpEx (AUD)</t>
  </si>
  <si>
    <t>OpEx (AUD) scaled</t>
  </si>
  <si>
    <t>Lower Estimate</t>
  </si>
  <si>
    <t>Upper Estimate</t>
  </si>
  <si>
    <t>TOTAL COSTS (Top down)</t>
  </si>
  <si>
    <t>Rounding</t>
  </si>
  <si>
    <t>Task</t>
  </si>
  <si>
    <t>Cost Estimate</t>
  </si>
  <si>
    <t>Link</t>
  </si>
  <si>
    <t>Notes</t>
  </si>
  <si>
    <t>Site Selection</t>
  </si>
  <si>
    <t>Land Procurement</t>
  </si>
  <si>
    <t>https://www.domain.com.au/00-peacock-road-kerang-vic-3579-2018128282</t>
  </si>
  <si>
    <t>Acquisition of site at 00 Peacock Road</t>
  </si>
  <si>
    <t>Surverying</t>
  </si>
  <si>
    <t>Boundaries and Zoning</t>
  </si>
  <si>
    <t>Cost of initial surveying, not inclusive of planning permit application</t>
  </si>
  <si>
    <t>Soil Testing</t>
  </si>
  <si>
    <t>Topography</t>
  </si>
  <si>
    <t>Irradiance Testing</t>
  </si>
  <si>
    <t>Feasibility Study</t>
  </si>
  <si>
    <t>Technical Analysis</t>
  </si>
  <si>
    <t>Based off a team of 4 engineers working on this for 1-2 months,
may need external consultation?</t>
  </si>
  <si>
    <t>Environmental Impact</t>
  </si>
  <si>
    <t>2 weeks</t>
  </si>
  <si>
    <t>Infrastructure Assessment</t>
  </si>
  <si>
    <t>Market Research</t>
  </si>
  <si>
    <t>Risk Assessment</t>
  </si>
  <si>
    <t>1-2 weeks</t>
  </si>
  <si>
    <t>Preliminary Project Report</t>
  </si>
  <si>
    <t>1-2 months</t>
  </si>
  <si>
    <t>Demand Analysis</t>
  </si>
  <si>
    <t>Total Cost of Preliminary Assessment</t>
  </si>
  <si>
    <t xml:space="preserve">Government </t>
  </si>
  <si>
    <t>Local</t>
  </si>
  <si>
    <t>Planning Permits</t>
  </si>
  <si>
    <t>https://www.planning.vic.gov.au/guides-and-resources/legislation-regulation-and-fees/fees</t>
  </si>
  <si>
    <t>Construction Management Plan</t>
  </si>
  <si>
    <t>https://www.gannawarra.vic.gov.au/files/assets/public/v/1/document-resources/budgets/fees-and-charges-2023_24-adopted-15-march-2023.pdf</t>
  </si>
  <si>
    <t>Strategic Planning Fees under the Planning and Environment (Fees) Regulations 2016
Considering Submissions and referral to Planning Panel (&gt; 20 submissions)</t>
  </si>
  <si>
    <t>State</t>
  </si>
  <si>
    <t>Renewable energy pre application</t>
  </si>
  <si>
    <t>https://www.google.com/url?sa=i&amp;url=https%3A%2F%2Fwww.planning.vic.gov.au%2F__data%2Fassets%2Fword_doc%2F0012%2F622101%2Frenewable-energy-pre-application-form.docx&amp;psig=AOvVaw27rDX2DYBNgeK_yrRZ1_vo&amp;ust=1728623655854000&amp;source=images&amp;cd=vfe&amp;opi=89978449&amp;ved=0CAQQn5wMahcKEwiIwJDFh4OJAxUAAAAAHQAAAAAQBA</t>
  </si>
  <si>
    <t>Pre-application form, leads to meeting with the Department of planning for 
approval for the project</t>
  </si>
  <si>
    <t>Landscaping Plan</t>
  </si>
  <si>
    <t>https://www.bookaarsolarfarm.com/wp-content/uploads/2023/03/Bookaar-Solar-Farm-Endorsed-Landscape-Plan.pdf</t>
  </si>
  <si>
    <t>Document to consider the successful integration of the solar farm amoungst the development.
Example doc given in link - will likely require external consulatation</t>
  </si>
  <si>
    <t>Traffic Management Plan</t>
  </si>
  <si>
    <t>Should be relatively simple considering remote location - will need to consider factors such as
increased traffic on smaller local roads</t>
  </si>
  <si>
    <t>Wildlife Management Plan</t>
  </si>
  <si>
    <t>https://www.vic.gov.au/preparing-wildlife-management-plan</t>
  </si>
  <si>
    <t>Will need to investigate how our plan of integrating sheep into the project will potentially effect 
existing wildlife populations</t>
  </si>
  <si>
    <t>Drainage and Stormwater Plan</t>
  </si>
  <si>
    <t>https://www.abc.net.au/news/2024-01-05/kerang-flash-flooding-stormwater-drainage-government/103281804</t>
  </si>
  <si>
    <t>Kerang is a town that can be prone to flooding due to it's location near to the Loddon River.
This project should look to develop a high-quality drainage and stormwater plan as to be prepared
for the event that the solar farm is subject to flooding, particularly as our farm generates electricity.
External consulation will be required to ensure that this plan is watertight.</t>
  </si>
  <si>
    <t>Glare, Glint Light Spill Management Plan</t>
  </si>
  <si>
    <t>https://www.epa.wa.gov.au/sites/default/files/Referral_Documentation/Appendix%205%20-%20Reflective%20Glare%20Assessment%20%28SLR%2C%202022%29.pdf</t>
  </si>
  <si>
    <t>Example document given for similar scale project. External consulation required</t>
  </si>
  <si>
    <t>Fire and Emergercy Management Plan</t>
  </si>
  <si>
    <t>Complaint Investigation and Response Plan</t>
  </si>
  <si>
    <t>EES</t>
  </si>
  <si>
    <t>https://www.planning.vic.gov.au/environmental-assessments/browse-projects/referrals/fulham-solar-farm</t>
  </si>
  <si>
    <t>Unlikely to be required in this project, see attached link 'Minister's decision on referral'</t>
  </si>
  <si>
    <t>Federal</t>
  </si>
  <si>
    <t>AEIC Planning Permits</t>
  </si>
  <si>
    <t>https://www.aeic.gov.au/observations-and-recommendations/chapter-4-planning-permits</t>
  </si>
  <si>
    <t>Would be able to use much of the same submission as previous planning permits, this is just a 
submission to a seperate body</t>
  </si>
  <si>
    <t>Commercial</t>
  </si>
  <si>
    <t>Grid Connection Approval</t>
  </si>
  <si>
    <t>Power Purchase Agreement</t>
  </si>
  <si>
    <t>https://www.environment.nsw.gov.au/resources/government/160416PPA%20explainer.pdf</t>
  </si>
  <si>
    <t>Requires negotiation with energy providers so that we are well compensated for our electricity</t>
  </si>
  <si>
    <t>Total Cost of Permits &amp; Approval</t>
  </si>
  <si>
    <t>Battery scale</t>
  </si>
  <si>
    <t>Acquisition of Components</t>
  </si>
  <si>
    <t>Electrical</t>
  </si>
  <si>
    <t>Solar scale</t>
  </si>
  <si>
    <t>Solar Panels</t>
  </si>
  <si>
    <t>https://media.acciona.com.au/media/5346687/kerang-solar-farm-acciona-newsletter_feb18.pdf
https://www.nrel.gov/solar/market-research-analysis/solar-manufacturing-cost.html</t>
  </si>
  <si>
    <t>~300 000 panels required for this project
 Price estimate of US$0.18/W manufacturing costs, will add 20% to this price to account for profit margin, shipping etc
Assumption that 1.00USD is worth 1.50AUD (accurate at the time of writing - 16/10/2024)
We will use Jinko Solar panels (most used in Australia), NEO meodel, produced in China</t>
  </si>
  <si>
    <t>Inverters</t>
  </si>
  <si>
    <t>Inverter Requirements</t>
  </si>
  <si>
    <t>Calculation for price of inverters linked</t>
  </si>
  <si>
    <t>Battery System</t>
  </si>
  <si>
    <r>
      <rPr>
        <color rgb="FF000000"/>
      </rPr>
      <t xml:space="preserve">https://www.energy.vic.gov.au/about-energy/news/news-stories/koorangie-energy-storage-hits-major-milestone
</t>
    </r>
    <r>
      <rPr>
        <color rgb="FF1155CC"/>
        <u/>
      </rPr>
      <t>https://www.tesla.com/megapack/design</t>
    </r>
  </si>
  <si>
    <t>Cost of ordering 26 megapacks through Telsa for 50MW battery
(supplier used in similar project in Gannawarra,that project was larger scale, using 100 packs)</t>
  </si>
  <si>
    <t>Grid Connection</t>
  </si>
  <si>
    <t>System Monitor</t>
  </si>
  <si>
    <t>Wiring</t>
  </si>
  <si>
    <t>cost of purchasing the wiring for the system</t>
  </si>
  <si>
    <t>Mechanical</t>
  </si>
  <si>
    <t>Solar Tracking System</t>
  </si>
  <si>
    <t>https://esolarfirst.en.made-in-china.com/product/ujemTCZOLVkA/China-Utility-Scale-Horizontal-Single-Axis-Solar-Tracking-System.html</t>
  </si>
  <si>
    <t>The tracking system will cost US$0.06/W (lowest price assumed given large order, 
and will allow us to track the direction of the sun to maximise sun exposure
The tracking system will be shipped from Fujian, China, from Xiamen Solar First Energy company.
Assumption that 1.00USD is worth 1.50AUD (accurate at the time of writing - 16/10/2024)</t>
  </si>
  <si>
    <t>Site Layout</t>
  </si>
  <si>
    <t>Panel Layout Design</t>
  </si>
  <si>
    <t>Infrastructure Layout</t>
  </si>
  <si>
    <t>Inverter positioning and connection</t>
  </si>
  <si>
    <t>Battery integration</t>
  </si>
  <si>
    <t>Access Routing Design</t>
  </si>
  <si>
    <t>Electrical Design</t>
  </si>
  <si>
    <t>Power Analysis</t>
  </si>
  <si>
    <t>Electrical Wiring and Connections</t>
  </si>
  <si>
    <t>Design Approval</t>
  </si>
  <si>
    <t>Total Cost of Design &amp; Engineering</t>
  </si>
  <si>
    <t>Procurement Process</t>
  </si>
  <si>
    <t>Tendering</t>
  </si>
  <si>
    <t>Bidding Process</t>
  </si>
  <si>
    <t>Purchase Agreements</t>
  </si>
  <si>
    <t>Supplier Assessment</t>
  </si>
  <si>
    <t>Need to investigate environmental effects and ethics of goods</t>
  </si>
  <si>
    <t>Budgeting will not be included in pricing estimate as it will be managed by the salaried site managers</t>
  </si>
  <si>
    <t>Labour Scale</t>
  </si>
  <si>
    <t>Build Project Workforce</t>
  </si>
  <si>
    <t>Site Managers</t>
  </si>
  <si>
    <t>2 site managers, hired of the duration of 12 months (project build time)
Cost accounts for hiring process, wages, super, etc.</t>
  </si>
  <si>
    <t>Contractors</t>
  </si>
  <si>
    <t>Budget allocated for contractors, likely in specilised work that has not already been accounted for in
Preliminary Assessment.</t>
  </si>
  <si>
    <t>Labourers</t>
  </si>
  <si>
    <t>https://media.acciona.com.au/media/5346687/kerang-solar-farm-acciona-newsletter_feb18.pdf</t>
  </si>
  <si>
    <t>Similar project fot a 40MW farm in the same region saw the hiring of 50 full time construction staff.
Scaling up for our project size, we will assume that we will need 125 staff for our 12 month construction phase
Hired at an estimate of $100,000 each, including hiring costs and super etc.</t>
  </si>
  <si>
    <t>Training</t>
  </si>
  <si>
    <t>This budget will allow us to run training courses while we onboard our new staff. We will be able to reuse much
of the training content from previous projects as our company Accionia has built multiple solar farms before</t>
  </si>
  <si>
    <t>Machinery and Equipment</t>
  </si>
  <si>
    <t>Worker Facilities</t>
  </si>
  <si>
    <t>https://www.melbournetoilethire.com.au/toilet/toilets-portable/site-toilet-hire</t>
  </si>
  <si>
    <t xml:space="preserve">cost of renting 8 porta potties for 12 months, as well as building a small permanent office building </t>
  </si>
  <si>
    <t>Machinery</t>
  </si>
  <si>
    <t>Site Preparation</t>
  </si>
  <si>
    <t>Operating costs (construction phase)</t>
  </si>
  <si>
    <t>Total Cost of Construction</t>
  </si>
  <si>
    <t>Compliance and Inspections</t>
  </si>
  <si>
    <t>specification and safety checks</t>
  </si>
  <si>
    <t>Testing</t>
  </si>
  <si>
    <t>price of testing the system and fixing over 1.5-2 months period</t>
  </si>
  <si>
    <t>Handover</t>
  </si>
  <si>
    <t>handover including monitoring of the system fo a period of 6 months</t>
  </si>
  <si>
    <t>Total Cost of Validation</t>
  </si>
  <si>
    <t>SMA sunny central UP 4600</t>
  </si>
  <si>
    <t>Cost of inverter (1 unit)</t>
  </si>
  <si>
    <t>number of inverters (units)</t>
  </si>
  <si>
    <t>Inverter input voltage (V)</t>
  </si>
  <si>
    <t>Number of Panels (units)</t>
  </si>
  <si>
    <t xml:space="preserve">Panel Voltage </t>
  </si>
  <si>
    <t>Inverter output</t>
  </si>
  <si>
    <t>4600kw</t>
  </si>
  <si>
    <t>String configuration</t>
  </si>
  <si>
    <t>S</t>
  </si>
  <si>
    <t>P</t>
  </si>
  <si>
    <t>Inverter cost ($AUD)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</si>
</sst>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27">
    <font>
      <sz val="10.0"/>
      <color rgb="FF000000"/>
      <name val="Arial"/>
      <scheme val="minor"/>
    </font>
    <font>
      <u/>
      <sz val="10.0"/>
      <color rgb="FF0000FF"/>
    </font>
    <font>
      <color theme="1"/>
      <name val="Arial"/>
      <scheme val="minor"/>
    </font>
    <font>
      <u/>
      <sz val="10.0"/>
      <color rgb="FF0000FF"/>
    </font>
    <font>
      <u/>
      <sz val="10.0"/>
      <color rgb="FF0000FF"/>
    </font>
    <font>
      <u/>
      <sz val="10.0"/>
      <color rgb="FF0000FF"/>
    </font>
    <font>
      <u/>
      <sz val="10.0"/>
      <color rgb="FF0000FF"/>
    </font>
    <font>
      <u/>
      <sz val="10.0"/>
      <color rgb="FF0000FF"/>
    </font>
    <font>
      <b/>
      <color theme="1"/>
      <name val="Arial"/>
      <scheme val="minor"/>
    </font>
    <font>
      <b/>
      <sz val="15.0"/>
      <color rgb="FF3C78D8"/>
      <name val="Arial"/>
      <scheme val="minor"/>
    </font>
    <font>
      <sz val="12.0"/>
      <color theme="1"/>
      <name val="Arial"/>
      <scheme val="minor"/>
    </font>
    <font>
      <b/>
      <sz val="12.0"/>
      <color theme="1"/>
      <name val="Arial"/>
      <scheme val="minor"/>
    </font>
    <font>
      <u/>
      <color rgb="FF0000FF"/>
    </font>
    <font>
      <u/>
      <color rgb="FF0000FF"/>
    </font>
    <font>
      <color rgb="FF000000"/>
      <name val="Arial"/>
    </font>
    <font>
      <b/>
      <sz val="17.0"/>
      <color theme="1"/>
      <name val="Arial"/>
      <scheme val="minor"/>
    </font>
    <font>
      <u/>
      <color rgb="FF0000FF"/>
    </font>
    <font>
      <b/>
      <sz val="17.0"/>
      <color rgb="FF000000"/>
      <name val="&quot;Google Sans&quot;"/>
    </font>
    <font>
      <u/>
      <color rgb="FF0000FF"/>
    </font>
    <font>
      <u/>
      <color rgb="FF0000FF"/>
    </font>
    <font>
      <u/>
      <color rgb="FF0000FF"/>
    </font>
    <font>
      <sz val="10.0"/>
      <color theme="1"/>
      <name val="Arial"/>
      <scheme val="minor"/>
    </font>
    <font>
      <u/>
      <color rgb="FF0000FF"/>
    </font>
    <font>
      <sz val="10.0"/>
      <color rgb="FF393C41"/>
      <name val="Arial"/>
      <scheme val="minor"/>
    </font>
    <font>
      <color rgb="FF000000"/>
    </font>
    <font>
      <u/>
      <color rgb="FF0000FF"/>
    </font>
    <font>
      <u/>
      <color rgb="FF0000FF"/>
    </font>
  </fonts>
  <fills count="18">
    <fill>
      <patternFill patternType="none"/>
    </fill>
    <fill>
      <patternFill patternType="lightGray"/>
    </fill>
    <fill>
      <patternFill patternType="solid">
        <fgColor rgb="FFB4A7D6"/>
        <bgColor rgb="FFB4A7D6"/>
      </patternFill>
    </fill>
    <fill>
      <patternFill patternType="solid">
        <fgColor rgb="FFB6D7A8"/>
        <bgColor rgb="FFB6D7A8"/>
      </patternFill>
    </fill>
    <fill>
      <patternFill patternType="solid">
        <fgColor rgb="FFFFE599"/>
        <bgColor rgb="FFFFE599"/>
      </patternFill>
    </fill>
    <fill>
      <patternFill patternType="solid">
        <fgColor rgb="FFD5A6BD"/>
        <bgColor rgb="FFD5A6BD"/>
      </patternFill>
    </fill>
    <fill>
      <patternFill patternType="solid">
        <fgColor rgb="FFF9CB9C"/>
        <bgColor rgb="FFF9CB9C"/>
      </patternFill>
    </fill>
    <fill>
      <patternFill patternType="solid">
        <fgColor rgb="FFF4CCCC"/>
        <bgColor rgb="FFF4CCCC"/>
      </patternFill>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D9D2E9"/>
        <bgColor rgb="FFD9D2E9"/>
      </patternFill>
    </fill>
    <fill>
      <patternFill patternType="solid">
        <fgColor rgb="FFD0E0E3"/>
        <bgColor rgb="FFD0E0E3"/>
      </patternFill>
    </fill>
    <fill>
      <patternFill patternType="solid">
        <fgColor rgb="FFFF0000"/>
        <bgColor rgb="FFFF0000"/>
      </patternFill>
    </fill>
    <fill>
      <patternFill patternType="solid">
        <fgColor rgb="FFE6B8AF"/>
        <bgColor rgb="FFE6B8A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164" xfId="0" applyFont="1" applyNumberFormat="1"/>
    <xf borderId="0" fillId="3" fontId="3" numFmtId="0" xfId="0" applyAlignment="1" applyFill="1" applyFont="1">
      <alignment readingOrder="0"/>
    </xf>
    <xf borderId="0" fillId="0" fontId="2" numFmtId="164" xfId="0" applyFont="1" applyNumberFormat="1"/>
    <xf borderId="0" fillId="4" fontId="4" numFmtId="0" xfId="0" applyAlignment="1" applyFill="1" applyFont="1">
      <alignment readingOrder="0"/>
    </xf>
    <xf borderId="0" fillId="5" fontId="5" numFmtId="0" xfId="0" applyAlignment="1" applyFill="1" applyFont="1">
      <alignment readingOrder="0"/>
    </xf>
    <xf borderId="0" fillId="6" fontId="6" numFmtId="0" xfId="0" applyAlignment="1" applyFill="1" applyFont="1">
      <alignment readingOrder="0"/>
    </xf>
    <xf borderId="0" fillId="7" fontId="7" numFmtId="0" xfId="0" applyAlignment="1" applyFill="1" applyFont="1">
      <alignment readingOrder="0"/>
    </xf>
    <xf borderId="0" fillId="0" fontId="8" numFmtId="0" xfId="0" applyAlignment="1" applyFont="1">
      <alignment readingOrder="0"/>
    </xf>
    <xf borderId="0" fillId="0" fontId="9" numFmtId="0" xfId="0" applyAlignment="1" applyFont="1">
      <alignment readingOrder="0"/>
    </xf>
    <xf borderId="0" fillId="0" fontId="2" numFmtId="0" xfId="0" applyAlignment="1" applyFont="1">
      <alignment readingOrder="0"/>
    </xf>
    <xf borderId="0" fillId="0" fontId="10" numFmtId="0" xfId="0" applyAlignment="1" applyFont="1">
      <alignment readingOrder="0"/>
    </xf>
    <xf borderId="0" fillId="0" fontId="10" numFmtId="10" xfId="0" applyAlignment="1" applyFont="1" applyNumberFormat="1">
      <alignment readingOrder="0"/>
    </xf>
    <xf borderId="0" fillId="8" fontId="11" numFmtId="0" xfId="0" applyAlignment="1" applyFill="1" applyFont="1">
      <alignment readingOrder="0"/>
    </xf>
    <xf borderId="0" fillId="0" fontId="2" numFmtId="164" xfId="0" applyAlignment="1" applyFont="1" applyNumberFormat="1">
      <alignment readingOrder="0"/>
    </xf>
    <xf borderId="0" fillId="8" fontId="10" numFmtId="0" xfId="0" applyAlignment="1" applyFont="1">
      <alignment readingOrder="0"/>
    </xf>
    <xf borderId="0" fillId="0" fontId="11" numFmtId="0" xfId="0" applyAlignment="1" applyFont="1">
      <alignment readingOrder="0"/>
    </xf>
    <xf borderId="0" fillId="0" fontId="2" numFmtId="0" xfId="0" applyFont="1"/>
    <xf borderId="0" fillId="9" fontId="8" numFmtId="0" xfId="0" applyAlignment="1" applyFill="1" applyFont="1">
      <alignment readingOrder="0"/>
    </xf>
    <xf borderId="0" fillId="0" fontId="2"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2" numFmtId="0" xfId="0" applyFont="1"/>
    <xf borderId="0" fillId="10" fontId="14" numFmtId="0" xfId="0" applyAlignment="1" applyFill="1" applyFont="1">
      <alignment horizontal="left" readingOrder="0"/>
    </xf>
    <xf borderId="0" fillId="0" fontId="15" numFmtId="0" xfId="0" applyAlignment="1" applyFont="1">
      <alignment horizontal="center" readingOrder="0"/>
    </xf>
    <xf borderId="1" fillId="0" fontId="8" numFmtId="0" xfId="0" applyAlignment="1" applyBorder="1" applyFont="1">
      <alignment readingOrder="0"/>
    </xf>
    <xf borderId="0" fillId="11" fontId="8" numFmtId="0" xfId="0" applyAlignment="1" applyFill="1" applyFont="1">
      <alignment horizontal="center" readingOrder="0" vertical="center"/>
    </xf>
    <xf borderId="0" fillId="11" fontId="2" numFmtId="0" xfId="0" applyAlignment="1" applyFont="1">
      <alignment readingOrder="0"/>
    </xf>
    <xf borderId="0" fillId="11" fontId="2" numFmtId="164" xfId="0" applyFont="1" applyNumberFormat="1"/>
    <xf borderId="0" fillId="11" fontId="16" numFmtId="0" xfId="0" applyAlignment="1" applyFont="1">
      <alignment readingOrder="0"/>
    </xf>
    <xf borderId="0" fillId="11" fontId="8" numFmtId="0" xfId="0" applyAlignment="1" applyFont="1">
      <alignment readingOrder="0"/>
    </xf>
    <xf borderId="0" fillId="11" fontId="2" numFmtId="0" xfId="0" applyFont="1"/>
    <xf borderId="0" fillId="11" fontId="2" numFmtId="164" xfId="0" applyAlignment="1" applyFont="1" applyNumberFormat="1">
      <alignment readingOrder="0"/>
    </xf>
    <xf borderId="0" fillId="11" fontId="14" numFmtId="0" xfId="0" applyAlignment="1" applyFont="1">
      <alignment horizontal="left" readingOrder="0"/>
    </xf>
    <xf borderId="0" fillId="12" fontId="8" numFmtId="0" xfId="0" applyAlignment="1" applyFill="1" applyFont="1">
      <alignment horizontal="center" readingOrder="0" vertical="center"/>
    </xf>
    <xf borderId="0" fillId="12" fontId="2" numFmtId="0" xfId="0" applyAlignment="1" applyFont="1">
      <alignment readingOrder="0"/>
    </xf>
    <xf borderId="0" fillId="12" fontId="2" numFmtId="164" xfId="0" applyAlignment="1" applyFont="1" applyNumberFormat="1">
      <alignment readingOrder="0"/>
    </xf>
    <xf borderId="0" fillId="12" fontId="2" numFmtId="0" xfId="0" applyFont="1"/>
    <xf borderId="0" fillId="8" fontId="8" numFmtId="0" xfId="0" applyAlignment="1" applyFont="1">
      <alignment horizontal="center" readingOrder="0" vertical="center"/>
    </xf>
    <xf borderId="0" fillId="8" fontId="2" numFmtId="0" xfId="0" applyAlignment="1" applyFont="1">
      <alignment readingOrder="0"/>
    </xf>
    <xf borderId="0" fillId="8" fontId="2" numFmtId="164" xfId="0" applyAlignment="1" applyFont="1" applyNumberFormat="1">
      <alignment readingOrder="0"/>
    </xf>
    <xf borderId="0" fillId="8" fontId="2" numFmtId="0" xfId="0" applyFont="1"/>
    <xf borderId="1" fillId="0" fontId="2" numFmtId="164" xfId="0" applyBorder="1" applyFont="1" applyNumberFormat="1"/>
    <xf borderId="0" fillId="0" fontId="17" numFmtId="0" xfId="0" applyAlignment="1" applyFont="1">
      <alignment horizontal="center" readingOrder="0" vertical="center"/>
    </xf>
    <xf borderId="0" fillId="13" fontId="8" numFmtId="0" xfId="0" applyAlignment="1" applyFill="1" applyFont="1">
      <alignment horizontal="center" readingOrder="0" vertical="center"/>
    </xf>
    <xf borderId="0" fillId="13" fontId="8" numFmtId="0" xfId="0" applyAlignment="1" applyFont="1">
      <alignment readingOrder="0" vertical="center"/>
    </xf>
    <xf borderId="0" fillId="13" fontId="2" numFmtId="164" xfId="0" applyAlignment="1" applyFont="1" applyNumberFormat="1">
      <alignment vertical="center"/>
    </xf>
    <xf borderId="0" fillId="13" fontId="2" numFmtId="0" xfId="0" applyAlignment="1" applyFont="1">
      <alignment vertical="center"/>
    </xf>
    <xf borderId="0" fillId="13" fontId="2" numFmtId="0" xfId="0" applyAlignment="1" applyFont="1">
      <alignment readingOrder="0" vertical="center"/>
    </xf>
    <xf borderId="0" fillId="13" fontId="2" numFmtId="164" xfId="0" applyAlignment="1" applyFont="1" applyNumberFormat="1">
      <alignment readingOrder="0" vertical="center"/>
    </xf>
    <xf borderId="0" fillId="13" fontId="18" numFmtId="0" xfId="0" applyAlignment="1" applyFont="1">
      <alignment readingOrder="0" vertical="center"/>
    </xf>
    <xf borderId="0" fillId="13" fontId="14" numFmtId="0" xfId="0" applyAlignment="1" applyFont="1">
      <alignment horizontal="left" readingOrder="0"/>
    </xf>
    <xf borderId="0" fillId="13" fontId="19" numFmtId="0" xfId="0" applyAlignment="1" applyFont="1">
      <alignment readingOrder="0" vertical="center"/>
    </xf>
    <xf borderId="0" fillId="14" fontId="8" numFmtId="0" xfId="0" applyAlignment="1" applyFill="1" applyFont="1">
      <alignment horizontal="center" readingOrder="0" vertical="center"/>
    </xf>
    <xf borderId="0" fillId="14" fontId="2" numFmtId="0" xfId="0" applyAlignment="1" applyFont="1">
      <alignment readingOrder="0" vertical="center"/>
    </xf>
    <xf borderId="0" fillId="14" fontId="2" numFmtId="164" xfId="0" applyAlignment="1" applyFont="1" applyNumberFormat="1">
      <alignment readingOrder="0" vertical="center"/>
    </xf>
    <xf borderId="0" fillId="14" fontId="2" numFmtId="0" xfId="0" applyAlignment="1" applyFont="1">
      <alignment vertical="center"/>
    </xf>
    <xf borderId="0" fillId="14" fontId="20" numFmtId="0" xfId="0" applyAlignment="1" applyFont="1">
      <alignment readingOrder="0" vertical="center"/>
    </xf>
    <xf borderId="1" fillId="0" fontId="2" numFmtId="164" xfId="0" applyBorder="1" applyFont="1" applyNumberFormat="1"/>
    <xf borderId="0" fillId="7" fontId="8" numFmtId="0" xfId="0" applyAlignment="1" applyFont="1">
      <alignment horizontal="center" readingOrder="0" vertical="center"/>
    </xf>
    <xf borderId="0" fillId="7" fontId="8" numFmtId="0" xfId="0" applyAlignment="1" applyFont="1">
      <alignment readingOrder="0"/>
    </xf>
    <xf borderId="0" fillId="7" fontId="2" numFmtId="164" xfId="0" applyFont="1" applyNumberFormat="1"/>
    <xf borderId="0" fillId="7" fontId="2" numFmtId="0" xfId="0" applyFont="1"/>
    <xf borderId="0" fillId="7" fontId="2" numFmtId="0" xfId="0" applyAlignment="1" applyFont="1">
      <alignment readingOrder="0"/>
    </xf>
    <xf borderId="0" fillId="7" fontId="21" numFmtId="164" xfId="0" applyFont="1" applyNumberFormat="1"/>
    <xf borderId="0" fillId="7" fontId="2" numFmtId="0" xfId="0" applyAlignment="1" applyFont="1">
      <alignment readingOrder="0"/>
    </xf>
    <xf borderId="0" fillId="7" fontId="22" numFmtId="0" xfId="0" applyAlignment="1" applyFont="1">
      <alignment readingOrder="0"/>
    </xf>
    <xf borderId="0" fillId="7" fontId="23" numFmtId="164" xfId="0" applyAlignment="1" applyFont="1" applyNumberFormat="1">
      <alignment readingOrder="0"/>
    </xf>
    <xf borderId="0" fillId="7" fontId="24" numFmtId="0" xfId="0" applyAlignment="1" applyFont="1">
      <alignment readingOrder="0"/>
    </xf>
    <xf borderId="0" fillId="7" fontId="2" numFmtId="164" xfId="0" applyAlignment="1" applyFont="1" applyNumberFormat="1">
      <alignment readingOrder="0"/>
    </xf>
    <xf borderId="0" fillId="7" fontId="25" numFmtId="0" xfId="0" applyAlignment="1" applyFont="1">
      <alignment readingOrder="0"/>
    </xf>
    <xf borderId="0" fillId="15" fontId="8" numFmtId="0" xfId="0" applyAlignment="1" applyFill="1" applyFont="1">
      <alignment horizontal="center" readingOrder="0" vertical="center"/>
    </xf>
    <xf borderId="0" fillId="15" fontId="2" numFmtId="0" xfId="0" applyAlignment="1" applyFont="1">
      <alignment readingOrder="0"/>
    </xf>
    <xf borderId="0" fillId="15" fontId="2" numFmtId="164" xfId="0" applyAlignment="1" applyFont="1" applyNumberFormat="1">
      <alignment readingOrder="0"/>
    </xf>
    <xf borderId="0" fillId="15" fontId="2" numFmtId="0" xfId="0" applyFont="1"/>
    <xf borderId="0" fillId="15" fontId="8" numFmtId="0" xfId="0" applyAlignment="1" applyFont="1">
      <alignment readingOrder="0"/>
    </xf>
    <xf borderId="0" fillId="15" fontId="2" numFmtId="164" xfId="0" applyFont="1" applyNumberFormat="1"/>
    <xf borderId="0" fillId="15" fontId="2" numFmtId="0" xfId="0" applyAlignment="1" applyFont="1">
      <alignment readingOrder="0"/>
    </xf>
    <xf borderId="0" fillId="13" fontId="2" numFmtId="0" xfId="0" applyAlignment="1" applyFont="1">
      <alignment readingOrder="0"/>
    </xf>
    <xf borderId="0" fillId="13" fontId="2" numFmtId="164" xfId="0" applyAlignment="1" applyFont="1" applyNumberFormat="1">
      <alignment readingOrder="0"/>
    </xf>
    <xf borderId="0" fillId="13" fontId="2" numFmtId="0" xfId="0" applyFont="1"/>
    <xf borderId="0" fillId="14" fontId="2" numFmtId="0" xfId="0" applyAlignment="1" applyFont="1">
      <alignment readingOrder="0"/>
    </xf>
    <xf borderId="0" fillId="14" fontId="2" numFmtId="164" xfId="0" applyAlignment="1" applyFont="1" applyNumberFormat="1">
      <alignment readingOrder="0"/>
    </xf>
    <xf borderId="0" fillId="14" fontId="2" numFmtId="0" xfId="0" applyFont="1"/>
    <xf borderId="0" fillId="16" fontId="2" numFmtId="0" xfId="0" applyAlignment="1" applyFill="1" applyFont="1">
      <alignment readingOrder="0"/>
    </xf>
    <xf borderId="0" fillId="11" fontId="2" numFmtId="164" xfId="0" applyAlignment="1" applyFont="1" applyNumberFormat="1">
      <alignment readingOrder="0"/>
    </xf>
    <xf borderId="0" fillId="11" fontId="2" numFmtId="164" xfId="0" applyFont="1" applyNumberFormat="1"/>
    <xf borderId="0" fillId="14" fontId="2" numFmtId="164" xfId="0" applyFont="1" applyNumberFormat="1"/>
    <xf borderId="0" fillId="14" fontId="26" numFmtId="0" xfId="0" applyAlignment="1" applyFont="1">
      <alignment readingOrder="0"/>
    </xf>
    <xf borderId="0" fillId="17" fontId="8" numFmtId="0" xfId="0" applyAlignment="1" applyFill="1" applyFont="1">
      <alignment horizontal="center" readingOrder="0" vertical="center"/>
    </xf>
    <xf borderId="0" fillId="17" fontId="2" numFmtId="0" xfId="0" applyAlignment="1" applyFont="1">
      <alignment readingOrder="0"/>
    </xf>
    <xf borderId="0" fillId="17" fontId="2" numFmtId="164" xfId="0" applyAlignment="1" applyFont="1" applyNumberFormat="1">
      <alignment readingOrder="0"/>
    </xf>
    <xf borderId="0" fillId="17"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Project lifetime vs NPV</a:t>
            </a:r>
          </a:p>
        </c:rich>
      </c:tx>
      <c:overlay val="0"/>
    </c:title>
    <c:plotArea>
      <c:layout>
        <c:manualLayout>
          <c:xMode val="edge"/>
          <c:yMode val="edge"/>
          <c:x val="0.15067864959198182"/>
          <c:y val="0.15341419586702604"/>
          <c:w val="0.8167202959264717"/>
          <c:h val="0.7131626235399822"/>
        </c:manualLayout>
      </c:layout>
      <c:scatterChart>
        <c:scatterStyle val="lineMarker"/>
        <c:varyColors val="0"/>
        <c:ser>
          <c:idx val="0"/>
          <c:order val="0"/>
          <c:tx>
            <c:strRef>
              <c:f>Main!$B$36</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exp"/>
            <c:dispRSqr val="0"/>
            <c:dispEq val="0"/>
          </c:trendline>
          <c:xVal>
            <c:numRef>
              <c:f>Main!$C$32:$L$32</c:f>
            </c:numRef>
          </c:xVal>
          <c:yVal>
            <c:numRef>
              <c:f>Main!$C$36:$L$36</c:f>
              <c:numCache/>
            </c:numRef>
          </c:yVal>
        </c:ser>
        <c:dLbls>
          <c:showLegendKey val="0"/>
          <c:showVal val="0"/>
          <c:showCatName val="0"/>
          <c:showSerName val="0"/>
          <c:showPercent val="0"/>
          <c:showBubbleSize val="0"/>
        </c:dLbls>
        <c:axId val="410963380"/>
        <c:axId val="1340680266"/>
      </c:scatterChart>
      <c:valAx>
        <c:axId val="410963380"/>
        <c:scaling>
          <c:orientation val="minMax"/>
          <c:max val="2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Project Year</a:t>
                </a:r>
              </a:p>
            </c:rich>
          </c:tx>
          <c:layout>
            <c:manualLayout>
              <c:xMode val="edge"/>
              <c:yMode val="edge"/>
              <c:x val="0.16987174479166667"/>
              <c:y val="0.933827493261455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0680266"/>
      </c:valAx>
      <c:valAx>
        <c:axId val="1340680266"/>
        <c:scaling>
          <c:orientation val="minMax"/>
          <c:max val="2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NPV ($m)</a:t>
                </a:r>
              </a:p>
            </c:rich>
          </c:tx>
          <c:layout>
            <c:manualLayout>
              <c:xMode val="edge"/>
              <c:yMode val="edge"/>
              <c:x val="0.02325117164616286"/>
              <c:y val="0.13454627133872418"/>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0963380"/>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Sensitivity Analysis</a:t>
            </a:r>
          </a:p>
        </c:rich>
      </c:tx>
      <c:layout>
        <c:manualLayout>
          <c:xMode val="edge"/>
          <c:yMode val="edge"/>
          <c:x val="0.022207456591683827"/>
          <c:y val="0.02514080539782356"/>
        </c:manualLayout>
      </c:layout>
      <c:overlay val="0"/>
    </c:title>
    <c:plotArea>
      <c:layout>
        <c:manualLayout>
          <c:xMode val="edge"/>
          <c:yMode val="edge"/>
          <c:x val="0.09414990859232175"/>
          <c:y val="0.1104064006216435"/>
          <c:w val="0.8893943952051465"/>
          <c:h val="0.7684998493783565"/>
        </c:manualLayout>
      </c:layout>
      <c:lineChart>
        <c:ser>
          <c:idx val="0"/>
          <c:order val="0"/>
          <c:tx>
            <c:v>Solar Value</c:v>
          </c:tx>
          <c:spPr>
            <a:ln cmpd="sng">
              <a:solidFill>
                <a:srgbClr val="4285F4"/>
              </a:solidFill>
            </a:ln>
          </c:spPr>
          <c:marker>
            <c:symbol val="none"/>
          </c:marker>
          <c:cat>
            <c:strRef>
              <c:f>Spider!$E$1:$Y$1</c:f>
            </c:strRef>
          </c:cat>
          <c:val>
            <c:numRef>
              <c:f>Spider!$E$2:$Y$2</c:f>
              <c:numCache/>
            </c:numRef>
          </c:val>
          <c:smooth val="0"/>
        </c:ser>
        <c:ser>
          <c:idx val="1"/>
          <c:order val="1"/>
          <c:tx>
            <c:v>Battery Discharge Value</c:v>
          </c:tx>
          <c:spPr>
            <a:ln cmpd="sng">
              <a:solidFill>
                <a:srgbClr val="EA4335"/>
              </a:solidFill>
            </a:ln>
          </c:spPr>
          <c:marker>
            <c:symbol val="none"/>
          </c:marker>
          <c:cat>
            <c:strRef>
              <c:f>Spider!$E$1:$Y$1</c:f>
            </c:strRef>
          </c:cat>
          <c:val>
            <c:numRef>
              <c:f>Spider!$E$3:$Y$3</c:f>
              <c:numCache/>
            </c:numRef>
          </c:val>
          <c:smooth val="0"/>
        </c:ser>
        <c:ser>
          <c:idx val="2"/>
          <c:order val="2"/>
          <c:tx>
            <c:strRef>
              <c:f>Spider!$D$4</c:f>
            </c:strRef>
          </c:tx>
          <c:spPr>
            <a:ln cmpd="sng">
              <a:solidFill>
                <a:srgbClr val="FBBC04"/>
              </a:solidFill>
            </a:ln>
          </c:spPr>
          <c:marker>
            <c:symbol val="none"/>
          </c:marker>
          <c:cat>
            <c:strRef>
              <c:f>Spider!$E$1:$Y$1</c:f>
            </c:strRef>
          </c:cat>
          <c:val>
            <c:numRef>
              <c:f>Spider!$E$4:$Y$4</c:f>
              <c:numCache/>
            </c:numRef>
          </c:val>
          <c:smooth val="0"/>
        </c:ser>
        <c:ser>
          <c:idx val="3"/>
          <c:order val="3"/>
          <c:tx>
            <c:strRef>
              <c:f>Spider!$D$5</c:f>
            </c:strRef>
          </c:tx>
          <c:spPr>
            <a:ln cmpd="sng">
              <a:solidFill>
                <a:srgbClr val="34A853"/>
              </a:solidFill>
            </a:ln>
          </c:spPr>
          <c:marker>
            <c:symbol val="none"/>
          </c:marker>
          <c:cat>
            <c:strRef>
              <c:f>Spider!$E$1:$Y$1</c:f>
            </c:strRef>
          </c:cat>
          <c:val>
            <c:numRef>
              <c:f>Spider!$E$5:$Y$5</c:f>
              <c:numCache/>
            </c:numRef>
          </c:val>
          <c:smooth val="0"/>
        </c:ser>
        <c:ser>
          <c:idx val="4"/>
          <c:order val="4"/>
          <c:tx>
            <c:strRef>
              <c:f>Spider!$D$6</c:f>
            </c:strRef>
          </c:tx>
          <c:spPr>
            <a:ln cmpd="sng">
              <a:solidFill>
                <a:srgbClr val="FF6D01"/>
              </a:solidFill>
            </a:ln>
          </c:spPr>
          <c:marker>
            <c:symbol val="none"/>
          </c:marker>
          <c:cat>
            <c:strRef>
              <c:f>Spider!$E$1:$Y$1</c:f>
            </c:strRef>
          </c:cat>
          <c:val>
            <c:numRef>
              <c:f>Spider!$E$6:$Y$6</c:f>
              <c:numCache/>
            </c:numRef>
          </c:val>
          <c:smooth val="0"/>
        </c:ser>
        <c:ser>
          <c:idx val="5"/>
          <c:order val="5"/>
          <c:tx>
            <c:strRef>
              <c:f>Spider!$D$7</c:f>
            </c:strRef>
          </c:tx>
          <c:spPr>
            <a:ln cmpd="sng">
              <a:solidFill>
                <a:srgbClr val="46BDC6"/>
              </a:solidFill>
            </a:ln>
          </c:spPr>
          <c:marker>
            <c:symbol val="none"/>
          </c:marker>
          <c:cat>
            <c:strRef>
              <c:f>Spider!$E$1:$Y$1</c:f>
            </c:strRef>
          </c:cat>
          <c:val>
            <c:numRef>
              <c:f>Spider!$E$7:$Y$7</c:f>
              <c:numCache/>
            </c:numRef>
          </c:val>
          <c:smooth val="0"/>
        </c:ser>
        <c:axId val="239383684"/>
        <c:axId val="2072320707"/>
      </c:lineChart>
      <c:catAx>
        <c:axId val="239383684"/>
        <c:scaling>
          <c:orientation val="minMax"/>
          <c:max val="1.22"/>
        </c:scaling>
        <c:delete val="0"/>
        <c:axPos val="b"/>
        <c:title>
          <c:tx>
            <c:rich>
              <a:bodyPr/>
              <a:lstStyle/>
              <a:p>
                <a:pPr lvl="0">
                  <a:defRPr b="1">
                    <a:solidFill>
                      <a:srgbClr val="000000"/>
                    </a:solidFill>
                    <a:latin typeface="+mn-lt"/>
                  </a:defRPr>
                </a:pPr>
                <a:r>
                  <a:rPr b="1">
                    <a:solidFill>
                      <a:srgbClr val="000000"/>
                    </a:solidFill>
                    <a:latin typeface="+mn-lt"/>
                  </a:rPr>
                  <a:t>% Adjustment</a:t>
                </a:r>
              </a:p>
            </c:rich>
          </c:tx>
          <c:overlay val="0"/>
        </c:title>
        <c:numFmt formatCode="0%" sourceLinked="0"/>
        <c:majorTickMark val="none"/>
        <c:minorTickMark val="none"/>
        <c:spPr/>
        <c:txPr>
          <a:bodyPr/>
          <a:lstStyle/>
          <a:p>
            <a:pPr lvl="0">
              <a:defRPr b="0">
                <a:solidFill>
                  <a:srgbClr val="000000"/>
                </a:solidFill>
                <a:latin typeface="+mn-lt"/>
              </a:defRPr>
            </a:pPr>
          </a:p>
        </c:txPr>
        <c:crossAx val="2072320707"/>
      </c:catAx>
      <c:valAx>
        <c:axId val="20723207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10 Year NCF ($m)</a:t>
                </a:r>
              </a:p>
            </c:rich>
          </c:tx>
          <c:overlay val="0"/>
        </c:title>
        <c:numFmt formatCode="0" sourceLinked="0"/>
        <c:majorTickMark val="none"/>
        <c:minorTickMark val="none"/>
        <c:tickLblPos val="nextTo"/>
        <c:spPr>
          <a:ln/>
        </c:spPr>
        <c:txPr>
          <a:bodyPr/>
          <a:lstStyle/>
          <a:p>
            <a:pPr lvl="0">
              <a:defRPr b="0">
                <a:solidFill>
                  <a:srgbClr val="000000"/>
                </a:solidFill>
                <a:latin typeface="+mn-lt"/>
              </a:defRPr>
            </a:pPr>
          </a:p>
        </c:txPr>
        <c:crossAx val="239383684"/>
      </c:valAx>
    </c:plotArea>
    <c:legend>
      <c:legendPos val="tr"/>
      <c:layout>
        <c:manualLayout>
          <c:xMode val="edge"/>
          <c:yMode val="edge"/>
          <c:x val="0.09771534792522953"/>
          <c:y val="0.7587580489732919"/>
        </c:manualLayout>
      </c:layout>
      <c:overlay val="1"/>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Sensitivity Analysis</a:t>
            </a:r>
          </a:p>
        </c:rich>
      </c:tx>
      <c:layout>
        <c:manualLayout>
          <c:xMode val="edge"/>
          <c:yMode val="edge"/>
          <c:x val="0.022207456591683827"/>
          <c:y val="0.02514080539782356"/>
        </c:manualLayout>
      </c:layout>
      <c:overlay val="0"/>
    </c:title>
    <c:plotArea>
      <c:layout>
        <c:manualLayout>
          <c:xMode val="edge"/>
          <c:yMode val="edge"/>
          <c:x val="0.11232092471419614"/>
          <c:y val="0.11040640062164349"/>
          <c:w val="0.60738828368645"/>
          <c:h val="0.7684998493783565"/>
        </c:manualLayout>
      </c:layout>
      <c:lineChart>
        <c:ser>
          <c:idx val="0"/>
          <c:order val="0"/>
          <c:tx>
            <c:strRef>
              <c:f>Spider!$D$2</c:f>
            </c:strRef>
          </c:tx>
          <c:spPr>
            <a:ln cmpd="sng">
              <a:solidFill>
                <a:srgbClr val="4285F4"/>
              </a:solidFill>
            </a:ln>
          </c:spPr>
          <c:marker>
            <c:symbol val="none"/>
          </c:marker>
          <c:cat>
            <c:strRef>
              <c:f>Spider!$E$1:$Y$1</c:f>
            </c:strRef>
          </c:cat>
          <c:val>
            <c:numRef>
              <c:f>Spider!$E$2:$Y$2</c:f>
              <c:numCache/>
            </c:numRef>
          </c:val>
          <c:smooth val="0"/>
        </c:ser>
        <c:ser>
          <c:idx val="1"/>
          <c:order val="1"/>
          <c:tx>
            <c:strRef>
              <c:f>Spider!$D$3</c:f>
            </c:strRef>
          </c:tx>
          <c:spPr>
            <a:ln cmpd="sng">
              <a:solidFill>
                <a:srgbClr val="EA4335"/>
              </a:solidFill>
            </a:ln>
          </c:spPr>
          <c:marker>
            <c:symbol val="none"/>
          </c:marker>
          <c:cat>
            <c:strRef>
              <c:f>Spider!$E$1:$Y$1</c:f>
            </c:strRef>
          </c:cat>
          <c:val>
            <c:numRef>
              <c:f>Spider!$E$3:$Y$3</c:f>
              <c:numCache/>
            </c:numRef>
          </c:val>
          <c:smooth val="0"/>
        </c:ser>
        <c:ser>
          <c:idx val="2"/>
          <c:order val="2"/>
          <c:tx>
            <c:strRef>
              <c:f>Spider!$D$4</c:f>
            </c:strRef>
          </c:tx>
          <c:spPr>
            <a:ln cmpd="sng">
              <a:solidFill>
                <a:srgbClr val="FBBC04"/>
              </a:solidFill>
            </a:ln>
          </c:spPr>
          <c:marker>
            <c:symbol val="none"/>
          </c:marker>
          <c:cat>
            <c:strRef>
              <c:f>Spider!$E$1:$Y$1</c:f>
            </c:strRef>
          </c:cat>
          <c:val>
            <c:numRef>
              <c:f>Spider!$E$4:$Y$4</c:f>
              <c:numCache/>
            </c:numRef>
          </c:val>
          <c:smooth val="0"/>
        </c:ser>
        <c:ser>
          <c:idx val="3"/>
          <c:order val="3"/>
          <c:tx>
            <c:strRef>
              <c:f>Spider!$D$5</c:f>
            </c:strRef>
          </c:tx>
          <c:spPr>
            <a:ln cmpd="sng">
              <a:solidFill>
                <a:srgbClr val="34A853"/>
              </a:solidFill>
            </a:ln>
          </c:spPr>
          <c:marker>
            <c:symbol val="none"/>
          </c:marker>
          <c:cat>
            <c:strRef>
              <c:f>Spider!$E$1:$Y$1</c:f>
            </c:strRef>
          </c:cat>
          <c:val>
            <c:numRef>
              <c:f>Spider!$E$5:$Y$5</c:f>
              <c:numCache/>
            </c:numRef>
          </c:val>
          <c:smooth val="0"/>
        </c:ser>
        <c:ser>
          <c:idx val="4"/>
          <c:order val="4"/>
          <c:tx>
            <c:strRef>
              <c:f>Spider!$D$6</c:f>
            </c:strRef>
          </c:tx>
          <c:spPr>
            <a:ln cmpd="sng">
              <a:solidFill>
                <a:srgbClr val="FF6D01"/>
              </a:solidFill>
            </a:ln>
          </c:spPr>
          <c:marker>
            <c:symbol val="none"/>
          </c:marker>
          <c:cat>
            <c:strRef>
              <c:f>Spider!$E$1:$Y$1</c:f>
            </c:strRef>
          </c:cat>
          <c:val>
            <c:numRef>
              <c:f>Spider!$E$6:$Y$6</c:f>
              <c:numCache/>
            </c:numRef>
          </c:val>
          <c:smooth val="0"/>
        </c:ser>
        <c:ser>
          <c:idx val="5"/>
          <c:order val="5"/>
          <c:tx>
            <c:strRef>
              <c:f>Spider!$D$7</c:f>
            </c:strRef>
          </c:tx>
          <c:spPr>
            <a:ln cmpd="sng">
              <a:solidFill>
                <a:srgbClr val="46BDC6"/>
              </a:solidFill>
            </a:ln>
          </c:spPr>
          <c:marker>
            <c:symbol val="none"/>
          </c:marker>
          <c:cat>
            <c:strRef>
              <c:f>Spider!$E$1:$Y$1</c:f>
            </c:strRef>
          </c:cat>
          <c:val>
            <c:numRef>
              <c:f>Spider!$E$7:$Y$7</c:f>
              <c:numCache/>
            </c:numRef>
          </c:val>
          <c:smooth val="0"/>
        </c:ser>
        <c:axId val="1377208099"/>
        <c:axId val="910030086"/>
      </c:lineChart>
      <c:catAx>
        <c:axId val="1377208099"/>
        <c:scaling>
          <c:orientation val="minMax"/>
          <c:max val="1.22"/>
        </c:scaling>
        <c:delete val="0"/>
        <c:axPos val="b"/>
        <c:title>
          <c:tx>
            <c:rich>
              <a:bodyPr/>
              <a:lstStyle/>
              <a:p>
                <a:pPr lvl="0">
                  <a:defRPr b="1">
                    <a:solidFill>
                      <a:srgbClr val="000000"/>
                    </a:solidFill>
                    <a:latin typeface="+mn-lt"/>
                  </a:defRPr>
                </a:pPr>
                <a:r>
                  <a:rPr b="1">
                    <a:solidFill>
                      <a:srgbClr val="000000"/>
                    </a:solidFill>
                    <a:latin typeface="+mn-lt"/>
                  </a:rPr>
                  <a:t>Percentage Adjustment</a:t>
                </a:r>
              </a:p>
            </c:rich>
          </c:tx>
          <c:overlay val="0"/>
        </c:title>
        <c:numFmt formatCode="0%" sourceLinked="0"/>
        <c:majorTickMark val="none"/>
        <c:minorTickMark val="none"/>
        <c:spPr/>
        <c:txPr>
          <a:bodyPr/>
          <a:lstStyle/>
          <a:p>
            <a:pPr lvl="0">
              <a:defRPr b="0">
                <a:solidFill>
                  <a:srgbClr val="000000"/>
                </a:solidFill>
                <a:latin typeface="+mn-lt"/>
              </a:defRPr>
            </a:pPr>
          </a:p>
        </c:txPr>
        <c:crossAx val="910030086"/>
      </c:catAx>
      <c:valAx>
        <c:axId val="910030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10 Year NCF ($m)</a:t>
                </a:r>
              </a:p>
            </c:rich>
          </c:tx>
          <c:overlay val="0"/>
        </c:title>
        <c:numFmt formatCode="0" sourceLinked="0"/>
        <c:majorTickMark val="none"/>
        <c:minorTickMark val="none"/>
        <c:tickLblPos val="nextTo"/>
        <c:spPr>
          <a:ln/>
        </c:spPr>
        <c:txPr>
          <a:bodyPr/>
          <a:lstStyle/>
          <a:p>
            <a:pPr lvl="0">
              <a:defRPr b="0">
                <a:solidFill>
                  <a:srgbClr val="000000"/>
                </a:solidFill>
                <a:latin typeface="+mn-lt"/>
              </a:defRPr>
            </a:pPr>
          </a:p>
        </c:txPr>
        <c:crossAx val="137720809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600075</xdr:colOff>
      <xdr:row>36</xdr:row>
      <xdr:rowOff>161925</xdr:rowOff>
    </xdr:from>
    <xdr:ext cx="5210175" cy="3467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409575</xdr:colOff>
      <xdr:row>36</xdr:row>
      <xdr:rowOff>171450</xdr:rowOff>
    </xdr:from>
    <xdr:ext cx="5210175" cy="34671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9</xdr:row>
      <xdr:rowOff>38100</xdr:rowOff>
    </xdr:from>
    <xdr:ext cx="5895975" cy="39052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media.acciona.com.au/media/5346687/kerang-solar-farm-acciona-newsletter_feb18.pdf" TargetMode="External"/><Relationship Id="rId2" Type="http://schemas.openxmlformats.org/officeDocument/2006/relationships/hyperlink" Target="https://www.melbournetoilethire.com.au/toilet/toilets-portable/site-toilet-hire"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ndeavourenergy.com.au/news/media-releases/australian-energy-regulator-aer-published-endeavour-energy-regulatory-proposal-for-2024-2029" TargetMode="External"/><Relationship Id="rId2" Type="http://schemas.openxmlformats.org/officeDocument/2006/relationships/hyperlink" Target="https://reneweconomy.com.au/anatomy-of-one-of-australias-first-solar-and-battery-hybrid-projects-the-costs-and-revenues/"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mp.lbl.gov/publications/benchmarking-utility-scale-pv"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domain.com.au/00-peacock-road-kerang-vic-3579-2018128282"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planning.vic.gov.au/guides-and-resources/legislation-regulation-and-fees/fees" TargetMode="External"/><Relationship Id="rId2" Type="http://schemas.openxmlformats.org/officeDocument/2006/relationships/hyperlink" Target="https://www.gannawarra.vic.gov.au/files/assets/public/v/1/document-resources/budgets/fees-and-charges-2023_24-adopted-15-march-2023.pdf" TargetMode="External"/><Relationship Id="rId3" Type="http://schemas.openxmlformats.org/officeDocument/2006/relationships/hyperlink" Target="https://www.google.com/url?sa=i&amp;url=https%3A%2F%2Fwww.planning.vic.gov.au%2F__data%2Fassets%2Fword_doc%2F0012%2F622101%2Frenewable-energy-pre-application-form.docx&amp;psig=AOvVaw27rDX2DYBNgeK_yrRZ1_vo&amp;ust=1728623655854000&amp;source=images&amp;cd=vfe&amp;opi=89978449&amp;ved=0CAQQn5wMahcKEwiIwJDFh4OJAxUAAAAAHQAAAAAQBA" TargetMode="External"/><Relationship Id="rId4" Type="http://schemas.openxmlformats.org/officeDocument/2006/relationships/hyperlink" Target="https://www.bookaarsolarfarm.com/wp-content/uploads/2023/03/Bookaar-Solar-Farm-Endorsed-Landscape-Plan.pdf" TargetMode="External"/><Relationship Id="rId11" Type="http://schemas.openxmlformats.org/officeDocument/2006/relationships/drawing" Target="../drawings/drawing7.xml"/><Relationship Id="rId10" Type="http://schemas.openxmlformats.org/officeDocument/2006/relationships/hyperlink" Target="https://www.environment.nsw.gov.au/resources/government/160416PPA%20explainer.pdf" TargetMode="External"/><Relationship Id="rId9" Type="http://schemas.openxmlformats.org/officeDocument/2006/relationships/hyperlink" Target="https://www.aeic.gov.au/observations-and-recommendations/chapter-4-planning-permits" TargetMode="External"/><Relationship Id="rId5" Type="http://schemas.openxmlformats.org/officeDocument/2006/relationships/hyperlink" Target="https://www.vic.gov.au/preparing-wildlife-management-plan" TargetMode="External"/><Relationship Id="rId6" Type="http://schemas.openxmlformats.org/officeDocument/2006/relationships/hyperlink" Target="https://www.abc.net.au/news/2024-01-05/kerang-flash-flooding-stormwater-drainage-government/103281804" TargetMode="External"/><Relationship Id="rId7" Type="http://schemas.openxmlformats.org/officeDocument/2006/relationships/hyperlink" Target="https://www.epa.wa.gov.au/sites/default/files/Referral_Documentation/Appendix%205%20-%20Reflective%20Glare%20Assessment%20%28SLR%2C%202022%29.pdf" TargetMode="External"/><Relationship Id="rId8" Type="http://schemas.openxmlformats.org/officeDocument/2006/relationships/hyperlink" Target="https://www.planning.vic.gov.au/environmental-assessments/browse-projects/referrals/fulham-solar-far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tesla.com/megapack/design" TargetMode="External"/><Relationship Id="rId2" Type="http://schemas.openxmlformats.org/officeDocument/2006/relationships/hyperlink" Target="https://esolarfirst.en.made-in-china.com/product/ujemTCZOLVkA/China-Utility-Scale-Horizontal-Single-Axis-Solar-Tracking-System.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20.0"/>
  </cols>
  <sheetData>
    <row r="2">
      <c r="A2" s="1" t="s">
        <v>0</v>
      </c>
      <c r="B2" s="2">
        <f>'Preliminary Assessment'!F18</f>
        <v>855100</v>
      </c>
    </row>
    <row r="3">
      <c r="A3" s="3" t="s">
        <v>1</v>
      </c>
      <c r="B3" s="4">
        <f>'Permits &amp; Approvals'!F23</f>
        <v>446948.3</v>
      </c>
    </row>
    <row r="4">
      <c r="A4" s="5" t="s">
        <v>2</v>
      </c>
      <c r="B4" s="4">
        <f>'Design &amp; Engineering'!F23</f>
        <v>86393435</v>
      </c>
    </row>
    <row r="5">
      <c r="A5" s="6" t="s">
        <v>3</v>
      </c>
      <c r="B5" s="4">
        <f>'Financing &amp; Procurement'!F9</f>
        <v>70000</v>
      </c>
    </row>
    <row r="6">
      <c r="A6" s="7" t="s">
        <v>4</v>
      </c>
      <c r="B6" s="4">
        <f>Construction!F15</f>
        <v>16234144</v>
      </c>
    </row>
    <row r="7">
      <c r="A7" s="8" t="s">
        <v>5</v>
      </c>
      <c r="B7" s="4">
        <f>Validation!E10</f>
        <v>4700000</v>
      </c>
    </row>
    <row r="8">
      <c r="A8" s="9" t="s">
        <v>6</v>
      </c>
      <c r="B8" s="2">
        <f>SUM(B2:B7)</f>
        <v>108699627.3</v>
      </c>
    </row>
    <row r="17">
      <c r="A17" s="10" t="s">
        <v>7</v>
      </c>
      <c r="B17" s="11" t="s">
        <v>8</v>
      </c>
    </row>
    <row r="19">
      <c r="A19" s="12" t="s">
        <v>9</v>
      </c>
      <c r="B19" s="13">
        <v>0.3</v>
      </c>
    </row>
    <row r="20">
      <c r="A20" s="14" t="s">
        <v>10</v>
      </c>
      <c r="B20" s="14">
        <v>0.0</v>
      </c>
      <c r="C20" s="14">
        <v>1.0</v>
      </c>
      <c r="D20" s="14">
        <v>2.0</v>
      </c>
      <c r="E20" s="14">
        <v>3.0</v>
      </c>
      <c r="F20" s="14">
        <v>4.0</v>
      </c>
      <c r="G20" s="14">
        <v>5.0</v>
      </c>
      <c r="H20" s="14">
        <v>6.0</v>
      </c>
      <c r="I20" s="14">
        <v>7.0</v>
      </c>
      <c r="J20" s="14">
        <v>8.0</v>
      </c>
      <c r="K20" s="14">
        <v>9.0</v>
      </c>
      <c r="L20" s="14">
        <v>10.0</v>
      </c>
    </row>
    <row r="21">
      <c r="A21" s="12" t="s">
        <v>11</v>
      </c>
      <c r="B21" s="15">
        <f>-B8/1000000</f>
        <v>-108.6996273</v>
      </c>
      <c r="C21" s="15">
        <v>0.0</v>
      </c>
      <c r="D21" s="15">
        <v>0.0</v>
      </c>
      <c r="E21" s="15">
        <v>0.0</v>
      </c>
      <c r="F21" s="15">
        <v>0.0</v>
      </c>
      <c r="G21" s="15">
        <v>0.0</v>
      </c>
      <c r="H21" s="15">
        <v>0.0</v>
      </c>
      <c r="I21" s="15">
        <v>0.0</v>
      </c>
      <c r="J21" s="15">
        <v>0.0</v>
      </c>
      <c r="K21" s="15">
        <v>0.0</v>
      </c>
      <c r="L21" s="15">
        <v>0.0</v>
      </c>
    </row>
    <row r="22">
      <c r="A22" s="12" t="s">
        <v>12</v>
      </c>
      <c r="B22" s="15">
        <v>0.0</v>
      </c>
      <c r="C22" s="15">
        <f>-'Operating Costs'!C8/1000000</f>
        <v>-2.6418</v>
      </c>
      <c r="D22" s="15">
        <f>-'Operating Costs'!D8/1000000</f>
        <v>-2.7369048</v>
      </c>
      <c r="E22" s="15">
        <f>-'Operating Costs'!E8/1000000</f>
        <v>-2.835433373</v>
      </c>
      <c r="F22" s="15">
        <f>-'Operating Costs'!F8/1000000</f>
        <v>-2.937508974</v>
      </c>
      <c r="G22" s="15">
        <f>-'Operating Costs'!G8/1000000</f>
        <v>-3.043259297</v>
      </c>
      <c r="H22" s="15">
        <f>-'Operating Costs'!H8/1000000</f>
        <v>-3.152816632</v>
      </c>
      <c r="I22" s="15">
        <f>-'Operating Costs'!I8/1000000</f>
        <v>-3.266318031</v>
      </c>
      <c r="J22" s="15">
        <f>-'Operating Costs'!J8/1000000</f>
        <v>-3.38390548</v>
      </c>
      <c r="K22" s="15">
        <f>-'Operating Costs'!K8/1000000</f>
        <v>-3.505726077</v>
      </c>
      <c r="L22" s="15">
        <f>-'Operating Costs'!L8/1000000</f>
        <v>-3.631932216</v>
      </c>
    </row>
    <row r="23">
      <c r="A23" s="12" t="s">
        <v>13</v>
      </c>
      <c r="B23" s="15">
        <v>0.0</v>
      </c>
      <c r="C23" s="15">
        <f>'Solar Production'!$B$14 *1.036</f>
        <v>17.70463526</v>
      </c>
      <c r="D23" s="15">
        <f t="shared" ref="D23:H23" si="1">C23 *1.036</f>
        <v>18.34200213</v>
      </c>
      <c r="E23" s="15">
        <f t="shared" si="1"/>
        <v>19.0023142</v>
      </c>
      <c r="F23" s="15">
        <f t="shared" si="1"/>
        <v>19.68639752</v>
      </c>
      <c r="G23" s="15">
        <f t="shared" si="1"/>
        <v>20.39510783</v>
      </c>
      <c r="H23" s="15">
        <f t="shared" si="1"/>
        <v>21.12933171</v>
      </c>
      <c r="I23" s="15">
        <f t="shared" ref="I23:L23" si="2">H23*(2-1.026)</f>
        <v>20.57996908</v>
      </c>
      <c r="J23" s="15">
        <f t="shared" si="2"/>
        <v>20.04488989</v>
      </c>
      <c r="K23" s="15">
        <f t="shared" si="2"/>
        <v>19.52372275</v>
      </c>
      <c r="L23" s="15">
        <f t="shared" si="2"/>
        <v>19.01610596</v>
      </c>
    </row>
    <row r="24">
      <c r="A24" s="12" t="s">
        <v>14</v>
      </c>
      <c r="B24" s="15">
        <v>0.0</v>
      </c>
      <c r="C24" s="15">
        <f t="shared" ref="C24:L24" si="3">-(C23+C22)*0.3</f>
        <v>-4.518850578</v>
      </c>
      <c r="D24" s="15">
        <f t="shared" si="3"/>
        <v>-4.681529198</v>
      </c>
      <c r="E24" s="15">
        <f t="shared" si="3"/>
        <v>-4.85006425</v>
      </c>
      <c r="F24" s="15">
        <f t="shared" si="3"/>
        <v>-5.024666563</v>
      </c>
      <c r="G24" s="15">
        <f t="shared" si="3"/>
        <v>-5.205554559</v>
      </c>
      <c r="H24" s="15">
        <f t="shared" si="3"/>
        <v>-5.392954523</v>
      </c>
      <c r="I24" s="15">
        <f t="shared" si="3"/>
        <v>-5.194095316</v>
      </c>
      <c r="J24" s="15">
        <f t="shared" si="3"/>
        <v>-4.998295322</v>
      </c>
      <c r="K24" s="15">
        <f t="shared" si="3"/>
        <v>-4.805399002</v>
      </c>
      <c r="L24" s="15">
        <f t="shared" si="3"/>
        <v>-4.615252123</v>
      </c>
    </row>
    <row r="25">
      <c r="A25" s="16" t="s">
        <v>15</v>
      </c>
      <c r="B25" s="15">
        <f t="shared" ref="B25:L25" si="4">sum(B21:B24)</f>
        <v>-108.6996273</v>
      </c>
      <c r="C25" s="15">
        <f t="shared" si="4"/>
        <v>10.54398468</v>
      </c>
      <c r="D25" s="15">
        <f t="shared" si="4"/>
        <v>10.92356813</v>
      </c>
      <c r="E25" s="15">
        <f t="shared" si="4"/>
        <v>11.31681658</v>
      </c>
      <c r="F25" s="15">
        <f t="shared" si="4"/>
        <v>11.72422198</v>
      </c>
      <c r="G25" s="15">
        <f t="shared" si="4"/>
        <v>12.14629397</v>
      </c>
      <c r="H25" s="15">
        <f t="shared" si="4"/>
        <v>12.58356055</v>
      </c>
      <c r="I25" s="15">
        <f t="shared" si="4"/>
        <v>12.11955574</v>
      </c>
      <c r="J25" s="15">
        <f t="shared" si="4"/>
        <v>11.66268909</v>
      </c>
      <c r="K25" s="15">
        <f t="shared" si="4"/>
        <v>11.21259767</v>
      </c>
      <c r="L25" s="15">
        <f t="shared" si="4"/>
        <v>10.76892162</v>
      </c>
    </row>
    <row r="26">
      <c r="A26" s="16" t="s">
        <v>16</v>
      </c>
      <c r="B26" s="4">
        <f>SUM($B$25)</f>
        <v>-108.6996273</v>
      </c>
      <c r="C26" s="4">
        <f t="shared" ref="C26:L26" si="5">SUM($B$25:C25)</f>
        <v>-98.15564262</v>
      </c>
      <c r="D26" s="4">
        <f t="shared" si="5"/>
        <v>-87.23207449</v>
      </c>
      <c r="E26" s="4">
        <f t="shared" si="5"/>
        <v>-75.91525791</v>
      </c>
      <c r="F26" s="4">
        <f t="shared" si="5"/>
        <v>-64.19103593</v>
      </c>
      <c r="G26" s="4">
        <f t="shared" si="5"/>
        <v>-52.04474196</v>
      </c>
      <c r="H26" s="4">
        <f t="shared" si="5"/>
        <v>-39.4611814</v>
      </c>
      <c r="I26" s="4">
        <f t="shared" si="5"/>
        <v>-27.34162567</v>
      </c>
      <c r="J26" s="4">
        <f t="shared" si="5"/>
        <v>-15.67893658</v>
      </c>
      <c r="K26" s="4">
        <f t="shared" si="5"/>
        <v>-4.466338908</v>
      </c>
      <c r="L26" s="4">
        <f t="shared" si="5"/>
        <v>6.302582713</v>
      </c>
    </row>
    <row r="30">
      <c r="A30" s="10" t="s">
        <v>17</v>
      </c>
    </row>
    <row r="31">
      <c r="A31" s="12" t="s">
        <v>18</v>
      </c>
      <c r="B31" s="13">
        <v>0.06</v>
      </c>
      <c r="M31" s="17"/>
    </row>
    <row r="32">
      <c r="A32" s="14"/>
      <c r="B32" s="14">
        <v>0.0</v>
      </c>
      <c r="C32" s="14">
        <v>1.0</v>
      </c>
      <c r="D32" s="14">
        <v>2.0</v>
      </c>
      <c r="E32" s="14">
        <v>3.0</v>
      </c>
      <c r="F32" s="14">
        <v>4.0</v>
      </c>
      <c r="G32" s="14">
        <v>5.0</v>
      </c>
      <c r="H32" s="14">
        <v>6.0</v>
      </c>
      <c r="I32" s="14">
        <v>7.0</v>
      </c>
      <c r="J32" s="14">
        <v>8.0</v>
      </c>
      <c r="K32" s="14">
        <v>9.0</v>
      </c>
      <c r="L32" s="14">
        <v>10.0</v>
      </c>
      <c r="M32" s="17"/>
      <c r="N32" s="17"/>
      <c r="O32" s="17"/>
      <c r="P32" s="17"/>
      <c r="Q32" s="17"/>
      <c r="R32" s="17"/>
      <c r="S32" s="17"/>
      <c r="T32" s="17"/>
      <c r="U32" s="17"/>
      <c r="V32" s="17"/>
    </row>
    <row r="33">
      <c r="A33" s="11" t="s">
        <v>15</v>
      </c>
      <c r="B33" s="4">
        <f t="shared" ref="B33:L33" si="6">B25</f>
        <v>-108.6996273</v>
      </c>
      <c r="C33" s="4">
        <f t="shared" si="6"/>
        <v>10.54398468</v>
      </c>
      <c r="D33" s="4">
        <f t="shared" si="6"/>
        <v>10.92356813</v>
      </c>
      <c r="E33" s="4">
        <f t="shared" si="6"/>
        <v>11.31681658</v>
      </c>
      <c r="F33" s="4">
        <f t="shared" si="6"/>
        <v>11.72422198</v>
      </c>
      <c r="G33" s="4">
        <f t="shared" si="6"/>
        <v>12.14629397</v>
      </c>
      <c r="H33" s="4">
        <f t="shared" si="6"/>
        <v>12.58356055</v>
      </c>
      <c r="I33" s="4">
        <f t="shared" si="6"/>
        <v>12.11955574</v>
      </c>
      <c r="J33" s="4">
        <f t="shared" si="6"/>
        <v>11.66268909</v>
      </c>
      <c r="K33" s="4">
        <f t="shared" si="6"/>
        <v>11.21259767</v>
      </c>
      <c r="L33" s="4">
        <f t="shared" si="6"/>
        <v>10.76892162</v>
      </c>
    </row>
    <row r="34">
      <c r="A34" s="11" t="s">
        <v>19</v>
      </c>
      <c r="B34" s="11">
        <v>1.0</v>
      </c>
      <c r="C34" s="18">
        <f t="shared" ref="C34:L34" si="7">$B$31*B34+B34</f>
        <v>1.06</v>
      </c>
      <c r="D34" s="18">
        <f t="shared" si="7"/>
        <v>1.1236</v>
      </c>
      <c r="E34" s="18">
        <f t="shared" si="7"/>
        <v>1.191016</v>
      </c>
      <c r="F34" s="18">
        <f t="shared" si="7"/>
        <v>1.26247696</v>
      </c>
      <c r="G34" s="18">
        <f t="shared" si="7"/>
        <v>1.338225578</v>
      </c>
      <c r="H34" s="18">
        <f t="shared" si="7"/>
        <v>1.418519112</v>
      </c>
      <c r="I34" s="18">
        <f t="shared" si="7"/>
        <v>1.503630259</v>
      </c>
      <c r="J34" s="18">
        <f t="shared" si="7"/>
        <v>1.593848075</v>
      </c>
      <c r="K34" s="18">
        <f t="shared" si="7"/>
        <v>1.689478959</v>
      </c>
      <c r="L34" s="18">
        <f t="shared" si="7"/>
        <v>1.790847697</v>
      </c>
    </row>
    <row r="35">
      <c r="A35" s="11" t="s">
        <v>20</v>
      </c>
      <c r="B35" s="4">
        <f t="shared" ref="B35:L35" si="8">B33/B34</f>
        <v>-108.6996273</v>
      </c>
      <c r="C35" s="4">
        <f t="shared" si="8"/>
        <v>9.94715536</v>
      </c>
      <c r="D35" s="4">
        <f t="shared" si="8"/>
        <v>9.721936748</v>
      </c>
      <c r="E35" s="4">
        <f t="shared" si="8"/>
        <v>9.501817425</v>
      </c>
      <c r="F35" s="4">
        <f t="shared" si="8"/>
        <v>9.286681936</v>
      </c>
      <c r="G35" s="4">
        <f t="shared" si="8"/>
        <v>9.07641744</v>
      </c>
      <c r="H35" s="4">
        <f t="shared" si="8"/>
        <v>8.870913649</v>
      </c>
      <c r="I35" s="4">
        <f t="shared" si="8"/>
        <v>8.060196757</v>
      </c>
      <c r="J35" s="4">
        <f t="shared" si="8"/>
        <v>7.317315415</v>
      </c>
      <c r="K35" s="4">
        <f t="shared" si="8"/>
        <v>6.636719334</v>
      </c>
      <c r="L35" s="4">
        <f t="shared" si="8"/>
        <v>6.013309586</v>
      </c>
    </row>
    <row r="36">
      <c r="A36" s="11" t="s">
        <v>21</v>
      </c>
      <c r="B36" s="4">
        <f>B35</f>
        <v>-108.6996273</v>
      </c>
      <c r="C36" s="4">
        <f t="shared" ref="C36:L36" si="9">SUM($B$35:C35)</f>
        <v>-98.75247194</v>
      </c>
      <c r="D36" s="4">
        <f t="shared" si="9"/>
        <v>-89.03053519</v>
      </c>
      <c r="E36" s="4">
        <f t="shared" si="9"/>
        <v>-79.52871777</v>
      </c>
      <c r="F36" s="4">
        <f t="shared" si="9"/>
        <v>-70.24203583</v>
      </c>
      <c r="G36" s="4">
        <f t="shared" si="9"/>
        <v>-61.16561839</v>
      </c>
      <c r="H36" s="4">
        <f t="shared" si="9"/>
        <v>-52.29470474</v>
      </c>
      <c r="I36" s="4">
        <f t="shared" si="9"/>
        <v>-44.23450799</v>
      </c>
      <c r="J36" s="4">
        <f t="shared" si="9"/>
        <v>-36.91719257</v>
      </c>
      <c r="K36" s="4">
        <f t="shared" si="9"/>
        <v>-30.28047324</v>
      </c>
      <c r="L36" s="4">
        <f t="shared" si="9"/>
        <v>-24.26716365</v>
      </c>
    </row>
    <row r="40">
      <c r="A40" s="10"/>
    </row>
  </sheetData>
  <hyperlinks>
    <hyperlink display="Preliminary Assessment" location="'Preliminary Assessment'!A1" ref="A2"/>
    <hyperlink display="Permits &amp; Approvals" location="'Permits &amp; Approvals'!A1" ref="A3"/>
    <hyperlink display="Design &amp; Engineering" location="'Design &amp; Engineering'!A1" ref="A4"/>
    <hyperlink display="Financing &amp; Procurement" location="'Financing &amp; Procurement'!A1" ref="A5"/>
    <hyperlink display="Construction" location="Construction!A1" ref="A6"/>
    <hyperlink display="Validation" location="Validation!A1" ref="A7"/>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28.25"/>
    <col customWidth="1" min="5" max="5" width="81.88"/>
  </cols>
  <sheetData>
    <row r="2">
      <c r="G2" s="85" t="s">
        <v>187</v>
      </c>
      <c r="H2" s="85">
        <v>1.0</v>
      </c>
    </row>
    <row r="4">
      <c r="B4" s="26" t="s">
        <v>81</v>
      </c>
      <c r="C4" s="26" t="s">
        <v>82</v>
      </c>
      <c r="D4" s="26" t="s">
        <v>83</v>
      </c>
      <c r="E4" s="26" t="s">
        <v>84</v>
      </c>
    </row>
    <row r="5">
      <c r="A5" s="27" t="s">
        <v>188</v>
      </c>
      <c r="B5" s="28" t="s">
        <v>189</v>
      </c>
      <c r="C5" s="86">
        <v>320000.0</v>
      </c>
      <c r="D5" s="32"/>
      <c r="E5" s="28" t="s">
        <v>190</v>
      </c>
    </row>
    <row r="6">
      <c r="B6" s="28" t="s">
        <v>191</v>
      </c>
      <c r="C6" s="86">
        <v>2000000.0</v>
      </c>
      <c r="D6" s="32"/>
      <c r="E6" s="28" t="s">
        <v>192</v>
      </c>
    </row>
    <row r="7">
      <c r="B7" s="28" t="s">
        <v>193</v>
      </c>
      <c r="C7" s="87">
        <f>100000*125*$H$2</f>
        <v>12500000</v>
      </c>
      <c r="D7" s="30" t="s">
        <v>194</v>
      </c>
      <c r="E7" s="28" t="s">
        <v>195</v>
      </c>
    </row>
    <row r="8">
      <c r="B8" s="28" t="s">
        <v>196</v>
      </c>
      <c r="C8" s="86">
        <v>500000.0</v>
      </c>
      <c r="D8" s="32"/>
      <c r="E8" s="28" t="s">
        <v>197</v>
      </c>
      <c r="F8" s="4">
        <f>sum(C5:C7)</f>
        <v>14820000</v>
      </c>
    </row>
    <row r="9">
      <c r="A9" s="54" t="s">
        <v>198</v>
      </c>
      <c r="B9" s="82" t="s">
        <v>199</v>
      </c>
      <c r="C9" s="88">
        <f>34*52*8+50000</f>
        <v>64144</v>
      </c>
      <c r="D9" s="89" t="s">
        <v>200</v>
      </c>
      <c r="E9" s="82" t="s">
        <v>201</v>
      </c>
    </row>
    <row r="10">
      <c r="B10" s="82" t="s">
        <v>202</v>
      </c>
      <c r="C10" s="83">
        <v>500000.0</v>
      </c>
      <c r="D10" s="84"/>
      <c r="E10" s="84"/>
      <c r="F10" s="4">
        <f>sum(C9:C10)</f>
        <v>564144</v>
      </c>
    </row>
    <row r="11">
      <c r="A11" s="90" t="s">
        <v>4</v>
      </c>
      <c r="B11" s="91" t="s">
        <v>203</v>
      </c>
      <c r="C11" s="92">
        <v>350000.0</v>
      </c>
      <c r="D11" s="93"/>
      <c r="E11" s="93"/>
    </row>
    <row r="12">
      <c r="B12" s="91" t="s">
        <v>204</v>
      </c>
      <c r="C12" s="92">
        <v>500000.0</v>
      </c>
      <c r="D12" s="93"/>
      <c r="E12" s="93"/>
      <c r="F12" s="4">
        <f>sum(C11+C12)</f>
        <v>850000</v>
      </c>
    </row>
    <row r="15">
      <c r="E15" s="11" t="s">
        <v>205</v>
      </c>
      <c r="F15" s="59">
        <f>sum(F8+F10+F12)</f>
        <v>16234144</v>
      </c>
    </row>
  </sheetData>
  <mergeCells count="3">
    <mergeCell ref="A5:A8"/>
    <mergeCell ref="A9:A10"/>
    <mergeCell ref="A11:A12"/>
  </mergeCells>
  <hyperlinks>
    <hyperlink r:id="rId1" ref="D7"/>
    <hyperlink r:id="rId2" ref="D9"/>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4" max="4" width="51.13"/>
  </cols>
  <sheetData>
    <row r="4">
      <c r="A4" s="26" t="s">
        <v>81</v>
      </c>
      <c r="B4" s="26" t="s">
        <v>82</v>
      </c>
      <c r="C4" s="26" t="s">
        <v>83</v>
      </c>
      <c r="D4" s="26" t="s">
        <v>84</v>
      </c>
    </row>
    <row r="5">
      <c r="A5" s="27" t="s">
        <v>206</v>
      </c>
      <c r="B5" s="86">
        <v>1500000.0</v>
      </c>
      <c r="C5" s="32"/>
      <c r="D5" s="28" t="s">
        <v>207</v>
      </c>
    </row>
    <row r="6">
      <c r="A6" s="54" t="s">
        <v>208</v>
      </c>
      <c r="B6" s="83">
        <v>3000000.0</v>
      </c>
      <c r="C6" s="84"/>
      <c r="D6" s="82" t="s">
        <v>209</v>
      </c>
    </row>
    <row r="7">
      <c r="A7" s="90" t="s">
        <v>210</v>
      </c>
      <c r="B7" s="92">
        <v>200000.0</v>
      </c>
      <c r="C7" s="93"/>
      <c r="D7" s="91" t="s">
        <v>211</v>
      </c>
      <c r="E7" s="4">
        <f>sum(B5:B7)</f>
        <v>4700000</v>
      </c>
    </row>
    <row r="10">
      <c r="D10" s="11" t="s">
        <v>212</v>
      </c>
      <c r="E10" s="4">
        <f>sum(E7)</f>
        <v>4700000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s>
  <sheetData>
    <row r="1">
      <c r="A1" s="11" t="s">
        <v>213</v>
      </c>
    </row>
    <row r="2">
      <c r="A2" s="11" t="s">
        <v>214</v>
      </c>
      <c r="B2" s="11">
        <v>240000.0</v>
      </c>
    </row>
    <row r="3">
      <c r="A3" s="11" t="s">
        <v>215</v>
      </c>
      <c r="B3" s="11">
        <v>30.0</v>
      </c>
    </row>
    <row r="4">
      <c r="A4" s="11" t="s">
        <v>216</v>
      </c>
      <c r="B4" s="11">
        <v>1500.0</v>
      </c>
    </row>
    <row r="5">
      <c r="A5" s="11" t="s">
        <v>217</v>
      </c>
      <c r="B5" s="11">
        <v>300000.0</v>
      </c>
    </row>
    <row r="6">
      <c r="A6" s="11" t="s">
        <v>218</v>
      </c>
      <c r="B6" s="11">
        <v>12.0</v>
      </c>
    </row>
    <row r="8">
      <c r="A8" s="11" t="s">
        <v>219</v>
      </c>
      <c r="B8" s="11" t="s">
        <v>220</v>
      </c>
    </row>
    <row r="9">
      <c r="A9" s="11" t="s">
        <v>221</v>
      </c>
      <c r="B9" s="11" t="s">
        <v>222</v>
      </c>
      <c r="C9" s="18">
        <f>ROUND(B4/B6,0)</f>
        <v>125</v>
      </c>
      <c r="D9" s="11" t="s">
        <v>223</v>
      </c>
      <c r="E9" s="18">
        <f>(B5/C9)/B3</f>
        <v>80</v>
      </c>
    </row>
    <row r="10">
      <c r="A10" s="11" t="s">
        <v>224</v>
      </c>
      <c r="B10" s="18">
        <f>B2*B3</f>
        <v>7200000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16.88"/>
    <col customWidth="1" min="4" max="4" width="27.63"/>
  </cols>
  <sheetData>
    <row r="1">
      <c r="A1" s="11" t="s">
        <v>22</v>
      </c>
      <c r="B1" s="11" t="s">
        <v>23</v>
      </c>
      <c r="D1" s="19" t="s">
        <v>24</v>
      </c>
      <c r="E1" s="11">
        <v>0.8</v>
      </c>
      <c r="F1" s="11">
        <v>0.82</v>
      </c>
      <c r="G1" s="11">
        <v>0.84</v>
      </c>
      <c r="H1" s="11">
        <v>0.86</v>
      </c>
      <c r="I1" s="11">
        <v>0.880000000000001</v>
      </c>
      <c r="J1" s="11">
        <v>0.900000000000001</v>
      </c>
      <c r="K1" s="11">
        <v>0.920000000000001</v>
      </c>
      <c r="L1" s="11">
        <v>0.940000000000001</v>
      </c>
      <c r="M1" s="11">
        <v>0.960000000000001</v>
      </c>
      <c r="N1" s="11">
        <v>0.980000000000001</v>
      </c>
      <c r="O1" s="11">
        <v>1.0</v>
      </c>
      <c r="P1" s="11">
        <v>1.02</v>
      </c>
      <c r="Q1" s="11">
        <v>1.04</v>
      </c>
      <c r="R1" s="11">
        <v>1.06</v>
      </c>
      <c r="S1" s="11">
        <v>1.08</v>
      </c>
      <c r="T1" s="11">
        <v>1.1</v>
      </c>
      <c r="U1" s="11">
        <v>1.12</v>
      </c>
      <c r="V1" s="11">
        <v>1.14</v>
      </c>
      <c r="W1" s="11">
        <v>1.16</v>
      </c>
      <c r="X1" s="11">
        <v>1.18</v>
      </c>
      <c r="Y1" s="11">
        <v>1.2</v>
      </c>
    </row>
    <row r="2">
      <c r="A2" s="11" t="s">
        <v>25</v>
      </c>
      <c r="B2" s="11" t="s">
        <v>26</v>
      </c>
      <c r="D2" s="11" t="s">
        <v>27</v>
      </c>
      <c r="E2" s="20">
        <v>4.839614842745709</v>
      </c>
      <c r="F2" s="20">
        <v>4.985911629721876</v>
      </c>
      <c r="G2" s="20">
        <v>5.13220841669807</v>
      </c>
      <c r="H2" s="20">
        <v>5.2785052036742</v>
      </c>
      <c r="I2" s="20">
        <v>5.42480199065038</v>
      </c>
      <c r="J2" s="20">
        <v>5.571098777626531</v>
      </c>
      <c r="K2" s="20">
        <v>5.717395564602768</v>
      </c>
      <c r="L2" s="20">
        <v>5.863692351578884</v>
      </c>
      <c r="M2" s="20">
        <v>6.0099891385551185</v>
      </c>
      <c r="N2" s="20">
        <v>6.156285925531314</v>
      </c>
      <c r="O2" s="20">
        <v>6.3025827125074425</v>
      </c>
      <c r="P2" s="20">
        <v>6.448879499483606</v>
      </c>
      <c r="Q2" s="20">
        <v>6.595176286459781</v>
      </c>
      <c r="R2" s="20">
        <v>6.741473073435969</v>
      </c>
      <c r="S2" s="20">
        <v>6.88776986041213</v>
      </c>
      <c r="T2" s="20">
        <v>7.034066647388292</v>
      </c>
      <c r="U2" s="20">
        <v>7.180363434364503</v>
      </c>
      <c r="V2" s="20">
        <v>7.326660221340628</v>
      </c>
      <c r="W2" s="20">
        <v>7.472957008316849</v>
      </c>
      <c r="X2" s="20">
        <v>7.619253795292948</v>
      </c>
      <c r="Y2" s="20">
        <v>7.7655505822691975</v>
      </c>
    </row>
    <row r="3">
      <c r="A3" s="11" t="s">
        <v>25</v>
      </c>
      <c r="B3" s="11" t="s">
        <v>28</v>
      </c>
      <c r="D3" s="11" t="s">
        <v>29</v>
      </c>
      <c r="E3" s="20">
        <v>-20.040420044633336</v>
      </c>
      <c r="F3" s="20">
        <v>-17.40611976891927</v>
      </c>
      <c r="G3" s="20">
        <v>-14.771819493205186</v>
      </c>
      <c r="H3" s="20">
        <v>-12.137519217491082</v>
      </c>
      <c r="I3" s="20">
        <v>-9.5032189417769</v>
      </c>
      <c r="J3" s="20">
        <v>-6.8689186660628465</v>
      </c>
      <c r="K3" s="20">
        <v>-4.2346183903487375</v>
      </c>
      <c r="L3" s="20">
        <v>-1.6003181146346606</v>
      </c>
      <c r="M3" s="20">
        <v>1.0339821610794502</v>
      </c>
      <c r="N3" s="20">
        <v>3.6682824367934774</v>
      </c>
      <c r="O3" s="20">
        <v>6.3025827125074425</v>
      </c>
      <c r="P3" s="20">
        <v>8.936882988221486</v>
      </c>
      <c r="Q3" s="20">
        <v>11.571183263935588</v>
      </c>
      <c r="R3" s="20">
        <v>14.205483539649645</v>
      </c>
      <c r="S3" s="20">
        <v>16.839783815363738</v>
      </c>
      <c r="T3" s="20">
        <v>19.474084091077827</v>
      </c>
      <c r="U3" s="20">
        <v>22.108384366791917</v>
      </c>
      <c r="V3" s="20">
        <v>24.742684642505957</v>
      </c>
      <c r="W3" s="20">
        <v>27.376984918219996</v>
      </c>
      <c r="X3" s="20">
        <v>30.01128519393412</v>
      </c>
      <c r="Y3" s="20">
        <v>32.64558546964816</v>
      </c>
    </row>
    <row r="4">
      <c r="A4" s="11" t="s">
        <v>2</v>
      </c>
      <c r="B4" s="11" t="s">
        <v>30</v>
      </c>
      <c r="D4" s="11" t="s">
        <v>31</v>
      </c>
      <c r="E4" s="20">
        <v>12.782582712507446</v>
      </c>
      <c r="F4" s="20">
        <v>12.13458271250745</v>
      </c>
      <c r="G4" s="20">
        <v>11.486582712507454</v>
      </c>
      <c r="H4" s="20">
        <v>10.838582712507444</v>
      </c>
      <c r="I4" s="20">
        <v>10.19058271250742</v>
      </c>
      <c r="J4" s="20">
        <v>9.542582712507423</v>
      </c>
      <c r="K4" s="20">
        <v>8.894582712507413</v>
      </c>
      <c r="L4" s="20">
        <v>8.246582712507417</v>
      </c>
      <c r="M4" s="20">
        <v>7.598582712507421</v>
      </c>
      <c r="N4" s="20">
        <v>6.950582712507424</v>
      </c>
      <c r="O4" s="20">
        <v>6.3025827125074425</v>
      </c>
      <c r="P4" s="20">
        <v>5.654582712507448</v>
      </c>
      <c r="Q4" s="20">
        <v>5.006582712507452</v>
      </c>
      <c r="R4" s="20">
        <v>4.358582712507456</v>
      </c>
      <c r="S4" s="20">
        <v>3.7105827125074455</v>
      </c>
      <c r="T4" s="20">
        <v>3.0625827125074494</v>
      </c>
      <c r="U4" s="20">
        <v>2.4145827125074533</v>
      </c>
      <c r="V4" s="20">
        <v>1.7665827125074571</v>
      </c>
      <c r="W4" s="20">
        <v>1.1185827125074468</v>
      </c>
      <c r="X4" s="20">
        <v>0.47058271250745065</v>
      </c>
      <c r="Y4" s="20">
        <v>-0.17741728749254548</v>
      </c>
    </row>
    <row r="5">
      <c r="A5" s="11" t="s">
        <v>2</v>
      </c>
      <c r="B5" s="11" t="s">
        <v>32</v>
      </c>
      <c r="D5" s="11" t="s">
        <v>33</v>
      </c>
      <c r="E5" s="20">
        <v>13.65326971250745</v>
      </c>
      <c r="F5" s="20">
        <v>12.918201012507451</v>
      </c>
      <c r="G5" s="20">
        <v>12.183132312507437</v>
      </c>
      <c r="H5" s="20">
        <v>11.448063612507452</v>
      </c>
      <c r="I5" s="20">
        <v>10.71299491250741</v>
      </c>
      <c r="J5" s="20">
        <v>9.977926212507425</v>
      </c>
      <c r="K5" s="20">
        <v>9.242857512507397</v>
      </c>
      <c r="L5" s="20">
        <v>8.507788812507412</v>
      </c>
      <c r="M5" s="20">
        <v>7.772720112507413</v>
      </c>
      <c r="N5" s="20">
        <v>7.037651412507413</v>
      </c>
      <c r="O5" s="20">
        <v>6.3025827125074425</v>
      </c>
      <c r="P5" s="20">
        <v>5.567514012507445</v>
      </c>
      <c r="Q5" s="20">
        <v>4.832445312507446</v>
      </c>
      <c r="R5" s="20">
        <v>4.09737661250746</v>
      </c>
      <c r="S5" s="20">
        <v>3.3623079125074327</v>
      </c>
      <c r="T5" s="20">
        <v>2.6272392125074475</v>
      </c>
      <c r="U5" s="20">
        <v>1.8921705125074482</v>
      </c>
      <c r="V5" s="20">
        <v>1.1571018125074488</v>
      </c>
      <c r="W5" s="20">
        <v>0.42203311250744946</v>
      </c>
      <c r="X5" s="20">
        <v>-0.3130355874925499</v>
      </c>
      <c r="Y5" s="20">
        <v>-1.0481042874925492</v>
      </c>
    </row>
    <row r="6">
      <c r="A6" s="11" t="s">
        <v>4</v>
      </c>
      <c r="B6" s="11" t="s">
        <v>34</v>
      </c>
      <c r="D6" s="11" t="s">
        <v>35</v>
      </c>
      <c r="E6" s="20">
        <v>8.802582712507443</v>
      </c>
      <c r="F6" s="20">
        <v>8.552582712507443</v>
      </c>
      <c r="G6" s="20">
        <v>8.302582712507443</v>
      </c>
      <c r="H6" s="20">
        <v>8.052582712507443</v>
      </c>
      <c r="I6" s="20">
        <v>7.802582712507428</v>
      </c>
      <c r="J6" s="20">
        <v>7.552582712507428</v>
      </c>
      <c r="K6" s="20">
        <v>7.302582712507428</v>
      </c>
      <c r="L6" s="20">
        <v>7.052582712507428</v>
      </c>
      <c r="M6" s="20">
        <v>6.802582712507428</v>
      </c>
      <c r="N6" s="20">
        <v>6.552582712507428</v>
      </c>
      <c r="O6" s="20">
        <v>6.3025827125074425</v>
      </c>
      <c r="P6" s="20">
        <v>6.0525827125074425</v>
      </c>
      <c r="Q6" s="20">
        <v>5.802582712507444</v>
      </c>
      <c r="R6" s="20">
        <v>5.552582712507444</v>
      </c>
      <c r="S6" s="20">
        <v>5.302582712507444</v>
      </c>
      <c r="T6" s="20">
        <v>5.052582712507444</v>
      </c>
      <c r="U6" s="20">
        <v>4.802582712507444</v>
      </c>
      <c r="V6" s="20">
        <v>4.552582712507444</v>
      </c>
      <c r="W6" s="20">
        <v>4.302582712507444</v>
      </c>
      <c r="X6" s="20">
        <v>4.052582712507444</v>
      </c>
      <c r="Y6" s="20">
        <v>3.8025827125074443</v>
      </c>
    </row>
    <row r="7">
      <c r="A7" s="11" t="s">
        <v>36</v>
      </c>
      <c r="B7" s="11" t="s">
        <v>37</v>
      </c>
      <c r="D7" s="11" t="s">
        <v>38</v>
      </c>
      <c r="E7" s="20">
        <v>10.661567395699644</v>
      </c>
      <c r="F7" s="20">
        <v>10.225668927380408</v>
      </c>
      <c r="G7" s="20">
        <v>9.789770459061188</v>
      </c>
      <c r="H7" s="20">
        <v>9.353871990741975</v>
      </c>
      <c r="I7" s="20">
        <v>8.917973522422745</v>
      </c>
      <c r="J7" s="20">
        <v>8.482075054103522</v>
      </c>
      <c r="K7" s="20">
        <v>8.046176585784277</v>
      </c>
      <c r="L7" s="20">
        <v>7.610278117465073</v>
      </c>
      <c r="M7" s="20">
        <v>7.174379649145861</v>
      </c>
      <c r="N7" s="20">
        <v>6.738481180826648</v>
      </c>
      <c r="O7" s="20">
        <v>6.3025827125074425</v>
      </c>
      <c r="P7" s="20">
        <v>5.866684244188228</v>
      </c>
      <c r="Q7" s="20">
        <v>5.430785775869021</v>
      </c>
      <c r="R7" s="20">
        <v>4.994887307549783</v>
      </c>
      <c r="S7" s="20">
        <v>4.558988839230569</v>
      </c>
      <c r="T7" s="20">
        <v>4.123090370911353</v>
      </c>
      <c r="U7" s="20">
        <v>3.6871919025921436</v>
      </c>
      <c r="V7" s="20">
        <v>3.2512934342729096</v>
      </c>
      <c r="W7" s="20">
        <v>2.815394965953704</v>
      </c>
      <c r="X7" s="20">
        <v>2.3794964976344826</v>
      </c>
      <c r="Y7" s="20">
        <v>1.943598029315277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25"/>
    <col customWidth="1" min="12" max="12" width="15.75"/>
    <col customWidth="1" min="15" max="15" width="20.75"/>
    <col customWidth="1" min="17" max="17" width="20.88"/>
  </cols>
  <sheetData>
    <row r="1">
      <c r="A1" s="21" t="s">
        <v>39</v>
      </c>
    </row>
    <row r="2">
      <c r="A2" s="22" t="s">
        <v>40</v>
      </c>
    </row>
    <row r="3">
      <c r="A3" s="9" t="s">
        <v>41</v>
      </c>
      <c r="B3" s="11" t="s">
        <v>42</v>
      </c>
      <c r="C3" s="11" t="s">
        <v>43</v>
      </c>
      <c r="D3" s="11" t="s">
        <v>44</v>
      </c>
      <c r="E3" s="11" t="s">
        <v>45</v>
      </c>
      <c r="F3" s="11" t="s">
        <v>46</v>
      </c>
      <c r="G3" s="11" t="s">
        <v>47</v>
      </c>
      <c r="H3" s="11" t="s">
        <v>48</v>
      </c>
      <c r="I3" s="11" t="s">
        <v>49</v>
      </c>
      <c r="J3" s="11" t="s">
        <v>50</v>
      </c>
      <c r="K3" s="11" t="s">
        <v>51</v>
      </c>
      <c r="L3" s="11" t="s">
        <v>52</v>
      </c>
      <c r="M3" s="11" t="s">
        <v>53</v>
      </c>
      <c r="O3" s="11" t="s">
        <v>54</v>
      </c>
      <c r="P3" s="11" t="s">
        <v>55</v>
      </c>
      <c r="Q3" s="11" t="s">
        <v>56</v>
      </c>
    </row>
    <row r="4">
      <c r="A4" s="11" t="s">
        <v>57</v>
      </c>
      <c r="B4" s="11">
        <v>65.9</v>
      </c>
      <c r="C4" s="11">
        <v>58.3</v>
      </c>
      <c r="D4" s="11">
        <v>47.5</v>
      </c>
      <c r="E4" s="11">
        <v>33.8</v>
      </c>
      <c r="F4" s="11">
        <v>23.4</v>
      </c>
      <c r="G4" s="11">
        <v>18.4</v>
      </c>
      <c r="H4" s="11">
        <v>19.8</v>
      </c>
      <c r="I4" s="11">
        <v>27.6</v>
      </c>
      <c r="J4" s="11">
        <v>37.8</v>
      </c>
      <c r="K4" s="11">
        <v>50.5</v>
      </c>
      <c r="L4" s="11">
        <v>58.6</v>
      </c>
      <c r="M4" s="11">
        <v>65.4</v>
      </c>
      <c r="O4" s="11">
        <f>P4*Q4</f>
        <v>203.6</v>
      </c>
      <c r="P4" s="11">
        <v>50.9</v>
      </c>
      <c r="Q4" s="11">
        <v>4.0</v>
      </c>
    </row>
    <row r="5">
      <c r="A5" s="11" t="s">
        <v>58</v>
      </c>
      <c r="B5" s="18">
        <f t="shared" ref="B5:M5" si="1">(B4*10000)/1000</f>
        <v>659</v>
      </c>
      <c r="C5" s="18">
        <f t="shared" si="1"/>
        <v>583</v>
      </c>
      <c r="D5" s="18">
        <f t="shared" si="1"/>
        <v>475</v>
      </c>
      <c r="E5" s="18">
        <f t="shared" si="1"/>
        <v>338</v>
      </c>
      <c r="F5" s="18">
        <f t="shared" si="1"/>
        <v>234</v>
      </c>
      <c r="G5" s="18">
        <f t="shared" si="1"/>
        <v>184</v>
      </c>
      <c r="H5" s="18">
        <f t="shared" si="1"/>
        <v>198</v>
      </c>
      <c r="I5" s="18">
        <f t="shared" si="1"/>
        <v>276</v>
      </c>
      <c r="J5" s="18">
        <f t="shared" si="1"/>
        <v>378</v>
      </c>
      <c r="K5" s="18">
        <f t="shared" si="1"/>
        <v>505</v>
      </c>
      <c r="L5" s="18">
        <f t="shared" si="1"/>
        <v>586</v>
      </c>
      <c r="M5" s="18">
        <f t="shared" si="1"/>
        <v>654</v>
      </c>
    </row>
    <row r="6">
      <c r="A6" s="11" t="s">
        <v>59</v>
      </c>
      <c r="B6" s="18">
        <f t="shared" ref="B6:M6" si="2">B5/$O$4</f>
        <v>3.236738703</v>
      </c>
      <c r="C6" s="18">
        <f t="shared" si="2"/>
        <v>2.86345776</v>
      </c>
      <c r="D6" s="18">
        <f t="shared" si="2"/>
        <v>2.333005894</v>
      </c>
      <c r="E6" s="18">
        <f t="shared" si="2"/>
        <v>1.660117878</v>
      </c>
      <c r="F6" s="18">
        <f t="shared" si="2"/>
        <v>1.149312377</v>
      </c>
      <c r="G6" s="18">
        <f t="shared" si="2"/>
        <v>0.9037328094</v>
      </c>
      <c r="H6" s="18">
        <f t="shared" si="2"/>
        <v>0.9724950884</v>
      </c>
      <c r="I6" s="18">
        <f t="shared" si="2"/>
        <v>1.355599214</v>
      </c>
      <c r="J6" s="18">
        <f t="shared" si="2"/>
        <v>1.856581532</v>
      </c>
      <c r="K6" s="18">
        <f t="shared" si="2"/>
        <v>2.480353635</v>
      </c>
      <c r="L6" s="18">
        <f t="shared" si="2"/>
        <v>2.878192534</v>
      </c>
      <c r="M6" s="18">
        <f t="shared" si="2"/>
        <v>3.212180747</v>
      </c>
      <c r="O6" s="11" t="s">
        <v>60</v>
      </c>
      <c r="P6" s="11">
        <v>1.0</v>
      </c>
    </row>
    <row r="7">
      <c r="A7" s="11" t="s">
        <v>61</v>
      </c>
      <c r="B7" s="23">
        <v>2.0</v>
      </c>
      <c r="C7" s="23">
        <v>1.8</v>
      </c>
      <c r="D7" s="23">
        <v>1.5</v>
      </c>
      <c r="E7" s="23">
        <v>1.2</v>
      </c>
      <c r="F7" s="23">
        <v>1.0</v>
      </c>
      <c r="G7" s="23">
        <v>0.9</v>
      </c>
      <c r="H7" s="23">
        <v>0.97</v>
      </c>
      <c r="I7" s="23">
        <v>1.1</v>
      </c>
      <c r="J7" s="23">
        <v>1.3</v>
      </c>
      <c r="K7" s="23">
        <v>1.6</v>
      </c>
      <c r="L7" s="23">
        <v>1.8</v>
      </c>
      <c r="M7" s="23">
        <v>2.0</v>
      </c>
      <c r="O7" s="11" t="s">
        <v>62</v>
      </c>
      <c r="P7" s="11">
        <v>1.0</v>
      </c>
    </row>
    <row r="8">
      <c r="A8" s="11" t="s">
        <v>63</v>
      </c>
      <c r="B8" s="18">
        <f t="shared" ref="B8:M8" si="3">B7*$O$4</f>
        <v>407.2</v>
      </c>
      <c r="C8" s="18">
        <f t="shared" si="3"/>
        <v>366.48</v>
      </c>
      <c r="D8" s="18">
        <f t="shared" si="3"/>
        <v>305.4</v>
      </c>
      <c r="E8" s="18">
        <f t="shared" si="3"/>
        <v>244.32</v>
      </c>
      <c r="F8" s="18">
        <f t="shared" si="3"/>
        <v>203.6</v>
      </c>
      <c r="G8" s="18">
        <f t="shared" si="3"/>
        <v>183.24</v>
      </c>
      <c r="H8" s="18">
        <f t="shared" si="3"/>
        <v>197.492</v>
      </c>
      <c r="I8" s="18">
        <f t="shared" si="3"/>
        <v>223.96</v>
      </c>
      <c r="J8" s="18">
        <f t="shared" si="3"/>
        <v>264.68</v>
      </c>
      <c r="K8" s="18">
        <f t="shared" si="3"/>
        <v>325.76</v>
      </c>
      <c r="L8" s="18">
        <f t="shared" si="3"/>
        <v>366.48</v>
      </c>
      <c r="M8" s="18">
        <f t="shared" si="3"/>
        <v>407.2</v>
      </c>
    </row>
    <row r="9">
      <c r="A9" s="11" t="s">
        <v>64</v>
      </c>
      <c r="B9" s="18">
        <f t="shared" ref="B9:M9" si="4">B5-B8</f>
        <v>251.8</v>
      </c>
      <c r="C9" s="18">
        <f t="shared" si="4"/>
        <v>216.52</v>
      </c>
      <c r="D9" s="18">
        <f t="shared" si="4"/>
        <v>169.6</v>
      </c>
      <c r="E9" s="18">
        <f t="shared" si="4"/>
        <v>93.68</v>
      </c>
      <c r="F9" s="18">
        <f t="shared" si="4"/>
        <v>30.4</v>
      </c>
      <c r="G9" s="18">
        <f t="shared" si="4"/>
        <v>0.76</v>
      </c>
      <c r="H9" s="18">
        <f t="shared" si="4"/>
        <v>0.508</v>
      </c>
      <c r="I9" s="18">
        <f t="shared" si="4"/>
        <v>52.04</v>
      </c>
      <c r="J9" s="18">
        <f t="shared" si="4"/>
        <v>113.32</v>
      </c>
      <c r="K9" s="18">
        <f t="shared" si="4"/>
        <v>179.24</v>
      </c>
      <c r="L9" s="18">
        <f t="shared" si="4"/>
        <v>219.52</v>
      </c>
      <c r="M9" s="18">
        <f t="shared" si="4"/>
        <v>246.8</v>
      </c>
    </row>
    <row r="10">
      <c r="A10" s="11" t="s">
        <v>65</v>
      </c>
      <c r="B10" s="11">
        <f>0.16*$P$6</f>
        <v>0.16</v>
      </c>
      <c r="C10" s="11">
        <f>52.06*$P$6</f>
        <v>52.06</v>
      </c>
      <c r="D10" s="11">
        <f>22.22*$P$6</f>
        <v>22.22</v>
      </c>
      <c r="E10" s="11">
        <f>40.73*$P$6</f>
        <v>40.73</v>
      </c>
      <c r="F10" s="11">
        <f>87.6*$P$6</f>
        <v>87.6</v>
      </c>
      <c r="G10" s="11">
        <f>131.91*$P$6</f>
        <v>131.91</v>
      </c>
      <c r="H10" s="11">
        <f>119.85*$P$6</f>
        <v>119.85</v>
      </c>
      <c r="I10" s="11">
        <f>47.75*$P$6</f>
        <v>47.75</v>
      </c>
      <c r="J10" s="11">
        <f>14.27*$P$6</f>
        <v>14.27</v>
      </c>
      <c r="K10" s="11">
        <f>-22.18*(2-$P$6)</f>
        <v>-22.18</v>
      </c>
      <c r="L10" s="11">
        <f>0.72*$P$6</f>
        <v>0.72</v>
      </c>
      <c r="M10" s="11">
        <f>-2.12*(2-$P$6)</f>
        <v>-2.12</v>
      </c>
    </row>
    <row r="11">
      <c r="A11" s="11" t="s">
        <v>66</v>
      </c>
      <c r="B11" s="11">
        <f>62.43*($P$7)</f>
        <v>62.43</v>
      </c>
      <c r="C11" s="11">
        <f>182.46*($P$7)</f>
        <v>182.46</v>
      </c>
      <c r="D11" s="11">
        <f>113.9*($P$7)</f>
        <v>113.9</v>
      </c>
      <c r="E11" s="11">
        <f>152.99*($P$7)</f>
        <v>152.99</v>
      </c>
      <c r="F11" s="11">
        <f>192.86*($P$7)</f>
        <v>192.86</v>
      </c>
      <c r="G11" s="11">
        <f>225.59*($P$7)</f>
        <v>225.59</v>
      </c>
      <c r="H11" s="11">
        <f>266.86*($P$7)</f>
        <v>266.86</v>
      </c>
      <c r="I11" s="11">
        <f>556.7*($P$7)</f>
        <v>556.7</v>
      </c>
      <c r="J11" s="11">
        <f>62.81*($P$7)</f>
        <v>62.81</v>
      </c>
      <c r="K11" s="11">
        <f>132.93*($P$7)</f>
        <v>132.93</v>
      </c>
      <c r="L11" s="11">
        <f>80.79*($P$7)</f>
        <v>80.79</v>
      </c>
      <c r="M11" s="11">
        <f>68.03*($P$7)</f>
        <v>68.03</v>
      </c>
    </row>
    <row r="12">
      <c r="A12" s="11" t="s">
        <v>67</v>
      </c>
      <c r="B12" s="11">
        <v>31.0</v>
      </c>
      <c r="C12" s="11">
        <v>28.75</v>
      </c>
      <c r="D12" s="11">
        <v>31.0</v>
      </c>
      <c r="E12" s="11">
        <v>30.0</v>
      </c>
      <c r="F12" s="11">
        <v>31.0</v>
      </c>
      <c r="G12" s="11">
        <v>30.0</v>
      </c>
      <c r="H12" s="11">
        <v>31.0</v>
      </c>
      <c r="I12" s="11">
        <v>31.0</v>
      </c>
      <c r="J12" s="11">
        <v>30.0</v>
      </c>
      <c r="K12" s="11">
        <v>31.0</v>
      </c>
      <c r="L12" s="11">
        <v>30.0</v>
      </c>
      <c r="M12" s="11">
        <v>31.0</v>
      </c>
    </row>
    <row r="13">
      <c r="A13" s="11" t="s">
        <v>68</v>
      </c>
      <c r="B13" s="18">
        <f t="shared" ref="B13:M13" si="5">(B8*B11+B9*B10)*B12/1000</f>
        <v>789.315304</v>
      </c>
      <c r="C13" s="18">
        <f t="shared" si="5"/>
        <v>2246.524195</v>
      </c>
      <c r="D13" s="18">
        <f t="shared" si="5"/>
        <v>1195.160732</v>
      </c>
      <c r="E13" s="18">
        <f t="shared" si="5"/>
        <v>1235.823096</v>
      </c>
      <c r="F13" s="18">
        <f t="shared" si="5"/>
        <v>1299.809416</v>
      </c>
      <c r="G13" s="18">
        <f t="shared" si="5"/>
        <v>1243.120896</v>
      </c>
      <c r="H13" s="18">
        <f t="shared" si="5"/>
        <v>1635.671567</v>
      </c>
      <c r="I13" s="18">
        <f t="shared" si="5"/>
        <v>3942.066702</v>
      </c>
      <c r="J13" s="18">
        <f t="shared" si="5"/>
        <v>547.248816</v>
      </c>
      <c r="K13" s="18">
        <f t="shared" si="5"/>
        <v>1219.159742</v>
      </c>
      <c r="L13" s="18">
        <f t="shared" si="5"/>
        <v>892.979208</v>
      </c>
      <c r="M13" s="18">
        <f t="shared" si="5"/>
        <v>842.5366</v>
      </c>
    </row>
    <row r="14">
      <c r="A14" s="11" t="s">
        <v>69</v>
      </c>
      <c r="B14" s="18">
        <f>SUM(B13:M13)/1000</f>
        <v>17.08941627</v>
      </c>
    </row>
  </sheetData>
  <hyperlinks>
    <hyperlink r:id="rId1" ref="A1"/>
    <hyperlink r:id="rId2" ref="A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s>
  <sheetData>
    <row r="1">
      <c r="A1" s="22" t="s">
        <v>70</v>
      </c>
    </row>
    <row r="3">
      <c r="M3" s="11" t="s">
        <v>71</v>
      </c>
      <c r="N3" s="11">
        <v>1.0</v>
      </c>
    </row>
    <row r="4">
      <c r="B4" s="11" t="s">
        <v>72</v>
      </c>
    </row>
    <row r="5">
      <c r="B5" s="11" t="s">
        <v>73</v>
      </c>
    </row>
    <row r="6">
      <c r="A6" s="11" t="s">
        <v>74</v>
      </c>
      <c r="B6" s="11">
        <v>0.0</v>
      </c>
      <c r="C6" s="11">
        <v>1.0</v>
      </c>
      <c r="D6" s="11">
        <v>2.0</v>
      </c>
      <c r="E6" s="11">
        <v>3.0</v>
      </c>
      <c r="F6" s="11">
        <v>4.0</v>
      </c>
      <c r="G6" s="11">
        <v>5.0</v>
      </c>
      <c r="H6" s="11">
        <v>6.0</v>
      </c>
      <c r="I6" s="11">
        <v>7.0</v>
      </c>
      <c r="J6" s="11">
        <v>8.0</v>
      </c>
      <c r="K6" s="11">
        <v>9.0</v>
      </c>
      <c r="L6" s="11">
        <v>10.0</v>
      </c>
    </row>
    <row r="7">
      <c r="A7" s="24" t="s">
        <v>75</v>
      </c>
      <c r="B7" s="4">
        <f>17*1.5*1000*100</f>
        <v>2550000</v>
      </c>
      <c r="C7" s="4">
        <f t="shared" ref="C7:L7" si="1">B7*1.036</f>
        <v>2641800</v>
      </c>
      <c r="D7" s="4">
        <f t="shared" si="1"/>
        <v>2736904.8</v>
      </c>
      <c r="E7" s="4">
        <f t="shared" si="1"/>
        <v>2835433.373</v>
      </c>
      <c r="F7" s="4">
        <f t="shared" si="1"/>
        <v>2937508.974</v>
      </c>
      <c r="G7" s="4">
        <f t="shared" si="1"/>
        <v>3043259.297</v>
      </c>
      <c r="H7" s="4">
        <f t="shared" si="1"/>
        <v>3152816.632</v>
      </c>
      <c r="I7" s="4">
        <f t="shared" si="1"/>
        <v>3266318.031</v>
      </c>
      <c r="J7" s="4">
        <f t="shared" si="1"/>
        <v>3383905.48</v>
      </c>
      <c r="K7" s="4">
        <f t="shared" si="1"/>
        <v>3505726.077</v>
      </c>
      <c r="L7" s="4">
        <f t="shared" si="1"/>
        <v>3631932.216</v>
      </c>
    </row>
    <row r="8">
      <c r="A8" s="11" t="s">
        <v>76</v>
      </c>
      <c r="B8" s="4">
        <f t="shared" ref="B8:L8" si="2">B7*$N$3</f>
        <v>2550000</v>
      </c>
      <c r="C8" s="4">
        <f t="shared" si="2"/>
        <v>2641800</v>
      </c>
      <c r="D8" s="4">
        <f t="shared" si="2"/>
        <v>2736904.8</v>
      </c>
      <c r="E8" s="4">
        <f t="shared" si="2"/>
        <v>2835433.373</v>
      </c>
      <c r="F8" s="4">
        <f t="shared" si="2"/>
        <v>2937508.974</v>
      </c>
      <c r="G8" s="4">
        <f t="shared" si="2"/>
        <v>3043259.297</v>
      </c>
      <c r="H8" s="4">
        <f t="shared" si="2"/>
        <v>3152816.632</v>
      </c>
      <c r="I8" s="4">
        <f t="shared" si="2"/>
        <v>3266318.031</v>
      </c>
      <c r="J8" s="4">
        <f t="shared" si="2"/>
        <v>3383905.48</v>
      </c>
      <c r="K8" s="4">
        <f t="shared" si="2"/>
        <v>3505726.077</v>
      </c>
      <c r="L8" s="4">
        <f t="shared" si="2"/>
        <v>3631932.216</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3" width="13.5"/>
  </cols>
  <sheetData>
    <row r="1">
      <c r="B1" s="9" t="s">
        <v>77</v>
      </c>
      <c r="C1" s="9" t="s">
        <v>78</v>
      </c>
    </row>
    <row r="2">
      <c r="A2" s="1" t="s">
        <v>0</v>
      </c>
      <c r="B2" s="15">
        <v>800000.0</v>
      </c>
      <c r="C2" s="15">
        <v>1000000.0</v>
      </c>
    </row>
    <row r="3">
      <c r="A3" s="3" t="s">
        <v>1</v>
      </c>
      <c r="B3" s="15">
        <v>400000.0</v>
      </c>
      <c r="C3" s="15">
        <v>500000.0</v>
      </c>
    </row>
    <row r="4">
      <c r="A4" s="5" t="s">
        <v>2</v>
      </c>
      <c r="B4" s="15">
        <v>8.0E7</v>
      </c>
      <c r="C4" s="15">
        <v>1.0E8</v>
      </c>
    </row>
    <row r="5">
      <c r="A5" s="6" t="s">
        <v>3</v>
      </c>
      <c r="B5" s="15">
        <v>50000.0</v>
      </c>
      <c r="C5" s="15">
        <v>100000.0</v>
      </c>
    </row>
    <row r="6">
      <c r="A6" s="7" t="s">
        <v>4</v>
      </c>
      <c r="B6" s="15">
        <v>1.5E7</v>
      </c>
      <c r="C6" s="15">
        <v>2.0E7</v>
      </c>
    </row>
    <row r="7">
      <c r="A7" s="8" t="s">
        <v>5</v>
      </c>
      <c r="B7" s="15">
        <v>4000000.0</v>
      </c>
      <c r="C7" s="15">
        <v>6000000.0</v>
      </c>
    </row>
    <row r="8">
      <c r="A8" s="9" t="s">
        <v>79</v>
      </c>
      <c r="B8" s="4">
        <f t="shared" ref="B8:C8" si="1">SUM(B2:B7)</f>
        <v>100250000</v>
      </c>
      <c r="C8" s="4">
        <f t="shared" si="1"/>
        <v>127600000</v>
      </c>
    </row>
    <row r="9">
      <c r="A9" s="11" t="s">
        <v>80</v>
      </c>
      <c r="B9" s="15">
        <v>1.0E8</v>
      </c>
      <c r="C9" s="15">
        <v>1.275E8</v>
      </c>
    </row>
  </sheetData>
  <hyperlinks>
    <hyperlink display="Preliminary Assessment" location="'Preliminary Assessment'!A1" ref="A2"/>
    <hyperlink display="Permits &amp; Approvals" location="'Permits &amp; Approvals'!A1" ref="A3"/>
    <hyperlink display="Design &amp; Engineering" location="'Design &amp; Engineering'!A1" ref="A4"/>
    <hyperlink display="Financing &amp; Procurement" location="'Financing &amp; Procurement'!A1" ref="A5"/>
    <hyperlink display="Construction" location="Construction!A1" ref="A6"/>
    <hyperlink display="Validation" location="Validation!A1" ref="A7"/>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20.5"/>
    <col customWidth="1" min="4" max="4" width="67.13"/>
    <col customWidth="1" min="5" max="5" width="50.38"/>
  </cols>
  <sheetData>
    <row r="1">
      <c r="B1" s="25" t="s">
        <v>0</v>
      </c>
    </row>
    <row r="3">
      <c r="B3" s="26" t="s">
        <v>81</v>
      </c>
      <c r="C3" s="26" t="s">
        <v>82</v>
      </c>
      <c r="D3" s="26" t="s">
        <v>83</v>
      </c>
      <c r="E3" s="26" t="s">
        <v>84</v>
      </c>
    </row>
    <row r="4">
      <c r="A4" s="27" t="s">
        <v>85</v>
      </c>
      <c r="B4" s="28" t="s">
        <v>86</v>
      </c>
      <c r="C4" s="29">
        <f>1800*307</f>
        <v>552600</v>
      </c>
      <c r="D4" s="30" t="s">
        <v>87</v>
      </c>
      <c r="E4" s="28" t="s">
        <v>88</v>
      </c>
    </row>
    <row r="5">
      <c r="B5" s="31" t="s">
        <v>89</v>
      </c>
      <c r="C5" s="29"/>
      <c r="D5" s="32"/>
      <c r="E5" s="32"/>
    </row>
    <row r="6">
      <c r="B6" s="28" t="s">
        <v>90</v>
      </c>
      <c r="C6" s="33">
        <v>5000.0</v>
      </c>
      <c r="D6" s="28"/>
      <c r="E6" s="28" t="s">
        <v>91</v>
      </c>
    </row>
    <row r="7">
      <c r="B7" s="34" t="s">
        <v>92</v>
      </c>
      <c r="C7" s="33">
        <v>2000.0</v>
      </c>
      <c r="D7" s="32"/>
      <c r="E7" s="32"/>
    </row>
    <row r="8">
      <c r="B8" s="34" t="s">
        <v>93</v>
      </c>
      <c r="C8" s="33">
        <v>50000.0</v>
      </c>
      <c r="D8" s="32"/>
      <c r="E8" s="32"/>
    </row>
    <row r="9">
      <c r="B9" s="34" t="s">
        <v>94</v>
      </c>
      <c r="C9" s="33">
        <v>500.0</v>
      </c>
      <c r="D9" s="32"/>
      <c r="E9" s="32"/>
      <c r="F9" s="2">
        <f>sum(C4:C9)</f>
        <v>610100</v>
      </c>
      <c r="G9" s="2">
        <f>F9-C4</f>
        <v>57500</v>
      </c>
    </row>
    <row r="10">
      <c r="A10" s="35" t="s">
        <v>95</v>
      </c>
      <c r="B10" s="36" t="s">
        <v>96</v>
      </c>
      <c r="C10" s="37">
        <v>60000.0</v>
      </c>
      <c r="D10" s="38"/>
      <c r="E10" s="36" t="s">
        <v>97</v>
      </c>
    </row>
    <row r="11">
      <c r="B11" s="36" t="s">
        <v>98</v>
      </c>
      <c r="C11" s="37">
        <v>20000.0</v>
      </c>
      <c r="D11" s="38"/>
      <c r="E11" s="36" t="s">
        <v>99</v>
      </c>
    </row>
    <row r="12">
      <c r="B12" s="36" t="s">
        <v>100</v>
      </c>
      <c r="C12" s="37">
        <v>20000.0</v>
      </c>
      <c r="D12" s="38"/>
      <c r="E12" s="36" t="s">
        <v>99</v>
      </c>
      <c r="F12" s="2">
        <f>sum(C10:C12)</f>
        <v>100000</v>
      </c>
    </row>
    <row r="13">
      <c r="A13" s="39" t="s">
        <v>101</v>
      </c>
      <c r="B13" s="40" t="s">
        <v>102</v>
      </c>
      <c r="C13" s="41">
        <v>30000.0</v>
      </c>
      <c r="D13" s="42"/>
      <c r="E13" s="40" t="s">
        <v>103</v>
      </c>
    </row>
    <row r="14">
      <c r="B14" s="40" t="s">
        <v>104</v>
      </c>
      <c r="C14" s="41">
        <v>100000.0</v>
      </c>
      <c r="D14" s="42"/>
      <c r="E14" s="40" t="s">
        <v>105</v>
      </c>
    </row>
    <row r="15">
      <c r="B15" s="40" t="s">
        <v>106</v>
      </c>
      <c r="C15" s="41">
        <v>15000.0</v>
      </c>
      <c r="D15" s="42"/>
      <c r="E15" s="40" t="s">
        <v>103</v>
      </c>
      <c r="F15" s="2">
        <f>sum(C13:C15)</f>
        <v>145000</v>
      </c>
    </row>
    <row r="18">
      <c r="E18" s="11" t="s">
        <v>107</v>
      </c>
      <c r="F18" s="43">
        <f>sum(C4:C15)</f>
        <v>855100</v>
      </c>
    </row>
  </sheetData>
  <mergeCells count="4">
    <mergeCell ref="B1:E2"/>
    <mergeCell ref="A4:A9"/>
    <mergeCell ref="A10:A12"/>
    <mergeCell ref="A13:A15"/>
  </mergeCells>
  <hyperlinks>
    <hyperlink r:id="rId1" ref="D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38"/>
    <col customWidth="1" min="4" max="4" width="33.75"/>
    <col customWidth="1" min="5" max="5" width="73.13"/>
  </cols>
  <sheetData>
    <row r="1">
      <c r="B1" s="44" t="s">
        <v>1</v>
      </c>
    </row>
    <row r="3">
      <c r="B3" s="26" t="s">
        <v>81</v>
      </c>
      <c r="C3" s="26" t="s">
        <v>82</v>
      </c>
      <c r="D3" s="26" t="s">
        <v>83</v>
      </c>
      <c r="E3" s="26" t="s">
        <v>84</v>
      </c>
    </row>
    <row r="4">
      <c r="A4" s="45" t="s">
        <v>108</v>
      </c>
      <c r="B4" s="46" t="s">
        <v>109</v>
      </c>
      <c r="C4" s="47"/>
      <c r="D4" s="48"/>
      <c r="E4" s="48"/>
    </row>
    <row r="5">
      <c r="B5" s="49" t="s">
        <v>110</v>
      </c>
      <c r="C5" s="50">
        <v>63589.0</v>
      </c>
      <c r="D5" s="51" t="s">
        <v>111</v>
      </c>
      <c r="E5" s="48"/>
    </row>
    <row r="6">
      <c r="B6" s="52" t="s">
        <v>112</v>
      </c>
      <c r="C6" s="50">
        <v>43359.3</v>
      </c>
      <c r="D6" s="53" t="s">
        <v>113</v>
      </c>
      <c r="E6" s="49" t="s">
        <v>114</v>
      </c>
    </row>
    <row r="7">
      <c r="B7" s="46" t="s">
        <v>115</v>
      </c>
      <c r="C7" s="47"/>
      <c r="D7" s="48"/>
      <c r="E7" s="48"/>
    </row>
    <row r="8">
      <c r="B8" s="49" t="s">
        <v>116</v>
      </c>
      <c r="C8" s="50">
        <v>5000.0</v>
      </c>
      <c r="D8" s="53" t="s">
        <v>117</v>
      </c>
      <c r="E8" s="49" t="s">
        <v>118</v>
      </c>
    </row>
    <row r="9">
      <c r="B9" s="49" t="s">
        <v>119</v>
      </c>
      <c r="C9" s="50">
        <v>50000.0</v>
      </c>
      <c r="D9" s="53" t="s">
        <v>120</v>
      </c>
      <c r="E9" s="49" t="s">
        <v>121</v>
      </c>
    </row>
    <row r="10">
      <c r="B10" s="49" t="s">
        <v>122</v>
      </c>
      <c r="C10" s="50">
        <v>20000.0</v>
      </c>
      <c r="D10" s="48"/>
      <c r="E10" s="49" t="s">
        <v>123</v>
      </c>
    </row>
    <row r="11">
      <c r="B11" s="52" t="s">
        <v>124</v>
      </c>
      <c r="C11" s="50">
        <v>20000.0</v>
      </c>
      <c r="D11" s="53" t="s">
        <v>125</v>
      </c>
      <c r="E11" s="49" t="s">
        <v>126</v>
      </c>
    </row>
    <row r="12">
      <c r="B12" s="52" t="s">
        <v>127</v>
      </c>
      <c r="C12" s="50">
        <v>100000.0</v>
      </c>
      <c r="D12" s="53" t="s">
        <v>128</v>
      </c>
      <c r="E12" s="49" t="s">
        <v>129</v>
      </c>
    </row>
    <row r="13">
      <c r="B13" s="52" t="s">
        <v>130</v>
      </c>
      <c r="C13" s="50">
        <v>80000.0</v>
      </c>
      <c r="D13" s="53" t="s">
        <v>131</v>
      </c>
      <c r="E13" s="49" t="s">
        <v>132</v>
      </c>
    </row>
    <row r="14">
      <c r="B14" s="52" t="s">
        <v>133</v>
      </c>
      <c r="C14" s="50">
        <v>20000.0</v>
      </c>
      <c r="D14" s="48"/>
      <c r="E14" s="48"/>
    </row>
    <row r="15">
      <c r="B15" s="52" t="s">
        <v>134</v>
      </c>
      <c r="C15" s="50">
        <v>10000.0</v>
      </c>
      <c r="D15" s="48"/>
      <c r="E15" s="48"/>
    </row>
    <row r="16">
      <c r="B16" s="52" t="s">
        <v>135</v>
      </c>
      <c r="C16" s="50">
        <v>0.0</v>
      </c>
      <c r="D16" s="53" t="s">
        <v>136</v>
      </c>
      <c r="E16" s="49" t="s">
        <v>137</v>
      </c>
      <c r="F16" s="4">
        <f>sum(C8:C16)</f>
        <v>305000</v>
      </c>
    </row>
    <row r="17">
      <c r="B17" s="46" t="s">
        <v>138</v>
      </c>
      <c r="C17" s="47"/>
      <c r="D17" s="48"/>
      <c r="E17" s="48"/>
    </row>
    <row r="18">
      <c r="A18" s="45"/>
      <c r="B18" s="49" t="s">
        <v>139</v>
      </c>
      <c r="C18" s="50">
        <v>10000.0</v>
      </c>
      <c r="D18" s="53" t="s">
        <v>140</v>
      </c>
      <c r="E18" s="49" t="s">
        <v>141</v>
      </c>
      <c r="F18" s="4">
        <f>sum(C4:C18)</f>
        <v>421948.3</v>
      </c>
    </row>
    <row r="19">
      <c r="A19" s="54" t="s">
        <v>142</v>
      </c>
      <c r="B19" s="55" t="s">
        <v>143</v>
      </c>
      <c r="C19" s="56">
        <v>20000.0</v>
      </c>
      <c r="D19" s="57"/>
      <c r="E19" s="57"/>
    </row>
    <row r="20">
      <c r="B20" s="55" t="s">
        <v>144</v>
      </c>
      <c r="C20" s="56">
        <v>5000.0</v>
      </c>
      <c r="D20" s="58" t="s">
        <v>145</v>
      </c>
      <c r="E20" s="55" t="s">
        <v>146</v>
      </c>
      <c r="F20" s="4">
        <f>sum(C19:C20)</f>
        <v>25000</v>
      </c>
    </row>
    <row r="23">
      <c r="E23" s="11" t="s">
        <v>147</v>
      </c>
      <c r="F23" s="59">
        <f>sum(F18+F20)</f>
        <v>446948.3</v>
      </c>
    </row>
  </sheetData>
  <mergeCells count="3">
    <mergeCell ref="B1:E2"/>
    <mergeCell ref="A4:A17"/>
    <mergeCell ref="A19:A20"/>
  </mergeCells>
  <hyperlinks>
    <hyperlink r:id="rId1" ref="D5"/>
    <hyperlink r:id="rId2" ref="D6"/>
    <hyperlink r:id="rId3" ref="D8"/>
    <hyperlink r:id="rId4" ref="D9"/>
    <hyperlink r:id="rId5" ref="D11"/>
    <hyperlink r:id="rId6" ref="D12"/>
    <hyperlink r:id="rId7" ref="D13"/>
    <hyperlink r:id="rId8" ref="D16"/>
    <hyperlink r:id="rId9" ref="D18"/>
    <hyperlink r:id="rId10" ref="D20"/>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26.88"/>
    <col customWidth="1" min="3" max="3" width="13.75"/>
    <col customWidth="1" min="4" max="4" width="18.38"/>
    <col customWidth="1" min="5" max="5" width="88.13"/>
  </cols>
  <sheetData>
    <row r="1">
      <c r="B1" s="44" t="s">
        <v>2</v>
      </c>
    </row>
    <row r="3">
      <c r="B3" s="26" t="s">
        <v>81</v>
      </c>
      <c r="C3" s="26" t="s">
        <v>82</v>
      </c>
      <c r="D3" s="26" t="s">
        <v>83</v>
      </c>
      <c r="E3" s="26" t="s">
        <v>84</v>
      </c>
      <c r="G3" s="11" t="s">
        <v>148</v>
      </c>
      <c r="H3" s="11">
        <v>1.0</v>
      </c>
    </row>
    <row r="4">
      <c r="A4" s="60" t="s">
        <v>149</v>
      </c>
      <c r="B4" s="61" t="s">
        <v>150</v>
      </c>
      <c r="C4" s="62"/>
      <c r="D4" s="63"/>
      <c r="E4" s="63"/>
      <c r="G4" s="11" t="s">
        <v>151</v>
      </c>
      <c r="H4" s="11">
        <v>1.0</v>
      </c>
    </row>
    <row r="5">
      <c r="B5" s="64" t="s">
        <v>152</v>
      </c>
      <c r="C5" s="65">
        <f>0.18*1.5*100*10^6*1.2*$H$4</f>
        <v>32400000</v>
      </c>
      <c r="D5" s="66" t="s">
        <v>153</v>
      </c>
      <c r="E5" s="66" t="s">
        <v>154</v>
      </c>
    </row>
    <row r="6">
      <c r="B6" s="64" t="s">
        <v>155</v>
      </c>
      <c r="C6" s="62">
        <f>'Inverter Requirements'!B10</f>
        <v>7200000</v>
      </c>
      <c r="D6" s="67" t="s">
        <v>156</v>
      </c>
      <c r="E6" s="66" t="s">
        <v>157</v>
      </c>
    </row>
    <row r="7">
      <c r="B7" s="66" t="s">
        <v>158</v>
      </c>
      <c r="C7" s="68">
        <f>24502290*1.5*$H$3</f>
        <v>36753435</v>
      </c>
      <c r="D7" s="69" t="s">
        <v>159</v>
      </c>
      <c r="E7" s="66" t="s">
        <v>160</v>
      </c>
    </row>
    <row r="8">
      <c r="B8" s="66" t="s">
        <v>161</v>
      </c>
      <c r="C8" s="70">
        <v>250000.0</v>
      </c>
      <c r="D8" s="63"/>
      <c r="E8" s="63"/>
    </row>
    <row r="9">
      <c r="B9" s="66" t="s">
        <v>162</v>
      </c>
      <c r="C9" s="70">
        <v>50000.0</v>
      </c>
      <c r="D9" s="63"/>
      <c r="E9" s="63"/>
    </row>
    <row r="10">
      <c r="B10" s="66" t="s">
        <v>163</v>
      </c>
      <c r="C10" s="70">
        <v>500000.0</v>
      </c>
      <c r="D10" s="63"/>
      <c r="E10" s="66" t="s">
        <v>164</v>
      </c>
    </row>
    <row r="11">
      <c r="B11" s="61" t="s">
        <v>165</v>
      </c>
      <c r="C11" s="62"/>
      <c r="D11" s="63"/>
      <c r="E11" s="63"/>
    </row>
    <row r="12">
      <c r="B12" s="66" t="s">
        <v>166</v>
      </c>
      <c r="C12" s="70">
        <f>100000000*0.06*1.5</f>
        <v>9000000</v>
      </c>
      <c r="D12" s="71" t="s">
        <v>167</v>
      </c>
      <c r="E12" s="66" t="s">
        <v>168</v>
      </c>
      <c r="F12" s="4">
        <f>sum(C5:C12)</f>
        <v>86153435</v>
      </c>
    </row>
    <row r="13">
      <c r="A13" s="72" t="s">
        <v>169</v>
      </c>
      <c r="B13" s="73" t="s">
        <v>170</v>
      </c>
      <c r="C13" s="74">
        <v>25000.0</v>
      </c>
      <c r="D13" s="75"/>
      <c r="E13" s="75"/>
    </row>
    <row r="14">
      <c r="B14" s="76" t="s">
        <v>171</v>
      </c>
      <c r="C14" s="77"/>
      <c r="D14" s="75"/>
      <c r="E14" s="75"/>
    </row>
    <row r="15">
      <c r="B15" s="73" t="s">
        <v>172</v>
      </c>
      <c r="C15" s="74">
        <v>15000.0</v>
      </c>
      <c r="D15" s="75"/>
      <c r="E15" s="75"/>
    </row>
    <row r="16">
      <c r="B16" s="73" t="s">
        <v>173</v>
      </c>
      <c r="C16" s="74">
        <v>30000.0</v>
      </c>
      <c r="D16" s="75"/>
      <c r="E16" s="75"/>
    </row>
    <row r="17">
      <c r="B17" s="78" t="s">
        <v>174</v>
      </c>
      <c r="C17" s="74">
        <v>10000.0</v>
      </c>
      <c r="D17" s="75"/>
      <c r="E17" s="75"/>
      <c r="F17" s="4">
        <f>sum(C13:C17)</f>
        <v>80000</v>
      </c>
    </row>
    <row r="18">
      <c r="A18" s="45" t="s">
        <v>175</v>
      </c>
      <c r="B18" s="79" t="s">
        <v>176</v>
      </c>
      <c r="C18" s="80">
        <v>50000.0</v>
      </c>
      <c r="D18" s="81"/>
      <c r="E18" s="81"/>
    </row>
    <row r="19">
      <c r="B19" s="79" t="s">
        <v>177</v>
      </c>
      <c r="C19" s="80">
        <v>60000.0</v>
      </c>
      <c r="D19" s="81"/>
      <c r="E19" s="81"/>
    </row>
    <row r="20">
      <c r="B20" s="79" t="s">
        <v>178</v>
      </c>
      <c r="C20" s="80">
        <v>50000.0</v>
      </c>
      <c r="D20" s="81"/>
      <c r="E20" s="81"/>
      <c r="F20" s="4">
        <f>sum(C18:C20)</f>
        <v>160000</v>
      </c>
    </row>
    <row r="23">
      <c r="E23" s="11" t="s">
        <v>179</v>
      </c>
      <c r="F23" s="4">
        <f>SUM(F2:F20)</f>
        <v>86393435</v>
      </c>
    </row>
  </sheetData>
  <mergeCells count="4">
    <mergeCell ref="B1:E2"/>
    <mergeCell ref="A4:A12"/>
    <mergeCell ref="A13:A17"/>
    <mergeCell ref="A18:A20"/>
  </mergeCells>
  <hyperlinks>
    <hyperlink display="Inverter Requirements" location="'Inverter Requirements'!A1" ref="D6"/>
    <hyperlink r:id="rId1" ref="D7"/>
    <hyperlink r:id="rId2" ref="D12"/>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26.88"/>
    <col customWidth="1" min="5" max="5" width="75.25"/>
  </cols>
  <sheetData>
    <row r="3">
      <c r="B3" s="26" t="s">
        <v>81</v>
      </c>
      <c r="C3" s="26" t="s">
        <v>82</v>
      </c>
      <c r="D3" s="26" t="s">
        <v>83</v>
      </c>
      <c r="E3" s="26" t="s">
        <v>84</v>
      </c>
    </row>
    <row r="4">
      <c r="A4" s="54" t="s">
        <v>180</v>
      </c>
      <c r="B4" s="82" t="s">
        <v>181</v>
      </c>
      <c r="C4" s="83">
        <v>20000.0</v>
      </c>
      <c r="D4" s="84"/>
      <c r="E4" s="82" t="s">
        <v>182</v>
      </c>
    </row>
    <row r="5">
      <c r="B5" s="82" t="s">
        <v>183</v>
      </c>
      <c r="C5" s="83">
        <v>20000.0</v>
      </c>
      <c r="D5" s="84"/>
      <c r="E5" s="84"/>
    </row>
    <row r="6">
      <c r="B6" s="82" t="s">
        <v>184</v>
      </c>
      <c r="C6" s="83">
        <v>30000.0</v>
      </c>
      <c r="D6" s="84"/>
      <c r="E6" s="82" t="s">
        <v>185</v>
      </c>
      <c r="F6" s="4">
        <f>sum(C4:C6)</f>
        <v>70000</v>
      </c>
    </row>
    <row r="7">
      <c r="E7" s="11" t="s">
        <v>186</v>
      </c>
    </row>
    <row r="9">
      <c r="F9" s="59">
        <f>F6</f>
        <v>70000</v>
      </c>
    </row>
  </sheetData>
  <mergeCells count="1">
    <mergeCell ref="A4:A6"/>
  </mergeCells>
  <drawing r:id="rId1"/>
</worksheet>
</file>