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stival des Légendes" sheetId="1" r:id="rId4"/>
    <sheet state="visible" name="Marche du Roi-Liche" sheetId="2" r:id="rId5"/>
    <sheet state="visible" name="Meutre au chateau Nathria" sheetId="3" r:id="rId6"/>
    <sheet state="visible" name="Cité engloutie" sheetId="4" r:id="rId7"/>
    <sheet state="visible" name="Alterac" sheetId="5" r:id="rId8"/>
    <sheet state="visible" name="Hurlevent" sheetId="6" r:id="rId9"/>
    <sheet state="visible" name="Tarides" sheetId="7" r:id="rId10"/>
    <sheet state="visible" name="Sombrelune" sheetId="8" r:id="rId11"/>
    <sheet state="visible" name="Scholomance" sheetId="9" r:id="rId12"/>
    <sheet state="visible" name="Outreterre" sheetId="10" r:id="rId13"/>
    <sheet state="visible" name="EnvolDragon" sheetId="11" r:id="rId14"/>
    <sheet state="hidden" name="Vote" sheetId="12" r:id="rId15"/>
    <sheet state="hidden" name="Copie de Copie de VFinale 1" sheetId="13" r:id="rId16"/>
    <sheet state="hidden" name="Copie de VFinale" sheetId="14" r:id="rId17"/>
  </sheets>
  <definedNames/>
  <calcPr/>
</workbook>
</file>

<file path=xl/sharedStrings.xml><?xml version="1.0" encoding="utf-8"?>
<sst xmlns="http://schemas.openxmlformats.org/spreadsheetml/2006/main" count="6252" uniqueCount="1775">
  <si>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playhearthstone.com</t>
    </r>
  </si>
  <si>
    <t>Odemian</t>
  </si>
  <si>
    <t>Dizdemon</t>
  </si>
  <si>
    <t>Tars</t>
  </si>
  <si>
    <t>Vinz</t>
  </si>
  <si>
    <r>
      <rPr>
        <rFont val="Roboto"/>
        <b/>
        <color rgb="FF980000"/>
        <sz val="14.0"/>
      </rPr>
      <t xml:space="preserve">Felkeine </t>
    </r>
    <r>
      <rPr>
        <rFont val="Roboto"/>
        <b/>
        <color rgb="FF980000"/>
        <sz val="7.0"/>
      </rPr>
      <t>(et absolument pas Achlarkimbatul promis)</t>
    </r>
  </si>
  <si>
    <r>
      <rPr>
        <rFont val="Roboto"/>
        <b/>
        <color rgb="FF980000"/>
        <sz val="14.0"/>
      </rPr>
      <t xml:space="preserve">Maverick </t>
    </r>
    <r>
      <rPr>
        <rFont val="Roboto"/>
        <b/>
        <color rgb="FF980000"/>
        <sz val="7.0"/>
      </rPr>
      <t>(et absolument pas Maximeloulou promis)</t>
    </r>
  </si>
  <si>
    <r>
      <rPr>
        <rFont val="Roboto"/>
        <b/>
        <color rgb="FF980000"/>
        <sz val="14.0"/>
      </rPr>
      <t xml:space="preserve">Oliech </t>
    </r>
    <r>
      <rPr>
        <rFont val="Roboto"/>
        <b/>
        <color rgb="FF980000"/>
        <sz val="7.0"/>
      </rPr>
      <t>(et absolument pas Abstein promis)</t>
    </r>
  </si>
  <si>
    <r>
      <rPr>
        <rFont val="Roboto"/>
        <b/>
        <color rgb="FF980000"/>
        <sz val="14.0"/>
      </rPr>
      <t xml:space="preserve">Pilou </t>
    </r>
    <r>
      <rPr>
        <rFont val="Roboto"/>
        <b/>
        <color rgb="FF980000"/>
        <sz val="7.0"/>
      </rPr>
      <t>(et absolument pas Bartolomey promis)</t>
    </r>
  </si>
  <si>
    <t>Chat</t>
  </si>
  <si>
    <r>
      <rPr>
        <rFont val="Roboto"/>
        <b/>
        <color theme="1"/>
        <sz val="10.0"/>
      </rPr>
      <t xml:space="preserve">Rappel du barême :
</t>
    </r>
    <r>
      <rPr>
        <rFont val="Roboto"/>
        <b val="0"/>
        <color theme="1"/>
        <sz val="10.0"/>
      </rPr>
      <t xml:space="preserve">- </t>
    </r>
    <r>
      <rPr>
        <rFont val="Roboto"/>
        <b/>
        <color rgb="FFFF0000"/>
        <sz val="10.0"/>
      </rPr>
      <t>1</t>
    </r>
    <r>
      <rPr>
        <rFont val="Roboto"/>
        <b val="0"/>
        <color theme="1"/>
        <sz val="10.0"/>
      </rPr>
      <t xml:space="preserve"> = injouable (NUL NUL NUL)
- </t>
    </r>
    <r>
      <rPr>
        <rFont val="Roboto"/>
        <b/>
        <color rgb="FFFF9900"/>
        <sz val="10.0"/>
      </rPr>
      <t>2</t>
    </r>
    <r>
      <rPr>
        <rFont val="Roboto"/>
        <b val="0"/>
        <color theme="1"/>
        <sz val="10.0"/>
      </rPr>
      <t xml:space="preserve"> = Vraiment pas ouf  </t>
    </r>
    <r>
      <rPr>
        <rFont val="Roboto"/>
        <b/>
        <color rgb="FFFF0000"/>
        <sz val="13.0"/>
      </rPr>
      <t>ET/OU</t>
    </r>
    <r>
      <rPr>
        <rFont val="Roboto"/>
        <b val="0"/>
        <color theme="1"/>
        <sz val="10.0"/>
      </rPr>
      <t xml:space="preserve">  jouable mais dans un archétype en particulier</t>
    </r>
    <r>
      <rPr>
        <rFont val="Roboto"/>
        <b/>
        <color theme="1"/>
        <sz val="10.0"/>
      </rPr>
      <t xml:space="preserve"> uniquement
</t>
    </r>
    <r>
      <rPr>
        <rFont val="Roboto"/>
        <b val="0"/>
        <color theme="1"/>
        <sz val="10.0"/>
      </rPr>
      <t xml:space="preserve">- </t>
    </r>
    <r>
      <rPr>
        <rFont val="Roboto"/>
        <b/>
        <color theme="1"/>
        <sz val="10.0"/>
      </rPr>
      <t>3</t>
    </r>
    <r>
      <rPr>
        <rFont val="Roboto"/>
        <b val="0"/>
        <color theme="1"/>
        <sz val="10.0"/>
      </rPr>
      <t xml:space="preserve"> = "OK" tier, équilibrée (ni mauvais ni incroyable)
- </t>
    </r>
    <r>
      <rPr>
        <rFont val="Roboto"/>
        <b/>
        <color rgb="FF46CD46"/>
        <sz val="10.0"/>
      </rPr>
      <t>4</t>
    </r>
    <r>
      <rPr>
        <rFont val="Roboto"/>
        <b val="0"/>
        <color theme="1"/>
        <sz val="10.0"/>
      </rPr>
      <t xml:space="preserve"> = Solide sur les appuis
-</t>
    </r>
    <r>
      <rPr>
        <rFont val="Roboto"/>
        <b/>
        <color rgb="FF274E13"/>
        <sz val="10.0"/>
      </rPr>
      <t xml:space="preserve"> </t>
    </r>
    <r>
      <rPr>
        <rFont val="Roboto"/>
        <b/>
        <color rgb="FF6AA84F"/>
        <sz val="10.0"/>
      </rPr>
      <t>5</t>
    </r>
    <r>
      <rPr>
        <rFont val="Roboto"/>
        <b val="0"/>
        <color theme="1"/>
        <sz val="10.0"/>
      </rPr>
      <t xml:space="preserve"> = Carte très forte +/- auto-include dans les decks adaptés  </t>
    </r>
    <r>
      <rPr>
        <rFont val="Roboto"/>
        <b/>
        <color rgb="FFFF0000"/>
        <sz val="13.0"/>
      </rPr>
      <t>ET/OU</t>
    </r>
    <r>
      <rPr>
        <rFont val="Roboto"/>
        <b val="0"/>
        <color theme="1"/>
        <sz val="10.0"/>
      </rPr>
      <t xml:space="preserve">  défini un archétype à elle toute seule</t>
    </r>
  </si>
  <si>
    <t>Neutre</t>
  </si>
  <si>
    <t>Vraie note</t>
  </si>
  <si>
    <t>Achlar</t>
  </si>
  <si>
    <t>Maximeloulou</t>
  </si>
  <si>
    <t>Abstein</t>
  </si>
  <si>
    <t>Bartolomey</t>
  </si>
  <si>
    <t>Air guitariste</t>
  </si>
  <si>
    <t>** MotherFaker_ **</t>
  </si>
  <si>
    <t>Oscillateur basse fréquence</t>
  </si>
  <si>
    <t>Méca</t>
  </si>
  <si>
    <t>Bête de fête</t>
  </si>
  <si>
    <t>Bête</t>
  </si>
  <si>
    <t>Hipster</t>
  </si>
  <si>
    <t>Médic audio</t>
  </si>
  <si>
    <t>Préparateur d'instruments</t>
  </si>
  <si>
    <t>Roc'n'roule</t>
  </si>
  <si>
    <t>Élémentaire</t>
  </si>
  <si>
    <t>Totem stéréo</t>
  </si>
  <si>
    <t>Totem</t>
  </si>
  <si>
    <t>Fan bruyante</t>
  </si>
  <si>
    <t>Huran</t>
  </si>
  <si>
    <t>Paparazzi</t>
  </si>
  <si>
    <t>Soliste à la clarine</t>
  </si>
  <si>
    <t>Styliste de tenues</t>
  </si>
  <si>
    <t>Fan monomaniaque</t>
  </si>
  <si>
    <t>Porte-bougie</t>
  </si>
  <si>
    <t>Pyrotechnicienne</t>
  </si>
  <si>
    <t>Vendeur de produits dérivés</t>
  </si>
  <si>
    <t>Naga</t>
  </si>
  <si>
    <t>Prête-plume</t>
  </si>
  <si>
    <t>Mort-vivant</t>
  </si>
  <si>
    <t>Concert promo-Drake</t>
  </si>
  <si>
    <t>Dragon</t>
  </si>
  <si>
    <t>Elekk amplifié</t>
  </si>
  <si>
    <t>Métrognome</t>
  </si>
  <si>
    <t>Onde statique</t>
  </si>
  <si>
    <t>Roadie worgen</t>
  </si>
  <si>
    <t>Sécurité du festival</t>
  </si>
  <si>
    <t>Pogoteur pot-pourri</t>
  </si>
  <si>
    <t>Surfeur de foule</t>
  </si>
  <si>
    <t>Murloc</t>
  </si>
  <si>
    <t>Ampli audio</t>
  </si>
  <si>
    <t>Oiseau libre</t>
  </si>
  <si>
    <t>Spécialiste des reprises</t>
  </si>
  <si>
    <t>Ringarde démodée</t>
  </si>
  <si>
    <t>Féplouf photographe</t>
  </si>
  <si>
    <t>E.T.C., agent artistique</t>
  </si>
  <si>
    <t>Pozzik, ingénieur du son</t>
  </si>
  <si>
    <t>Tony, roi du piratage</t>
  </si>
  <si>
    <t>Pirate</t>
  </si>
  <si>
    <t>Amalgame instrumental</t>
  </si>
  <si>
    <t>Tout</t>
  </si>
  <si>
    <t>Chevalier de la mort</t>
  </si>
  <si>
    <t>k</t>
  </si>
  <si>
    <t>La fosse</t>
  </si>
  <si>
    <t>x</t>
  </si>
  <si>
    <t>Lieu</t>
  </si>
  <si>
    <t>X</t>
  </si>
  <si>
    <t>Metal harmonique</t>
  </si>
  <si>
    <t>*</t>
  </si>
  <si>
    <t>Sort</t>
  </si>
  <si>
    <t>Sectatrice hardcore</t>
  </si>
  <si>
    <t>Vibe de la mort</t>
  </si>
  <si>
    <t>Chevalier Dess Métal</t>
  </si>
  <si>
    <t>**</t>
  </si>
  <si>
    <t>Eventreur en arcanite</t>
  </si>
  <si>
    <t>Arme</t>
  </si>
  <si>
    <t>Banshee hurlante</t>
  </si>
  <si>
    <t>Moulin-à-os</t>
  </si>
  <si>
    <t>Tête-de-Fer</t>
  </si>
  <si>
    <t>Vive explosion nécrotique</t>
  </si>
  <si>
    <r>
      <rPr>
        <rFont val="Roboto"/>
        <b/>
        <color rgb="FFFF0000"/>
        <sz val="18.0"/>
      </rPr>
      <t>*</t>
    </r>
    <r>
      <rPr>
        <rFont val="Roboto"/>
        <b/>
        <color rgb="FF3488FA"/>
        <sz val="18.0"/>
      </rPr>
      <t>*</t>
    </r>
    <r>
      <rPr>
        <rFont val="Roboto"/>
        <b/>
        <color rgb="FF6AA84F"/>
        <sz val="18.0"/>
      </rPr>
      <t>*</t>
    </r>
  </si>
  <si>
    <t>Guerrier</t>
  </si>
  <si>
    <t>** Bebpepito **</t>
  </si>
  <si>
    <t>Riff du couplet</t>
  </si>
  <si>
    <t>Percussionniste soliste</t>
  </si>
  <si>
    <t>Riff du refrain</t>
  </si>
  <si>
    <t>Rockeuse redoutable</t>
  </si>
  <si>
    <t>Percussions de kodo</t>
  </si>
  <si>
    <t>Applaudissements rugissants</t>
  </si>
  <si>
    <t>Riff du pont</t>
  </si>
  <si>
    <t>Maître du rock Voone</t>
  </si>
  <si>
    <t>Rock'n'Rochenoire</t>
  </si>
  <si>
    <t>Sort Feu</t>
  </si>
  <si>
    <t>Démoniste</t>
  </si>
  <si>
    <t>Virtuose du Vide</t>
  </si>
  <si>
    <t>Démon</t>
  </si>
  <si>
    <t>Diablotin baryton</t>
  </si>
  <si>
    <t>Soliste d'opéra</t>
  </si>
  <si>
    <t>Crescendo</t>
  </si>
  <si>
    <t>Sort Fiel</t>
  </si>
  <si>
    <t>Dynamique démoniaque</t>
  </si>
  <si>
    <t>Hymne au désespoir</t>
  </si>
  <si>
    <t>Sort Ombre</t>
  </si>
  <si>
    <t>Harpe à gangrecordes</t>
  </si>
  <si>
    <t>Chef d'orchestre déchaîné</t>
  </si>
  <si>
    <t>Rin, orchestratrice funeste</t>
  </si>
  <si>
    <t>Symphonie des péchés</t>
  </si>
  <si>
    <t>Chaman</t>
  </si>
  <si>
    <t>Génie du rythme</t>
  </si>
  <si>
    <t>Fraîche ambiance</t>
  </si>
  <si>
    <t>Sort Givre</t>
  </si>
  <si>
    <t>A guichets fermés</t>
  </si>
  <si>
    <t>Basse jazz</t>
  </si>
  <si>
    <t>Elémentaire des cuivres</t>
  </si>
  <si>
    <t>Elémentaire</t>
  </si>
  <si>
    <t>Accord altéré</t>
  </si>
  <si>
    <t>Sort Nature</t>
  </si>
  <si>
    <t>Mélomanie</t>
  </si>
  <si>
    <t>Saxophoniste soliste</t>
  </si>
  <si>
    <t>DANSE, INSECTE !</t>
  </si>
  <si>
    <t>Inzah</t>
  </si>
  <si>
    <t>Voleur</t>
  </si>
  <si>
    <t>Compil'</t>
  </si>
  <si>
    <t>Disc-Jockey</t>
  </si>
  <si>
    <t>Méca / Bête</t>
  </si>
  <si>
    <t>Lâcher de micro</t>
  </si>
  <si>
    <t>Hip-hop harmonique</t>
  </si>
  <si>
    <t>Beatboxer</t>
  </si>
  <si>
    <t>Tisse-rime</t>
  </si>
  <si>
    <t>Breakdance</t>
  </si>
  <si>
    <t>Platine</t>
  </si>
  <si>
    <t>Tohu-bohu (avec Garona)</t>
  </si>
  <si>
    <t>MC Bling-o-tron</t>
  </si>
  <si>
    <t>Druide</t>
  </si>
  <si>
    <t>Flûtiste paisible</t>
  </si>
  <si>
    <t>Ambiance harmonique</t>
  </si>
  <si>
    <t>Répandre la parole</t>
  </si>
  <si>
    <t>Chat groovy</t>
  </si>
  <si>
    <t>Hippie de l'été</t>
  </si>
  <si>
    <t>Groupe de percussionnistes</t>
  </si>
  <si>
    <t>Esprit libre</t>
  </si>
  <si>
    <t>Bête / Mort-vivant</t>
  </si>
  <si>
    <t>Tambourin des bois</t>
  </si>
  <si>
    <t>Rythme et racines</t>
  </si>
  <si>
    <t>Zok Voilegroin</t>
  </si>
  <si>
    <t>Chasseur</t>
  </si>
  <si>
    <t>Musicienne Mantépine</t>
  </si>
  <si>
    <t>Régime de bananes</t>
  </si>
  <si>
    <t>Montée en flèche</t>
  </si>
  <si>
    <t>Tonneau de singes</t>
  </si>
  <si>
    <t>Grandes ambitions</t>
  </si>
  <si>
    <t>Banjosaure</t>
  </si>
  <si>
    <t>Harmoniciste soliste</t>
  </si>
  <si>
    <t>** Narkuss **</t>
  </si>
  <si>
    <t>Monsieur Mukla</t>
  </si>
  <si>
    <t>Coeur de Strangleronce</t>
  </si>
  <si>
    <t>Prêtre</t>
  </si>
  <si>
    <t>Adoration de l'idole</t>
  </si>
  <si>
    <t>Fan-club</t>
  </si>
  <si>
    <t>Accord de puissance : synchro</t>
  </si>
  <si>
    <t>Sort Sacré</t>
  </si>
  <si>
    <t>** Deubeuli0u**</t>
  </si>
  <si>
    <t>Accord de l'ombre : distorsion</t>
  </si>
  <si>
    <t>Pop harmonique</t>
  </si>
  <si>
    <t>Bourreau des coeurs</t>
  </si>
  <si>
    <t>Battez-vous pour moi</t>
  </si>
  <si>
    <t>Eternel amour</t>
  </si>
  <si>
    <t>Hedanis le tombeur</t>
  </si>
  <si>
    <t>Mage</t>
  </si>
  <si>
    <t>Synthétisation</t>
  </si>
  <si>
    <t>Répartiteur audio</t>
  </si>
  <si>
    <t>Claviériste soliste</t>
  </si>
  <si>
    <t>Clavier cosmique</t>
  </si>
  <si>
    <t>Retour dans le temps</t>
  </si>
  <si>
    <t>Sort Arcanes</t>
  </si>
  <si>
    <t>Jeu de lumière</t>
  </si>
  <si>
    <t>Holotechnicien</t>
  </si>
  <si>
    <t>Monter le volume</t>
  </si>
  <si>
    <t>Mixitude à l'infini</t>
  </si>
  <si>
    <t>DJ Manastorm</t>
  </si>
  <si>
    <t>Paladin</t>
  </si>
  <si>
    <t>Masse disco</t>
  </si>
  <si>
    <t>Aileron-funky</t>
  </si>
  <si>
    <t>Boogie sans fin</t>
  </si>
  <si>
    <t>Jitterbug</t>
  </si>
  <si>
    <t>Disco harmonique</t>
  </si>
  <si>
    <t>Danseuse vedette</t>
  </si>
  <si>
    <t>Feu des projecteurs</t>
  </si>
  <si>
    <t>Ennui-o-troupe</t>
  </si>
  <si>
    <t>Groove stellaire</t>
  </si>
  <si>
    <t>Kangor, roi de la danse</t>
  </si>
  <si>
    <t>Chasseur de démons</t>
  </si>
  <si>
    <t>Avant-goût du chaos</t>
  </si>
  <si>
    <t>SÉCURITÉ !!</t>
  </si>
  <si>
    <t>Guitariste soliste</t>
  </si>
  <si>
    <t>Morsure de serpent</t>
  </si>
  <si>
    <t>Ruée vers la scène</t>
  </si>
  <si>
    <t>Glaivetar</t>
  </si>
  <si>
    <t>Oeil de l'ombre</t>
  </si>
  <si>
    <t>Destructrice d'instrument</t>
  </si>
  <si>
    <t>Halveria Noircorbeau</t>
  </si>
  <si>
    <t>Tomber avec le swing</t>
  </si>
  <si>
    <t>Moyenne</t>
  </si>
  <si>
    <t>Ecart-type (σ)</t>
  </si>
  <si>
    <t>Nombre de</t>
  </si>
  <si>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playhearthstone.com</t>
    </r>
  </si>
  <si>
    <t>Pilou</t>
  </si>
  <si>
    <r>
      <rPr>
        <rFont val="Roboto"/>
        <b/>
        <color rgb="FF980000"/>
        <sz val="14.0"/>
      </rPr>
      <t xml:space="preserve">Felkeine </t>
    </r>
    <r>
      <rPr>
        <rFont val="Roboto"/>
        <b/>
        <color rgb="FF980000"/>
        <sz val="7.0"/>
      </rPr>
      <t>(et absolument pas Achlarkimbatul promis)</t>
    </r>
  </si>
  <si>
    <t>Maverick</t>
  </si>
  <si>
    <r>
      <rPr>
        <rFont val="Roboto"/>
        <b/>
        <color rgb="FF980000"/>
        <sz val="14.0"/>
      </rPr>
      <t xml:space="preserve">Oliech </t>
    </r>
    <r>
      <rPr>
        <rFont val="Roboto"/>
        <b/>
        <color rgb="FF980000"/>
        <sz val="7.0"/>
      </rPr>
      <t>(et absolument pas Abstein promis)</t>
    </r>
  </si>
  <si>
    <r>
      <rPr>
        <rFont val="Roboto"/>
        <b/>
        <color theme="1"/>
        <sz val="10.0"/>
      </rPr>
      <t xml:space="preserve">Rappel du barême :
</t>
    </r>
    <r>
      <rPr>
        <rFont val="Roboto"/>
        <b val="0"/>
        <color theme="1"/>
        <sz val="10.0"/>
      </rPr>
      <t xml:space="preserve">- </t>
    </r>
    <r>
      <rPr>
        <rFont val="Roboto"/>
        <b/>
        <color rgb="FFFF0000"/>
        <sz val="10.0"/>
      </rPr>
      <t>1</t>
    </r>
    <r>
      <rPr>
        <rFont val="Roboto"/>
        <b val="0"/>
        <color theme="1"/>
        <sz val="10.0"/>
      </rPr>
      <t xml:space="preserve"> = injouable (NUL NUL NUL)
- </t>
    </r>
    <r>
      <rPr>
        <rFont val="Roboto"/>
        <b/>
        <color rgb="FFFF9900"/>
        <sz val="10.0"/>
      </rPr>
      <t>2</t>
    </r>
    <r>
      <rPr>
        <rFont val="Roboto"/>
        <b val="0"/>
        <color theme="1"/>
        <sz val="10.0"/>
      </rPr>
      <t xml:space="preserve"> = Vraiment pas ouf  </t>
    </r>
    <r>
      <rPr>
        <rFont val="Roboto"/>
        <b/>
        <color rgb="FFFF0000"/>
        <sz val="13.0"/>
      </rPr>
      <t>ET/OU</t>
    </r>
    <r>
      <rPr>
        <rFont val="Roboto"/>
        <b val="0"/>
        <color theme="1"/>
        <sz val="10.0"/>
      </rPr>
      <t xml:space="preserve">  jouable mais dans un archétype en particulier</t>
    </r>
    <r>
      <rPr>
        <rFont val="Roboto"/>
        <b/>
        <color theme="1"/>
        <sz val="10.0"/>
      </rPr>
      <t xml:space="preserve"> uniquement
</t>
    </r>
    <r>
      <rPr>
        <rFont val="Roboto"/>
        <b val="0"/>
        <color theme="1"/>
        <sz val="10.0"/>
      </rPr>
      <t xml:space="preserve">- </t>
    </r>
    <r>
      <rPr>
        <rFont val="Roboto"/>
        <b/>
        <color theme="1"/>
        <sz val="10.0"/>
      </rPr>
      <t>3</t>
    </r>
    <r>
      <rPr>
        <rFont val="Roboto"/>
        <b val="0"/>
        <color theme="1"/>
        <sz val="10.0"/>
      </rPr>
      <t xml:space="preserve"> = "OK" tier, équilibrée (ni mauvais ni incroyable)
- </t>
    </r>
    <r>
      <rPr>
        <rFont val="Roboto"/>
        <b/>
        <color rgb="FF46CD46"/>
        <sz val="10.0"/>
      </rPr>
      <t>4</t>
    </r>
    <r>
      <rPr>
        <rFont val="Roboto"/>
        <b val="0"/>
        <color theme="1"/>
        <sz val="10.0"/>
      </rPr>
      <t xml:space="preserve"> = Solide sur les appuis
-</t>
    </r>
    <r>
      <rPr>
        <rFont val="Roboto"/>
        <b/>
        <color rgb="FF274E13"/>
        <sz val="10.0"/>
      </rPr>
      <t xml:space="preserve"> </t>
    </r>
    <r>
      <rPr>
        <rFont val="Roboto"/>
        <b/>
        <color rgb="FF6AA84F"/>
        <sz val="10.0"/>
      </rPr>
      <t>5</t>
    </r>
    <r>
      <rPr>
        <rFont val="Roboto"/>
        <b val="0"/>
        <color theme="1"/>
        <sz val="10.0"/>
      </rPr>
      <t xml:space="preserve"> = Carte très forte +/- auto-include dans les decks adaptés  </t>
    </r>
    <r>
      <rPr>
        <rFont val="Roboto"/>
        <b/>
        <color rgb="FFFF0000"/>
        <sz val="13.0"/>
      </rPr>
      <t>ET/OU</t>
    </r>
    <r>
      <rPr>
        <rFont val="Roboto"/>
        <b val="0"/>
        <color theme="1"/>
        <sz val="10.0"/>
      </rPr>
      <t xml:space="preserve">  défini un archétype à elle toute seule</t>
    </r>
  </si>
  <si>
    <t>Homme de mains</t>
  </si>
  <si>
    <t>Œuf infect</t>
  </si>
  <si>
    <t>Caporal incorporel</t>
  </si>
  <si>
    <t>Geist ombreux</t>
  </si>
  <si>
    <t>Lanceur d’os</t>
  </si>
  <si>
    <t>Nécrolyte vrykul</t>
  </si>
  <si>
    <t>Paysanne infectée</t>
  </si>
  <si>
    <t>Arcaniste de Lune-d’Argent</t>
  </si>
  <si>
    <t>Chevalier sanguin</t>
  </si>
  <si>
    <t>Dragonnet d’ambre</t>
  </si>
  <si>
    <t>Embaumeur drakkari</t>
  </si>
  <si>
    <t>Enragé du Fléau</t>
  </si>
  <si>
    <t>Prêtresse solfurie</t>
  </si>
  <si>
    <t>Sentinelle de Lune-d'Argent</t>
  </si>
  <si>
    <t>Vizir nérubien</t>
  </si>
  <si>
    <t>Zombie peau-friable</t>
  </si>
  <si>
    <t>Armurière de Lune-d’Argent</t>
  </si>
  <si>
    <t>Balayeur de rues</t>
  </si>
  <si>
    <t>Gargouille écorche-peau</t>
  </si>
  <si>
    <t>Banshee</t>
  </si>
  <si>
    <t>:O</t>
  </si>
  <si>
    <t>Médecin légiste</t>
  </si>
  <si>
    <t>Goule infectieuse</t>
  </si>
  <si>
    <t>Instructrice de transposition</t>
  </si>
  <si>
    <t>San’layn tenace</t>
  </si>
  <si>
    <t>Béhémoth de chair</t>
  </si>
  <si>
    <t>Enchanteur</t>
  </si>
  <si>
    <t>Négociante en cristal</t>
  </si>
  <si>
    <t>Éleveuse de faucons-pérégrins</t>
  </si>
  <si>
    <t>Courbe-sort du sanctum</t>
  </si>
  <si>
    <t>Répandeur de peste</t>
  </si>
  <si>
    <t>Astalor Ligessang</t>
  </si>
  <si>
    <t>Seigneur-des-ossements Murmegivre</t>
  </si>
  <si>
    <t>Lor'Themar Theron</t>
  </si>
  <si>
    <t>Invincible</t>
  </si>
  <si>
    <t>Mort-vivant / Bête</t>
  </si>
  <si>
    <t>Le Puits de soleil</t>
  </si>
  <si>
    <t>Cor de l'hiver</t>
  </si>
  <si>
    <t>Acolyte squelettique</t>
  </si>
  <si>
    <r>
      <rPr>
        <rFont val="Roboto"/>
        <b/>
        <color rgb="FF1155CC"/>
        <sz val="11.0"/>
        <u/>
      </rPr>
      <t>Brise-givre ymirjar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</si>
  <si>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Brise-os</t>
    </r>
    <r>
      <rPr>
        <rFont val="Roboto"/>
        <b/>
        <sz val="11.0"/>
      </rPr>
      <t xml:space="preserve">     </t>
    </r>
  </si>
  <si>
    <t>Frappe au cœur</t>
  </si>
  <si>
    <t>Ramasse-cadavres</t>
  </si>
  <si>
    <t>Toucher de glace</t>
  </si>
  <si>
    <r>
      <rPr>
        <rFont val="Roboto"/>
        <b/>
        <color rgb="FF1155CC"/>
        <sz val="11.0"/>
        <u/>
      </rPr>
      <t>Fossoyeuse nécrotique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</si>
  <si>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Frappe de givre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</si>
  <si>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Frappe pestiférée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</si>
  <si>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Messagère de l'hiver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</si>
  <si>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Nécromancien belliciste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</si>
  <si>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Sombre transformation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</si>
  <si>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Acolyte de la mort</t>
    </r>
    <r>
      <rPr>
        <rFont val="Roboto"/>
        <b/>
        <sz val="11.0"/>
      </rPr>
      <t xml:space="preserve">     </t>
    </r>
  </si>
  <si>
    <t>Asphyxier</t>
  </si>
  <si>
    <r>
      <rPr>
        <rFont val="Roboto"/>
        <b/>
        <color rgb="FF1155CC"/>
        <sz val="11.0"/>
        <u/>
      </rPr>
      <t>Avancée glaciale</t>
    </r>
    <r>
      <rPr>
        <rFont val="Roboto"/>
        <b/>
        <sz val="11.0"/>
      </rPr>
      <t xml:space="preserve">     </t>
    </r>
  </si>
  <si>
    <t>Baron Chute-des-Froids</t>
  </si>
  <si>
    <t>Brisâme</t>
  </si>
  <si>
    <t>Néophyte ténébrante</t>
  </si>
  <si>
    <r>
      <rPr>
        <rFont val="Roboto"/>
        <b/>
        <color rgb="FF1155CC"/>
        <sz val="11.0"/>
        <u/>
      </rPr>
      <t>Rafale hurlante</t>
    </r>
    <r>
      <rPr>
        <rFont val="Roboto"/>
        <b/>
        <sz val="11.0"/>
      </rPr>
      <t xml:space="preserve">     </t>
    </r>
  </si>
  <si>
    <t>Frappe de mort</t>
  </si>
  <si>
    <r>
      <rPr>
        <rFont val="Roboto"/>
        <b/>
        <color rgb="FF1155CC"/>
        <sz val="11.0"/>
        <u/>
      </rPr>
      <t>Garde-essaim nérubien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</si>
  <si>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Hiver impitoyable</t>
    </r>
    <r>
      <rPr>
        <rFont val="Roboto"/>
        <b/>
        <sz val="11.0"/>
      </rPr>
      <t xml:space="preserve">     </t>
    </r>
  </si>
  <si>
    <t>Horreur malveillante</t>
  </si>
  <si>
    <r>
      <rPr>
        <rFont val="Roboto"/>
        <b/>
        <color rgb="FF1155CC"/>
        <sz val="11.0"/>
        <u/>
      </rPr>
      <t>Armée des morts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</si>
  <si>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Possessionaire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</si>
  <si>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Croque-gnomes</t>
    </r>
    <r>
      <rPr>
        <rFont val="Roboto"/>
        <b/>
        <sz val="11.0"/>
      </rPr>
      <t xml:space="preserve">     </t>
    </r>
  </si>
  <si>
    <t>Porte-Cendres corrompue</t>
  </si>
  <si>
    <t>Cadavre nocif</t>
  </si>
  <si>
    <r>
      <rPr>
        <rFont val="Roboto"/>
        <b/>
        <color rgb="FF1155CC"/>
        <sz val="11.0"/>
        <u/>
      </rPr>
      <t>Céréales pestiférées</t>
    </r>
    <r>
      <rPr>
        <rFont val="Roboto"/>
        <b/>
        <sz val="11.0"/>
      </rPr>
      <t xml:space="preserve">     </t>
    </r>
  </si>
  <si>
    <t>***</t>
  </si>
  <si>
    <t>Runeforge</t>
  </si>
  <si>
    <t>Drain sanglant</t>
  </si>
  <si>
    <r>
      <rPr>
        <rFont val="Roboto"/>
        <b/>
        <color rgb="FF1155CC"/>
        <sz val="11.0"/>
        <u/>
      </rPr>
      <t>Dégivrage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</si>
  <si>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Geist chercheuse d'os</t>
    </r>
    <r>
      <rPr>
        <rFont val="Roboto"/>
        <b/>
        <sz val="11.0"/>
      </rPr>
      <t xml:space="preserve">     </t>
    </r>
  </si>
  <si>
    <t>Hématurge</t>
  </si>
  <si>
    <r>
      <rPr>
        <rFont val="Roboto,Arial"/>
        <b/>
        <color rgb="FF1155CC"/>
        <sz val="11.0"/>
        <u/>
      </rPr>
      <t>Porte-froid de la mort</t>
    </r>
    <r>
      <rPr>
        <rFont val="Roboto,Arial"/>
        <b/>
        <color rgb="FF1155CC"/>
        <sz val="11.0"/>
        <u/>
      </rPr>
      <t xml:space="preserve">    </t>
    </r>
  </si>
  <si>
    <r>
      <rPr>
        <rFont val="Roboto"/>
        <b/>
        <color rgb="FF1155CC"/>
        <sz val="11.0"/>
        <u/>
      </rPr>
      <t>Sang vampirique</t>
    </r>
    <r>
      <rPr>
        <rFont val="Roboto"/>
        <b/>
        <sz val="11.0"/>
      </rPr>
      <t xml:space="preserve">    </t>
    </r>
  </si>
  <si>
    <t>Ver de sang vicieux</t>
  </si>
  <si>
    <r>
      <rPr>
        <rFont val="Roboto"/>
        <b/>
        <color rgb="FF1155CC"/>
        <sz val="11.0"/>
        <u/>
      </rPr>
      <t>Carapace anti-magie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</si>
  <si>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Porte-mort ymirjar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</si>
  <si>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Transfert mortuaire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</si>
  <si>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Frénésie impie</t>
    </r>
    <r>
      <rPr>
        <rFont val="Roboto"/>
        <b/>
        <sz val="11.0"/>
      </rPr>
      <t xml:space="preserve">     </t>
    </r>
  </si>
  <si>
    <r>
      <rPr>
        <rFont val="Roboto,Arial"/>
        <b/>
        <color rgb="FF1155CC"/>
        <sz val="11.0"/>
        <u/>
      </rPr>
      <t>Épée de Frigecroc</t>
    </r>
    <r>
      <rPr>
        <rFont val="Roboto,Arial"/>
        <b/>
        <color rgb="FF1155CC"/>
        <sz val="11.0"/>
        <u/>
      </rPr>
      <t xml:space="preserve">    </t>
    </r>
  </si>
  <si>
    <r>
      <rPr>
        <rFont val="Roboto"/>
        <b/>
        <color rgb="FF1155CC"/>
        <sz val="11.0"/>
        <u/>
      </rPr>
      <t>Gardiens des tombes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</si>
  <si>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Explosion morbide</t>
    </r>
    <r>
      <rPr>
        <rFont val="Roboto"/>
        <b/>
        <sz val="11.0"/>
      </rPr>
      <t xml:space="preserve">    </t>
    </r>
  </si>
  <si>
    <t>Mariée cadavérique</t>
  </si>
  <si>
    <r>
      <rPr>
        <rFont val="Roboto"/>
        <b/>
        <color rgb="FF1155CC"/>
        <sz val="11.0"/>
        <u/>
      </rPr>
      <t>Sculpteur de frimas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</si>
  <si>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Manipulatrice de moelle</t>
    </r>
    <r>
      <rPr>
        <rFont val="Roboto"/>
        <b/>
        <sz val="11.0"/>
      </rPr>
      <t xml:space="preserve">    </t>
    </r>
  </si>
  <si>
    <t>Commandante de la garde d'os</t>
  </si>
  <si>
    <r>
      <rPr>
        <rFont val="Roboto"/>
        <b/>
        <color rgb="FF1155CC"/>
        <sz val="11.0"/>
        <u/>
      </rPr>
      <t>Anéantissement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</si>
  <si>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Hachoir à viande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</si>
  <si>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Garngantua repoussant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</si>
  <si>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Puissance de Menethil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</si>
  <si>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Puissance sépulcrale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</si>
  <si>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Furoncle sanglant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</si>
  <si>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Fureur du wyrm de givre</t>
    </r>
    <r>
      <rPr>
        <rFont val="Roboto"/>
        <b/>
        <sz val="11.0"/>
      </rPr>
      <t xml:space="preserve">    </t>
    </r>
  </si>
  <si>
    <t>Voleur d'âmes</t>
  </si>
  <si>
    <t>Géant raccommodé</t>
  </si>
  <si>
    <r>
      <rPr>
        <rFont val="Roboto"/>
        <b/>
        <color rgb="FF1155CC"/>
        <sz val="11.0"/>
        <u/>
      </rPr>
      <t>Chancroc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</si>
  <si>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Dame Murmemort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</si>
  <si>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Thassarian</t>
    </r>
    <r>
      <rPr>
        <rFont val="Roboto"/>
        <b/>
        <sz val="11.0"/>
      </rPr>
      <t xml:space="preserve">     </t>
    </r>
  </si>
  <si>
    <t>Porte-mort Saurcroc</t>
  </si>
  <si>
    <r>
      <rPr>
        <rFont val="Roboto"/>
        <b/>
        <color rgb="FF1155CC"/>
        <sz val="11.0"/>
        <u/>
      </rPr>
      <t>Contremaîtresse Frigidara</t>
    </r>
    <r>
      <rPr>
        <rFont val="Roboto"/>
        <b/>
        <sz val="11.0"/>
      </rPr>
      <t xml:space="preserve">     </t>
    </r>
  </si>
  <si>
    <t>Alexandros Mograine</t>
  </si>
  <si>
    <t>Frostmourne</t>
  </si>
  <si>
    <r>
      <rPr>
        <rFont val="Roboto"/>
        <b/>
        <color rgb="FF1155CC"/>
        <sz val="11.0"/>
        <u/>
      </rPr>
      <t>Le Recousu</t>
    </r>
    <r>
      <rPr>
        <rFont val="Roboto"/>
        <b/>
        <sz val="11.0"/>
      </rPr>
      <t xml:space="preserve">     </t>
    </r>
  </si>
  <si>
    <r>
      <rPr>
        <rFont val="Roboto"/>
        <b/>
        <color rgb="FF1155CC"/>
        <sz val="11.0"/>
        <u/>
      </rPr>
      <t>Seigneur Gargamoelle</t>
    </r>
    <r>
      <rPr>
        <rFont val="Roboto"/>
        <b/>
        <sz val="11.0"/>
      </rPr>
      <t xml:space="preserve">    </t>
    </r>
  </si>
  <si>
    <r>
      <rPr>
        <rFont val="Roboto"/>
        <b/>
        <color rgb="FF1155CC"/>
        <sz val="11.0"/>
        <u/>
      </rPr>
      <t>Le Fléau</t>
    </r>
    <r>
      <rPr>
        <rFont val="Roboto"/>
        <b/>
        <sz val="11.0"/>
      </rPr>
      <t xml:space="preserve">    </t>
    </r>
  </si>
  <si>
    <t>Puissance incandescente</t>
  </si>
  <si>
    <t>Lumière du phénix</t>
  </si>
  <si>
    <t>Fidèle Furie-d'Argent</t>
  </si>
  <si>
    <t>Braises de force</t>
  </si>
  <si>
    <t>Dernier rempart</t>
  </si>
  <si>
    <t>Forge d’éclat solaire</t>
  </si>
  <si>
    <t>Championne solfurie</t>
  </si>
  <si>
    <t>Brise-sort perturbateur</t>
  </si>
  <si>
    <t>Asvedon, le grand bouclier</t>
  </si>
  <si>
    <t>Thori’belore</t>
  </si>
  <si>
    <t>Provisions du Fléau</t>
  </si>
  <si>
    <t>Revenant</t>
  </si>
  <si>
    <t>Réanimatrice d'infanterie</t>
  </si>
  <si>
    <t>Lien corrompu</t>
  </si>
  <si>
    <t>Barrage d’âmes</t>
  </si>
  <si>
    <t>Ymirjar sauvage</t>
  </si>
  <si>
    <t>Tombe peu profonde</t>
  </si>
  <si>
    <t>Crustacé/5</t>
  </si>
  <si>
    <t>Gelée amorphe</t>
  </si>
  <si>
    <t>Dévoreur d'âmes</t>
  </si>
  <si>
    <t>Dar'Khan le Traître</t>
  </si>
  <si>
    <t>Aura de Tissemort</t>
  </si>
  <si>
    <t>Champion non-vivant</t>
  </si>
  <si>
    <t>Adjurateur de l’effroi</t>
  </si>
  <si>
    <t>Suffusion d’ombre</t>
  </si>
  <si>
    <t>Prescience</t>
  </si>
  <si>
    <t>De l’Autre côté</t>
  </si>
  <si>
    <t>Troll du Fléau</t>
  </si>
  <si>
    <t>Berserker chancre-sang</t>
  </si>
  <si>
    <t>Branchie pourrie</t>
  </si>
  <si>
    <t>Mort-vivant / Murloc</t>
  </si>
  <si>
    <t>Suzerain Drakuru</t>
  </si>
  <si>
    <t>Décocteur</t>
  </si>
  <si>
    <t>Frappe fantomatique</t>
  </si>
  <si>
    <t>Rongeur putride</t>
  </si>
  <si>
    <t>Ceinture à potions</t>
  </si>
  <si>
    <t>Goulchimiste</t>
  </si>
  <si>
    <t>Infiltrateur nocif</t>
  </si>
  <si>
    <t>Apothicaire infâme</t>
  </si>
  <si>
    <t>Illusionniste du Fléau</t>
  </si>
  <si>
    <t>Ombre du trépas</t>
  </si>
  <si>
    <t>Ca dépend</t>
  </si>
  <si>
    <t>Maître des potions Putricide</t>
  </si>
  <si>
    <t>Zombie persistant</t>
  </si>
  <si>
    <t>Mort-Vivant</t>
  </si>
  <si>
    <t>Volant nérubien</t>
  </si>
  <si>
    <t>Essaim infini</t>
  </si>
  <si>
    <t>Garde-crypte</t>
  </si>
  <si>
    <t>Carapace chitineuse</t>
  </si>
  <si>
    <t>Scarabomancie</t>
  </si>
  <si>
    <t>Flétrissement</t>
  </si>
  <si>
    <t>Sous-roi</t>
  </si>
  <si>
    <t>Ancien Nadox</t>
  </si>
  <si>
    <t>Anub’Rekhan</t>
  </si>
  <si>
    <t>Tir à ricochets</t>
  </si>
  <si>
    <t>Crache-foudre</t>
  </si>
  <si>
    <t>Guetteuse œil-perçant</t>
  </si>
  <si>
    <t>Flèche invoquée</t>
  </si>
  <si>
    <t>Pérégrin de Lune-d'Argent</t>
  </si>
  <si>
    <t>Portail des Chants éternels</t>
  </si>
  <si>
    <t>Carquois arcanique</t>
  </si>
  <si>
    <t>Dompteur du Fléau</t>
  </si>
  <si>
    <t>Halduron Luisaile</t>
  </si>
  <si>
    <t>Espoir de Quel’Thalas</t>
  </si>
  <si>
    <t>Mandebrume/5</t>
  </si>
  <si>
    <t>Alliés immortels</t>
  </si>
  <si>
    <t>Sectateur forgecristal</t>
  </si>
  <si>
    <t>Mange-esprit</t>
  </si>
  <si>
    <t>Armée des morts</t>
  </si>
  <si>
    <t>Mande-os</t>
  </si>
  <si>
    <t>Mot de l’ombre : non-mort</t>
  </si>
  <si>
    <t>Cauchemar obsédant</t>
  </si>
  <si>
    <t>Fossoyage</t>
  </si>
  <si>
    <t>Grand sectateur Basaleph</t>
  </si>
  <si>
    <t>Sœur Svalna</t>
  </si>
  <si>
    <t>Ver des Arcanes</t>
  </si>
  <si>
    <t>Eclair des Arcanes</t>
  </si>
  <si>
    <t>Apprentie du magistère</t>
  </si>
  <si>
    <t>Grande sagesse</t>
  </si>
  <si>
    <t>Tranche-arcane</t>
  </si>
  <si>
    <t>Défenseurs des arcanes</t>
  </si>
  <si>
    <t>Elémentaire prismatique</t>
  </si>
  <si>
    <t>Façonneur d'énergie</t>
  </si>
  <si>
    <t>Vexallus</t>
  </si>
  <si>
    <t>Grand magistère Rommath</t>
  </si>
  <si>
    <t>Festin et famine</t>
  </si>
  <si>
    <t>Sceau de sang</t>
  </si>
  <si>
    <t>Sort sacré</t>
  </si>
  <si>
    <t>Drake intrépide</t>
  </si>
  <si>
    <t>Soldate sanguine</t>
  </si>
  <si>
    <t>Vol de bronze</t>
  </si>
  <si>
    <t>Pour Quel'Thalas !</t>
  </si>
  <si>
    <t>Gardien du temps</t>
  </si>
  <si>
    <t>Croisé sanglant</t>
  </si>
  <si>
    <t>Liadrin, matriarche de sang</t>
  </si>
  <si>
    <t>Anachronos</t>
  </si>
  <si>
    <t>Etranger féroce</t>
  </si>
  <si>
    <t>Marque de dédain</t>
  </si>
  <si>
    <t>Troupe de guerre fiel'dorei</t>
  </si>
  <si>
    <t>Déchaînement de fiel</t>
  </si>
  <si>
    <t>Pacte avec un démon</t>
  </si>
  <si>
    <t>Vengeresse cogneuse</t>
  </si>
  <si>
    <t>Exilé maudit</t>
  </si>
  <si>
    <t>Annihiléen brutal</t>
  </si>
  <si>
    <t>Faux de la Dévoreuse d'âmes</t>
  </si>
  <si>
    <t>Fielerin l'Oublié</t>
  </si>
  <si>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playhearthstone.com</t>
    </r>
  </si>
  <si>
    <t>Felkeine</t>
  </si>
  <si>
    <t>Oliech</t>
  </si>
  <si>
    <t>Employé purotin</t>
  </si>
  <si>
    <t>Totem de stèle du vice</t>
  </si>
  <si>
    <t>Guide du labyrinthe</t>
  </si>
  <si>
    <t>Prêtre des défunts</t>
  </si>
  <si>
    <t>Squelette instable</t>
  </si>
  <si>
    <t>Etrangère louche</t>
  </si>
  <si>
    <t>Informatrice anonyme</t>
  </si>
  <si>
    <t>Gargouille perchée</t>
  </si>
  <si>
    <t>Scientifique épousseteur</t>
  </si>
  <si>
    <t>Lien</t>
  </si>
  <si>
    <t>Tableau sinistre</t>
  </si>
  <si>
    <t>Artiste de soirée</t>
  </si>
  <si>
    <t>Accusateur vive-pierre</t>
  </si>
  <si>
    <t>Goule médisante</t>
  </si>
  <si>
    <t>Murlocula</t>
  </si>
  <si>
    <t>Plombière bourbeuse</t>
  </si>
  <si>
    <t>Vicéquin</t>
  </si>
  <si>
    <t>Fétarde masquée</t>
  </si>
  <si>
    <t>Créature des marais</t>
  </si>
  <si>
    <t>Hareng saur</t>
  </si>
  <si>
    <t>Général vive-pierre</t>
  </si>
  <si>
    <t>Cuisinier toqué</t>
  </si>
  <si>
    <t>Porteur d'invitations</t>
  </si>
  <si>
    <t>Âme dépossédée</t>
  </si>
  <si>
    <t>Bouffon affamé</t>
  </si>
  <si>
    <t>Nettoyeur à vapeur</t>
  </si>
  <si>
    <t>Elementaire cendreux</t>
  </si>
  <si>
    <t>Elementaire</t>
  </si>
  <si>
    <t>Inventrice dévastatrice</t>
  </si>
  <si>
    <t>Golem pécheur</t>
  </si>
  <si>
    <t>Dévoreur insatiable</t>
  </si>
  <si>
    <t>Trouble-fête</t>
  </si>
  <si>
    <t>Murloc Holmes</t>
  </si>
  <si>
    <t>Prince Rénathal</t>
  </si>
  <si>
    <t>Théotar, le duc fou</t>
  </si>
  <si>
    <t>Kael'thas Vile-Soleil</t>
  </si>
  <si>
    <t>Sir Denathrius</t>
  </si>
  <si>
    <t>Hache imprégnée</t>
  </si>
  <si>
    <t>Extracteur d'anima</t>
  </si>
  <si>
    <t>Misérable folle</t>
  </si>
  <si>
    <t>Profondeurs Sanguines</t>
  </si>
  <si>
    <t>Pirate suspect</t>
  </si>
  <si>
    <t>Bannière de conquête</t>
  </si>
  <si>
    <t>Fardeau d'orgueil</t>
  </si>
  <si>
    <t>Emeute !</t>
  </si>
  <si>
    <t>Rémornia, lame vivante</t>
  </si>
  <si>
    <t>Décimatrice Olgra</t>
  </si>
  <si>
    <t>Né-de-l'ombre</t>
  </si>
  <si>
    <t>Valse des ombres</t>
  </si>
  <si>
    <t>Libraire sur les nerfs</t>
  </si>
  <si>
    <t>Bibliothèque infâme</t>
  </si>
  <si>
    <t xml:space="preserve">Diablotin malfaisant </t>
  </si>
  <si>
    <t>Ombres suffocantes</t>
  </si>
  <si>
    <t>Altération de tome</t>
  </si>
  <si>
    <t>Diablotinerie imminente</t>
  </si>
  <si>
    <t>Dame Sombreveine</t>
  </si>
  <si>
    <t>Rafaam, le roi des diablotins</t>
  </si>
  <si>
    <t xml:space="preserve">Burin de gravure </t>
  </si>
  <si>
    <t>Identification du suspect</t>
  </si>
  <si>
    <t>Concierge crasseux</t>
  </si>
  <si>
    <t>Totem fêtard</t>
  </si>
  <si>
    <t xml:space="preserve">Déguisement convaincant </t>
  </si>
  <si>
    <t xml:space="preserve">Sort </t>
  </si>
  <si>
    <t>Bassins boueux</t>
  </si>
  <si>
    <t>Vague primordiale</t>
  </si>
  <si>
    <t>Gigantotem</t>
  </si>
  <si>
    <t>Créalithe</t>
  </si>
  <si>
    <t>Baronne Vashj</t>
  </si>
  <si>
    <t>Empêtré jusqu'au cou</t>
  </si>
  <si>
    <t>Secret</t>
  </si>
  <si>
    <t>Détective privé</t>
  </si>
  <si>
    <t>Double jeu</t>
  </si>
  <si>
    <t>Pointe d'os dentelée</t>
  </si>
  <si>
    <t>Cimetière du vice</t>
  </si>
  <si>
    <t xml:space="preserve">Porte des ombres </t>
  </si>
  <si>
    <t>Sort ombre</t>
  </si>
  <si>
    <t>Fossoyeuse spectrale</t>
  </si>
  <si>
    <t>Kidnapping</t>
  </si>
  <si>
    <t>Halkias</t>
  </si>
  <si>
    <t>Nécro-seignereusse Draka</t>
  </si>
  <si>
    <t>Preuve sème-doute</t>
  </si>
  <si>
    <t xml:space="preserve"> </t>
  </si>
  <si>
    <t>Cause naturelle</t>
  </si>
  <si>
    <t>Broyeur de fatalées</t>
  </si>
  <si>
    <t>Bourgeon de belladonne</t>
  </si>
  <si>
    <t xml:space="preserve">Complot du péché </t>
  </si>
  <si>
    <t>Labyrinthe végétal</t>
  </si>
  <si>
    <t>Appel des esprits</t>
  </si>
  <si>
    <t>Horticulteur d'endeuillées</t>
  </si>
  <si>
    <t>Sesselie de la cour des Faë</t>
  </si>
  <si>
    <t>Topior le Massigazzor</t>
  </si>
  <si>
    <t>Crocs frénétiques</t>
  </si>
  <si>
    <t>Invité timbré</t>
  </si>
  <si>
    <t>Gargon lié à la pierre</t>
  </si>
  <si>
    <t>Braconnière d'esprits</t>
  </si>
  <si>
    <t xml:space="preserve">Chenil du château </t>
  </si>
  <si>
    <t>Dégats collatéraux</t>
  </si>
  <si>
    <t>Cerf chargeant</t>
  </si>
  <si>
    <t>Esprits sauvages</t>
  </si>
  <si>
    <t>Altimor le Veneur</t>
  </si>
  <si>
    <t>Ara'lon</t>
  </si>
  <si>
    <t>La lumière brule</t>
  </si>
  <si>
    <t xml:space="preserve">Sort Sacré </t>
  </si>
  <si>
    <t>Usurpation d'identité</t>
  </si>
  <si>
    <t>Complice</t>
  </si>
  <si>
    <t>Place nette</t>
  </si>
  <si>
    <t>Cathédrale de l'Expiation</t>
  </si>
  <si>
    <t>Appariteur suspect</t>
  </si>
  <si>
    <t>faveur de l'Ascension</t>
  </si>
  <si>
    <t>Visite mystérieuse</t>
  </si>
  <si>
    <t>Moissonneur de l'envie</t>
  </si>
  <si>
    <t>Pélagos</t>
  </si>
  <si>
    <t>Toucher gelé</t>
  </si>
  <si>
    <t>Affaire glacée</t>
  </si>
  <si>
    <t>Barmaid bavarde</t>
  </si>
  <si>
    <t>Alchimiste suspecte</t>
  </si>
  <si>
    <t>Sanctuaire noctecape</t>
  </si>
  <si>
    <t>Portemort</t>
  </si>
  <si>
    <t>Alibi solide</t>
  </si>
  <si>
    <t>Visage vengeur</t>
  </si>
  <si>
    <t>Kel'Thuzad l'Inevitable</t>
  </si>
  <si>
    <t>Orion, intendant du manoir</t>
  </si>
  <si>
    <t>Serviteur bourbe-né</t>
  </si>
  <si>
    <t>Groga vorace</t>
  </si>
  <si>
    <t>Sous-cheffe immorale</t>
  </si>
  <si>
    <t>Grande salle</t>
  </si>
  <si>
    <t>Glas divin</t>
  </si>
  <si>
    <t>Cloche de service</t>
  </si>
  <si>
    <t>Promotion</t>
  </si>
  <si>
    <t>Snob élitiste</t>
  </si>
  <si>
    <t xml:space="preserve">Régis, le régisseur </t>
  </si>
  <si>
    <t>La comtesse</t>
  </si>
  <si>
    <t>Glaive amplificateur</t>
  </si>
  <si>
    <t>Bibliomite</t>
  </si>
  <si>
    <t>Relique de l'extinction</t>
  </si>
  <si>
    <t>Relique</t>
  </si>
  <si>
    <t>Relique des illusions</t>
  </si>
  <si>
    <t>Caveau des reliques</t>
  </si>
  <si>
    <t>Elimination des preuves</t>
  </si>
  <si>
    <t>Relique des dimensions</t>
  </si>
  <si>
    <t>Marque immorale</t>
  </si>
  <si>
    <t>Kryxis le Vorace</t>
  </si>
  <si>
    <t>Artificier Xy'mox</t>
  </si>
  <si>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https://urlz.fr/hVyJ</t>
    </r>
  </si>
  <si>
    <t>Pince-o-tron</t>
  </si>
  <si>
    <t>Piranha grouillant</t>
  </si>
  <si>
    <t>Pélican plongeur</t>
  </si>
  <si>
    <t>Automate de sécurité</t>
  </si>
  <si>
    <t xml:space="preserve">Brillécaille arc-en-ciel
</t>
  </si>
  <si>
    <t>Chalutier rohart</t>
  </si>
  <si>
    <t>Mine marine</t>
  </si>
  <si>
    <t>Scribe en eaux troubles</t>
  </si>
  <si>
    <t xml:space="preserve">Gardienne du trésor
</t>
  </si>
  <si>
    <t>Marcheur des récifs</t>
  </si>
  <si>
    <t>Opératrice de motomarine</t>
  </si>
  <si>
    <t>Plongeur visquécaille</t>
  </si>
  <si>
    <t>Poing-fugu</t>
  </si>
  <si>
    <t>Baba Naga</t>
  </si>
  <si>
    <t>Crustacé cupide</t>
  </si>
  <si>
    <t>Spécialiste des fouilles</t>
  </si>
  <si>
    <t>Plongeur sur planche</t>
  </si>
  <si>
    <t>Ravageur gorloc</t>
  </si>
  <si>
    <t>Sentinelle d’Azshara</t>
  </si>
  <si>
    <t>Ensorceleuse barbare</t>
  </si>
  <si>
    <t>Casquard-l'hermite</t>
  </si>
  <si>
    <t>Ondulance féroce</t>
  </si>
  <si>
    <t>Massacreur pince-broyeuse</t>
  </si>
  <si>
    <t>Surf de Double-aileron</t>
  </si>
  <si>
    <t>Vaisseau mère</t>
  </si>
  <si>
    <t>Amalgame des profondeurs</t>
  </si>
  <si>
    <t>Étoile de mer étouffante</t>
  </si>
  <si>
    <t>Institutrice</t>
  </si>
  <si>
    <t>Mortécaille rampant</t>
  </si>
  <si>
    <t>Géant naga</t>
  </si>
  <si>
    <t>Sir Finley, guide maritime</t>
  </si>
  <si>
    <t>Ambassadeur Faelin</t>
  </si>
  <si>
    <t>Maître-lame Okani</t>
  </si>
  <si>
    <t>Ini Glissorage</t>
  </si>
  <si>
    <t>Reine Azshara</t>
  </si>
  <si>
    <t>Forgé dans les flammes</t>
  </si>
  <si>
    <t>Sort feu</t>
  </si>
  <si>
    <t>Garde de la ville</t>
  </si>
  <si>
    <t>Trident d'Azshara</t>
  </si>
  <si>
    <t>Forgeur d'obsidienne</t>
  </si>
  <si>
    <t>Menace des profondeurs</t>
  </si>
  <si>
    <t xml:space="preserve">Sort   </t>
  </si>
  <si>
    <t>Brute noirécaille</t>
  </si>
  <si>
    <t>Flammes de Zin-Azshart</t>
  </si>
  <si>
    <t>Traque-fosse</t>
  </si>
  <si>
    <t>Dame Corsandre</t>
  </si>
  <si>
    <t>Nellie, la lamie légendaire</t>
  </si>
  <si>
    <t>Sectatrice de Sira'kess</t>
  </si>
  <si>
    <t>Pillard d'Azshara</t>
  </si>
  <si>
    <t>Englouti par les abîmes</t>
  </si>
  <si>
    <t>Au plus bas</t>
  </si>
  <si>
    <t xml:space="preserve">Sort  </t>
  </si>
  <si>
    <t>Branchie du Vide</t>
  </si>
  <si>
    <t>Aileron noir piste-sang</t>
  </si>
  <si>
    <t>Seau d'appâts</t>
  </si>
  <si>
    <t>Vague abyssale</t>
  </si>
  <si>
    <t>Za'qul</t>
  </si>
  <si>
    <t>Gigaileron</t>
  </si>
  <si>
    <t>Geyser bouillant</t>
  </si>
  <si>
    <t>Banc de carnivores</t>
  </si>
  <si>
    <t>Totem ancré</t>
  </si>
  <si>
    <t>Parchemin d'Azshara</t>
  </si>
  <si>
    <t>Braconnier de piranhas</t>
  </si>
  <si>
    <t>Sentinelle des coraux</t>
  </si>
  <si>
    <t>Bioluminescence</t>
  </si>
  <si>
    <t>Sort nature</t>
  </si>
  <si>
    <t>Enchanteur iréchine</t>
  </si>
  <si>
    <t>Radiance d'Azshara</t>
  </si>
  <si>
    <t>Gloup le grandgousier</t>
  </si>
  <si>
    <t>Espadonneuse</t>
  </si>
  <si>
    <t>Fournisseur de coutelas</t>
  </si>
  <si>
    <t>Du sang dans l'eau</t>
  </si>
  <si>
    <t>Pêche miraculeuse</t>
  </si>
  <si>
    <t xml:space="preserve">Espadon </t>
  </si>
  <si>
    <t>Entourloupeur vivécaille</t>
  </si>
  <si>
    <t>Vaisseau d'Azshara</t>
  </si>
  <si>
    <t>Submergé crochebotte</t>
  </si>
  <si>
    <t>Crabatoa</t>
  </si>
  <si>
    <t>Amirale pirate Double-Crochet</t>
  </si>
  <si>
    <t>Jardins d'Azshara</t>
  </si>
  <si>
    <t>Amis barboteurs</t>
  </si>
  <si>
    <t>Croissance miraculeuse</t>
  </si>
  <si>
    <t>Forme aquatique</t>
  </si>
  <si>
    <t>Gardien de varech assoupi</t>
  </si>
  <si>
    <t>Jardinière à la main verte</t>
  </si>
  <si>
    <t>Poisson benthique</t>
  </si>
  <si>
    <t>Frappe marinière</t>
  </si>
  <si>
    <t>Colaque</t>
  </si>
  <si>
    <t>Hedra l'Hérétique</t>
  </si>
  <si>
    <t>Filet barbelé</t>
  </si>
  <si>
    <t>Appel de la conque</t>
  </si>
  <si>
    <t>Sabre d'Azshara</t>
  </si>
  <si>
    <t>Fusil-harpon</t>
  </si>
  <si>
    <t>Fierté des Nagas</t>
  </si>
  <si>
    <t>Glissefroi à deux arcs</t>
  </si>
  <si>
    <t>Aiguillons d'oursin</t>
  </si>
  <si>
    <t>Manoeuvre d'urgence</t>
  </si>
  <si>
    <t>Raj Naz'jan</t>
  </si>
  <si>
    <t>Hydrolodon</t>
  </si>
  <si>
    <t>Illumination</t>
  </si>
  <si>
    <t>Garde de la reine</t>
  </si>
  <si>
    <t>Echange inattendu</t>
  </si>
  <si>
    <t>Murmures des profondeurs</t>
  </si>
  <si>
    <t>Suivante</t>
  </si>
  <si>
    <t>Rituel d'Azshara</t>
  </si>
  <si>
    <t>Perruque serpentine</t>
  </si>
  <si>
    <t>Tourbillon océanique</t>
  </si>
  <si>
    <t>Prêtresse Valishj</t>
  </si>
  <si>
    <t>Béhémoth des flots noirs</t>
  </si>
  <si>
    <t>Ricochet de sort</t>
  </si>
  <si>
    <t>Méca-requin</t>
  </si>
  <si>
    <t>Nettoyeur d'Azshara</t>
  </si>
  <si>
    <t>Dons d'Azshara</t>
  </si>
  <si>
    <t>Arpenteur des fosses</t>
  </si>
  <si>
    <t>Porte des grands fonds</t>
  </si>
  <si>
    <t>Vulcanomancie</t>
  </si>
  <si>
    <t>Sirène fouette-bile</t>
  </si>
  <si>
    <t>Commandante Sivara</t>
  </si>
  <si>
    <t>Gaia, le tech-tonique</t>
  </si>
  <si>
    <t>Sauveteuse des grands fonds</t>
  </si>
  <si>
    <t>Bul-o-tron</t>
  </si>
  <si>
    <t>Immortalisées dans la pierre</t>
  </si>
  <si>
    <t>Maki divin</t>
  </si>
  <si>
    <t>Capteur lunaire d'Azshara</t>
  </si>
  <si>
    <t>Poisson-lune chatoyant</t>
  </si>
  <si>
    <t>Détecteur radar</t>
  </si>
  <si>
    <t>Grâce des jardins</t>
  </si>
  <si>
    <t>Kotori Lumelame</t>
  </si>
  <si>
    <t>Léviathan</t>
  </si>
  <si>
    <t>Profondeurs abyssales</t>
  </si>
  <si>
    <t>Requin-glaive</t>
  </si>
  <si>
    <t>Glaive d'os</t>
  </si>
  <si>
    <t>Frappe multiple</t>
  </si>
  <si>
    <t>Sort fiel</t>
  </si>
  <si>
    <t>Comportement prédateur</t>
  </si>
  <si>
    <t>Transfuge d'Azshara</t>
  </si>
  <si>
    <t>Sage imprévisible</t>
  </si>
  <si>
    <t>Commandant glissentaille</t>
  </si>
  <si>
    <t>Dame S'theno</t>
  </si>
  <si>
    <t>Xhilag des abysses</t>
  </si>
  <si>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https://urlz.fr/gd4m</t>
    </r>
  </si>
  <si>
    <t>Soldat gnôme</t>
  </si>
  <si>
    <t>Image</t>
  </si>
  <si>
    <t>Caporal</t>
  </si>
  <si>
    <t>Commandant sur bélier</t>
  </si>
  <si>
    <t>Intendant foudrepique</t>
  </si>
  <si>
    <t>Refroidisseuse</t>
  </si>
  <si>
    <t>Eclaireuse furtive</t>
  </si>
  <si>
    <t>Commandant sur loup redoutable</t>
  </si>
  <si>
    <t>Ingénieure réfléchissante</t>
  </si>
  <si>
    <t>Plein le dos du diablotin</t>
  </si>
  <si>
    <t>Sergent du Fortin</t>
  </si>
  <si>
    <t>Héraut de Lokholar</t>
  </si>
  <si>
    <t>Revenant des glaces</t>
  </si>
  <si>
    <t>Sergent de la Tour</t>
  </si>
  <si>
    <t>Chevalier capitaine</t>
  </si>
  <si>
    <t>Garde de Sang</t>
  </si>
  <si>
    <t>Hippogriffe frénétique</t>
  </si>
  <si>
    <t>Légionnaire</t>
  </si>
  <si>
    <t>Protecteur Sabot-glacé</t>
  </si>
  <si>
    <t>Hibou démesuré</t>
  </si>
  <si>
    <t>Centurion troll</t>
  </si>
  <si>
    <t>h</t>
  </si>
  <si>
    <t>Trogg de Gouffrefer</t>
  </si>
  <si>
    <t>Harpie Bruleglace</t>
  </si>
  <si>
    <t>Sous-chef Kobold</t>
  </si>
  <si>
    <t>Instructrice loup-de-givre</t>
  </si>
  <si>
    <t>Maréchale foudrepique</t>
  </si>
  <si>
    <t>r</t>
  </si>
  <si>
    <t>Congelotron</t>
  </si>
  <si>
    <t>Mercenaire Totem-sinistre</t>
  </si>
  <si>
    <t>Mammouth englacé</t>
  </si>
  <si>
    <t>Arcaniste impétueuse</t>
  </si>
  <si>
    <t>Lieutenant abominable</t>
  </si>
  <si>
    <t>Ivus, seigneur de la forêt</t>
  </si>
  <si>
    <t>Drek'Thar</t>
  </si>
  <si>
    <t>Korrak le Ragesang</t>
  </si>
  <si>
    <t>Vanndar Foudrepique</t>
  </si>
  <si>
    <t>Lokholar, seigneur des glaces</t>
  </si>
  <si>
    <t>Chasseur de gloire</t>
  </si>
  <si>
    <t>Forgeron-ferailleur</t>
  </si>
  <si>
    <t>Berserker hacheuse</t>
  </si>
  <si>
    <t>Garnison de Glace-sang</t>
  </si>
  <si>
    <t>Droit au front</t>
  </si>
  <si>
    <t>Fracas de bouclier</t>
  </si>
  <si>
    <t>Sort givre</t>
  </si>
  <si>
    <t>Targe gelée</t>
  </si>
  <si>
    <t>Bloqué par la neige</t>
  </si>
  <si>
    <t>Rokara la Valeureuse</t>
  </si>
  <si>
    <t>DK</t>
  </si>
  <si>
    <t>Capitaine Galvangar</t>
  </si>
  <si>
    <t>Profanatrice de tombe</t>
  </si>
  <si>
    <t>Abomination livide</t>
  </si>
  <si>
    <t>Marcheur gangréné</t>
  </si>
  <si>
    <t>Graines de la destruction</t>
  </si>
  <si>
    <t>Cimetière profané</t>
  </si>
  <si>
    <t>Mal absolu</t>
  </si>
  <si>
    <t>Invocateur sacrifiel</t>
  </si>
  <si>
    <t>Jouer avec le gangrefeu</t>
  </si>
  <si>
    <t>Tamsin liche de l'effroi</t>
  </si>
  <si>
    <t>Phylactère de Tamsin</t>
  </si>
  <si>
    <t>Vent glacial</t>
  </si>
  <si>
    <t>Morsure de givre</t>
  </si>
  <si>
    <t>Gardien tombeneige</t>
  </si>
  <si>
    <t>Fracasseur de grésil</t>
  </si>
  <si>
    <t>Grotte des Follepatte</t>
  </si>
  <si>
    <t>Englacé</t>
  </si>
  <si>
    <t>Bataille de boules de neige</t>
  </si>
  <si>
    <t>Frigbold sournois</t>
  </si>
  <si>
    <t>Bru'kan des éléments</t>
  </si>
  <si>
    <t>Manitours Gla'cier</t>
  </si>
  <si>
    <t>Patrouille de reconnaissance</t>
  </si>
  <si>
    <t>Agent double</t>
  </si>
  <si>
    <t>Yéti de Froide-Dent</t>
  </si>
  <si>
    <t>Cimetière des neiges</t>
  </si>
  <si>
    <t>Stock de contrebande</t>
  </si>
  <si>
    <t>Gnoll Follepatte</t>
  </si>
  <si>
    <t>Le lobotomiseur</t>
  </si>
  <si>
    <t>Lieutenant réprouvé</t>
  </si>
  <si>
    <t>Artisan de l'Ombre Tchak</t>
  </si>
  <si>
    <t>Cera'thine messagère agile</t>
  </si>
  <si>
    <t>Adepte griffe-furieuse</t>
  </si>
  <si>
    <t>Coeur de fauve</t>
  </si>
  <si>
    <t>Loup de givre redoutable</t>
  </si>
  <si>
    <t>Chenils loup de givre</t>
  </si>
  <si>
    <t>Défricheuse</t>
  </si>
  <si>
    <t>En quête de fierté</t>
  </si>
  <si>
    <t>Tenir la mine de Froide-Dent</t>
  </si>
  <si>
    <t>Matriarche Sabre de givre</t>
  </si>
  <si>
    <t>Guff Coeur-Sauvage</t>
  </si>
  <si>
    <t>Chef d'escadrille Mulverick</t>
  </si>
  <si>
    <t>Cherche-sang</t>
  </si>
  <si>
    <t>Dompteuse de bélier</t>
  </si>
  <si>
    <t>Ours des montagnes</t>
  </si>
  <si>
    <t>Fortin de Dun Baldar</t>
  </si>
  <si>
    <t>Résurrection de familier</t>
  </si>
  <si>
    <t>Bélier de combat foudrepique</t>
  </si>
  <si>
    <t>Piège de givre</t>
  </si>
  <si>
    <t>Secret givre</t>
  </si>
  <si>
    <t>Armer le piège</t>
  </si>
  <si>
    <t>Tavish en armure de bestiaire</t>
  </si>
  <si>
    <t>Chef d'escadrille Ichman</t>
  </si>
  <si>
    <t>Géode lumineuse</t>
  </si>
  <si>
    <t>Heure de délivrance</t>
  </si>
  <si>
    <t>Guide spectral</t>
  </si>
  <si>
    <t>Bénédiction</t>
  </si>
  <si>
    <t>Poste de secours Foudrepique</t>
  </si>
  <si>
    <t>Disciple immortelle</t>
  </si>
  <si>
    <t>Don des Naaru</t>
  </si>
  <si>
    <t xml:space="preserve">Mot de l'ombre : Dévoration </t>
  </si>
  <si>
    <t>Xyrella la dévote</t>
  </si>
  <si>
    <t>Najak Maléficas</t>
  </si>
  <si>
    <t>Ensorceleuse grelottante</t>
  </si>
  <si>
    <t>Rafale de neige amplifiée</t>
  </si>
  <si>
    <t>Siphon de mana</t>
  </si>
  <si>
    <t>Faire un bonhomme de neige</t>
  </si>
  <si>
    <t>Illumination des Arcanes</t>
  </si>
  <si>
    <t>Tour de Glace Sang</t>
  </si>
  <si>
    <t>Métamorphose de masse</t>
  </si>
  <si>
    <t>Sort arcanes</t>
  </si>
  <si>
    <t>Rune de l'Archimage</t>
  </si>
  <si>
    <t>Magistère Aubétreinte</t>
  </si>
  <si>
    <t>Balinda Gîtepierre</t>
  </si>
  <si>
    <t>Afflux de vitalité</t>
  </si>
  <si>
    <t>Défense du pont</t>
  </si>
  <si>
    <t>Cor de cavalerie</t>
  </si>
  <si>
    <t>Pont de Dun Baldar</t>
  </si>
  <si>
    <t>Protection des Innocents</t>
  </si>
  <si>
    <t>Capitaine templier</t>
  </si>
  <si>
    <t>Protectrice de Gitepierre</t>
  </si>
  <si>
    <t>Aile de Laiton</t>
  </si>
  <si>
    <t>Cariel Sancteforge</t>
  </si>
  <si>
    <t>Saïdan l'Ecarlate</t>
  </si>
  <si>
    <t>Glaive prison-effroyable</t>
  </si>
  <si>
    <t>Avant-garde usée par la guerre</t>
  </si>
  <si>
    <t>Voleuse de drapeau</t>
  </si>
  <si>
    <t>Champ sanglant</t>
  </si>
  <si>
    <t>Manoeuvre de contournement</t>
  </si>
  <si>
    <t>Gardienne des chaines</t>
  </si>
  <si>
    <t>Cachet de rétributions</t>
  </si>
  <si>
    <t>Géant Ur'zul</t>
  </si>
  <si>
    <t>Kurtrus, écorcheur de démons</t>
  </si>
  <si>
    <t>Caria Gangrâme</t>
  </si>
  <si>
    <r>
      <rPr>
        <rFont val="Roboto"/>
        <b/>
        <sz val="10.0"/>
      </rPr>
      <t xml:space="preserve">Cartes tirées de </t>
    </r>
    <r>
      <rPr>
        <rFont val="Roboto"/>
        <b/>
        <color rgb="FF1155CC"/>
        <sz val="10.0"/>
        <u/>
      </rPr>
      <t>https://urlz.fr/gd4m</t>
    </r>
  </si>
  <si>
    <t>Garde de la prison</t>
  </si>
  <si>
    <t>Paysan</t>
  </si>
  <si>
    <t>Fleuriste</t>
  </si>
  <si>
    <t>Furtif du SI:7</t>
  </si>
  <si>
    <t>Importatrice pandarène</t>
  </si>
  <si>
    <t>Ingénieur des profondeurs</t>
  </si>
  <si>
    <t>Commerçant impatient</t>
  </si>
  <si>
    <t>Echangeable</t>
  </si>
  <si>
    <t>Coursier à pied</t>
  </si>
  <si>
    <t>Fermier de Comté-du-Nord</t>
  </si>
  <si>
    <t>Marchand itinérant</t>
  </si>
  <si>
    <t>Vipère rongerouille</t>
  </si>
  <si>
    <t>Bête / Echangeable</t>
  </si>
  <si>
    <t>Bibliothécaire royal</t>
  </si>
  <si>
    <t>Fabricante de pain épicé</t>
  </si>
  <si>
    <t>Marchande de guilde</t>
  </si>
  <si>
    <t>Suspect borné</t>
  </si>
  <si>
    <t>Garde de Hurlevent</t>
  </si>
  <si>
    <t>Garde du Lion</t>
  </si>
  <si>
    <t>Maître de guerre des batailles</t>
  </si>
  <si>
    <t>Architecte de la ville</t>
  </si>
  <si>
    <t>Forgefiel mo’arg</t>
  </si>
  <si>
    <t>Danseur de boîtes aux lettres</t>
  </si>
  <si>
    <t>Mule de bât surchargée</t>
  </si>
  <si>
    <t>Ensorceleuse piégée</t>
  </si>
  <si>
    <t>Investisseur à deux visages</t>
  </si>
  <si>
    <t>Gnoll de Comté-de-l'Or</t>
  </si>
  <si>
    <t>Sanglier d'Elwynn</t>
  </si>
  <si>
    <t>Noble</t>
  </si>
  <si>
    <t>Détenue de la prison</t>
  </si>
  <si>
    <t>Banquière enthousiaste</t>
  </si>
  <si>
    <t>Fromager</t>
  </si>
  <si>
    <t>Commissaire-priseur Jaxon</t>
  </si>
  <si>
    <t>Maître de vol Dungar</t>
  </si>
  <si>
    <t>Cornélius Roame</t>
  </si>
  <si>
    <t>Dame Prestor</t>
  </si>
  <si>
    <t>Varian, roi de Hurlevent</t>
  </si>
  <si>
    <t>Canaille du port</t>
  </si>
  <si>
    <t>Flibustière de Hurlevent</t>
  </si>
  <si>
    <t>Plaques lourdes</t>
  </si>
  <si>
    <t>Sort échangeable</t>
  </si>
  <si>
    <t>Nom d'un flibustier</t>
  </si>
  <si>
    <t>Garde de la cargaison</t>
  </si>
  <si>
    <t xml:space="preserve">Grunt poltron </t>
  </si>
  <si>
    <t>Persiflage</t>
  </si>
  <si>
    <t xml:space="preserve">Golem téléguidé </t>
  </si>
  <si>
    <t>Attaquer les quais</t>
  </si>
  <si>
    <t>Quête</t>
  </si>
  <si>
    <t>Lothar</t>
  </si>
  <si>
    <t>Diablotin lié par le sang</t>
  </si>
  <si>
    <t>Assaut démoniaque</t>
  </si>
  <si>
    <t>Sort/Fiel</t>
  </si>
  <si>
    <t xml:space="preserve">Barman douteux </t>
  </si>
  <si>
    <t>Toucher des Nathrezim</t>
  </si>
  <si>
    <t>Sort / ombre</t>
  </si>
  <si>
    <t>Baguette en mithril runique</t>
  </si>
  <si>
    <t>Pacte de ruelle sombre</t>
  </si>
  <si>
    <t>sort/ombre</t>
  </si>
  <si>
    <t>Monture effroyable</t>
  </si>
  <si>
    <t>Client sans-gêne</t>
  </si>
  <si>
    <t xml:space="preserve">La graine démoniaque </t>
  </si>
  <si>
    <t>Anetheron</t>
  </si>
  <si>
    <t>Possibilité d’investissement</t>
  </si>
  <si>
    <t>Enliseur des canaux</t>
  </si>
  <si>
    <t>Esprit alpha</t>
  </si>
  <si>
    <t>Marteau d’enchères</t>
  </si>
  <si>
    <t>Appel chargé</t>
  </si>
  <si>
    <t>Forge-né de granite</t>
  </si>
  <si>
    <t>À découvert</t>
  </si>
  <si>
    <t>Sort/Echangeable</t>
  </si>
  <si>
    <t>Figurines</t>
  </si>
  <si>
    <t>Commander aux éléments</t>
  </si>
  <si>
    <t xml:space="preserve">Quête </t>
  </si>
  <si>
    <t>Bolner Bec-de-Corbin</t>
  </si>
  <si>
    <t>Requin de la finance</t>
  </si>
  <si>
    <t>Agent du SI:7</t>
  </si>
  <si>
    <t>Informatrice du SI:7</t>
  </si>
  <si>
    <t>Extorsion du SI:7</t>
  </si>
  <si>
    <t>Sort/échangeable</t>
  </si>
  <si>
    <t>Informations douteuses</t>
  </si>
  <si>
    <t>Assassin du SI:7</t>
  </si>
  <si>
    <t>Garrot</t>
  </si>
  <si>
    <t>Lame contrefaite</t>
  </si>
  <si>
    <t xml:space="preserve">Arme </t>
  </si>
  <si>
    <t xml:space="preserve">Trouver l'imposteur </t>
  </si>
  <si>
    <t>Maestra du bal costumé</t>
  </si>
  <si>
    <t>5 beau design</t>
  </si>
  <si>
    <t>Semis</t>
  </si>
  <si>
    <t>Lacérateur maccarbre</t>
  </si>
  <si>
    <t>Compagnons cuirassés</t>
  </si>
  <si>
    <t>Écureuil énergique</t>
  </si>
  <si>
    <t>Kodo de monte</t>
  </si>
  <si>
    <t>Panthère du parc</t>
  </si>
  <si>
    <t>Compostage</t>
  </si>
  <si>
    <t>Oracle d’Élune</t>
  </si>
  <si>
    <t>Perdu dans le parc</t>
  </si>
  <si>
    <t>Sheldras Arbrelune</t>
  </si>
  <si>
    <t>Flûtiste de Hurlevent</t>
  </si>
  <si>
    <t>Visée</t>
  </si>
  <si>
    <t>Nid de rongeurs</t>
  </si>
  <si>
    <t>Nuée dévorante</t>
  </si>
  <si>
    <t>Kit de travail du cuir</t>
  </si>
  <si>
    <t>Bélier de monte</t>
  </si>
  <si>
    <t>Tarentule importée</t>
  </si>
  <si>
    <t>Bête/Echangeable</t>
  </si>
  <si>
    <t>Rats de taille démesurée</t>
  </si>
  <si>
    <t>Défendre le quartier des Nains</t>
  </si>
  <si>
    <t>Le roi des rats</t>
  </si>
  <si>
    <t>Eclat des Naruu</t>
  </si>
  <si>
    <t xml:space="preserve">Illusionniste du crépuscule </t>
  </si>
  <si>
    <t>Eclat du vide</t>
  </si>
  <si>
    <t>Sort/ombre</t>
  </si>
  <si>
    <t>Aiguille d'étoffe d'ombre</t>
  </si>
  <si>
    <t xml:space="preserve">Démon psychique </t>
  </si>
  <si>
    <t>Elekk de monte</t>
  </si>
  <si>
    <t>Assistante touchée par le Vide</t>
  </si>
  <si>
    <t>Appel de la tombe</t>
  </si>
  <si>
    <t>Demander conseil</t>
  </si>
  <si>
    <t>Sombre évêque Benedictus</t>
  </si>
  <si>
    <t>Bonne série</t>
  </si>
  <si>
    <t>Pyromancien de Prestor</t>
  </si>
  <si>
    <t>Tout doit disparaitre</t>
  </si>
  <si>
    <t>Première flamme</t>
  </si>
  <si>
    <t>Encrier céleste</t>
  </si>
  <si>
    <t>Cirier du sanctum</t>
  </si>
  <si>
    <t>Enflammer</t>
  </si>
  <si>
    <t>Coursière maladroite</t>
  </si>
  <si>
    <t>Le jeu du sorcier</t>
  </si>
  <si>
    <t>Grand magus Antonidas</t>
  </si>
  <si>
    <t xml:space="preserve">Réserve bénie </t>
  </si>
  <si>
    <t>Sort/sacré</t>
  </si>
  <si>
    <t>Porte-drapeau de l'Alliance</t>
  </si>
  <si>
    <t xml:space="preserve">Taxe de séjour </t>
  </si>
  <si>
    <t>sort échangeable</t>
  </si>
  <si>
    <t>Noble destrier</t>
  </si>
  <si>
    <t>Garde des catacombes</t>
  </si>
  <si>
    <t>Coffret de joyaux prismatiques</t>
  </si>
  <si>
    <t>Marteau du porteur de lumière</t>
  </si>
  <si>
    <t>Première lame de Wrynn</t>
  </si>
  <si>
    <t xml:space="preserve">Se montrer à la hauteur </t>
  </si>
  <si>
    <t>Généralissime Fordragon</t>
  </si>
  <si>
    <t>Métaquamorphe</t>
  </si>
  <si>
    <t>Barrage gangrené</t>
  </si>
  <si>
    <t>Brute courroucée</t>
  </si>
  <si>
    <t>Cachet d’empressement</t>
  </si>
  <si>
    <t>Sangsue du chaos</t>
  </si>
  <si>
    <t>Colporteuse tenace</t>
  </si>
  <si>
    <t>Frénésie du lion</t>
  </si>
  <si>
    <t>Buveur de fiel</t>
  </si>
  <si>
    <t>Combat final</t>
  </si>
  <si>
    <t>Jace Sombretisse</t>
  </si>
  <si>
    <t>Cartes tirées de bit.ly/3eQDUw7</t>
  </si>
  <si>
    <t>Pillard tranchecrin</t>
  </si>
  <si>
    <t>Péon</t>
  </si>
  <si>
    <t>Élémentaire embrasé</t>
  </si>
  <si>
    <t>Murcenaire de l’oasis</t>
  </si>
  <si>
    <t>Crapaud sauvage</t>
  </si>
  <si>
    <t>Berserker sombrelance</t>
  </si>
  <si>
    <t>Grunt de la route de l’or</t>
  </si>
  <si>
    <t>Maraudeur blessé</t>
  </si>
  <si>
    <t>Client satisfait</t>
  </si>
  <si>
    <t>Initié du Puits de soleil</t>
  </si>
  <si>
    <t>Scorpide venimeux</t>
  </si>
  <si>
    <t>Corsaire de Cabestan</t>
  </si>
  <si>
    <t>Porchère</t>
  </si>
  <si>
    <t>Sectateur de la Tête de Mort</t>
  </si>
  <si>
    <t>Commère de la Croisée</t>
  </si>
  <si>
    <t>Trappeuse des Tarides</t>
  </si>
  <si>
    <t>Arcaniste talentueux</t>
  </si>
  <si>
    <t>Vandale de l’oasis</t>
  </si>
  <si>
    <t>Éclaireur de l’oasis</t>
  </si>
  <si>
    <t>Poste de Guet-Lointain</t>
  </si>
  <si>
    <t>Poste de Mor’shan</t>
  </si>
  <si>
    <t>Agent de la Horde</t>
  </si>
  <si>
    <t>Brave de Taurajo</t>
  </si>
  <si>
    <t>Acolyte de la Lame-Ardente</t>
  </si>
  <si>
    <t>Hyène Jappecroc</t>
  </si>
  <si>
    <t>Gardienne des âmes</t>
  </si>
  <si>
    <t>Protecteur primordial</t>
  </si>
  <si>
    <t>Forgeronne des Tarides</t>
  </si>
  <si>
    <t>Poste de la Croisée</t>
  </si>
  <si>
    <t>Crapule des mers du Sud</t>
  </si>
  <si>
    <t>Chasseur des ombres Vol’jin</t>
  </si>
  <si>
    <t>Maître-lame Samuro</t>
  </si>
  <si>
    <t>Mankrik</t>
  </si>
  <si>
    <t>Kazakus, créateur de golems</t>
  </si>
  <si>
    <t>Kargal Balafre-Glorieuse</t>
  </si>
  <si>
    <t>Puissance musculaire</t>
  </si>
  <si>
    <t>Jeteur d’ancre cognepierre</t>
  </si>
  <si>
    <t>Combattant tourbillonnant</t>
  </si>
  <si>
    <t>Émissaire chanteguerre</t>
  </si>
  <si>
    <t>Conditionnement</t>
  </si>
  <si>
    <t>Hache de voltigeur</t>
  </si>
  <si>
    <t>Élite de Mor’shan</t>
  </si>
  <si>
    <t>Rancune</t>
  </si>
  <si>
    <t>Rokara</t>
  </si>
  <si>
    <t>Seigneur Saurcroc</t>
  </si>
  <si>
    <t>Grimoire de sacrifice</t>
  </si>
  <si>
    <t>Sort / Ombre</t>
  </si>
  <si>
    <t>Essaim de diablotins</t>
  </si>
  <si>
    <t>Sort / Fiel</t>
  </si>
  <si>
    <t>Pourvoyeuse de la Kabale</t>
  </si>
  <si>
    <t>Déchirure de l’âme</t>
  </si>
  <si>
    <t>Dos-hirsute joyau de sang</t>
  </si>
  <si>
    <t>Caravane d’apothicaire</t>
  </si>
  <si>
    <t>Autel de feu</t>
  </si>
  <si>
    <t xml:space="preserve">Sort / Feu </t>
  </si>
  <si>
    <t>Pilleuse des Tarides</t>
  </si>
  <si>
    <t>Tamsin Roame</t>
  </si>
  <si>
    <t>Neeru Lamefeu</t>
  </si>
  <si>
    <t>Chef de la côte sud</t>
  </si>
  <si>
    <t>Tempétueux aride</t>
  </si>
  <si>
    <t>Fourrageur d’étang</t>
  </si>
  <si>
    <t>L’union fait les ailerons</t>
  </si>
  <si>
    <t>Caravane de mini-ailerons</t>
  </si>
  <si>
    <t>Revenant de terre</t>
  </si>
  <si>
    <t>Chaîne d’éclairs</t>
  </si>
  <si>
    <t>Sort / Nature</t>
  </si>
  <si>
    <t>Rôdeur des nénuphars</t>
  </si>
  <si>
    <t>Pyromancien Flurgl</t>
  </si>
  <si>
    <t>Bru’kan</t>
  </si>
  <si>
    <t>Coup de poignard cruel</t>
  </si>
  <si>
    <t>Poison de feuillargent</t>
  </si>
  <si>
    <t>Pieuvrobot efficace</t>
  </si>
  <si>
    <t>Poison paralysant</t>
  </si>
  <si>
    <t>Embusquée du derrick</t>
  </si>
  <si>
    <t>Contact sur le terrain</t>
  </si>
  <si>
    <t>Surin de brochepourceau</t>
  </si>
  <si>
    <t xml:space="preserve">C’est à moi !
</t>
  </si>
  <si>
    <t>Tchak Coupebeurre</t>
  </si>
  <si>
    <t>Apothicaire Helbrim</t>
  </si>
  <si>
    <t>Fureur de la troupe</t>
  </si>
  <si>
    <t>Sentinelles pousseronces</t>
  </si>
  <si>
    <t>Kodo au cuir épais</t>
  </si>
  <si>
    <t>Garde de guerre tranchecrin</t>
  </si>
  <si>
    <t>Marque de la carapace</t>
  </si>
  <si>
    <t>Graine de vie</t>
  </si>
  <si>
    <t>Druidesse des plaines</t>
  </si>
  <si>
    <t>Alignement céleste</t>
  </si>
  <si>
    <t>Sort / Arcane</t>
  </si>
  <si>
    <t>Pestegueule le Pourrissant</t>
  </si>
  <si>
    <t>Guff Totem-Runique</t>
  </si>
  <si>
    <t>Proie blessée</t>
  </si>
  <si>
    <t>Kodo de bât</t>
  </si>
  <si>
    <t>Tir perforant</t>
  </si>
  <si>
    <t>Apprivoiser une bête</t>
  </si>
  <si>
    <t>Raptor solécaille</t>
  </si>
  <si>
    <t>Caravane de prospectrice</t>
  </si>
  <si>
    <t>Coursier kolkar</t>
  </si>
  <si>
    <t>Dompteuse chanteguerre</t>
  </si>
  <si>
    <t>Tavish Foudrepique</t>
  </si>
  <si>
    <t>Barak Plaie-des-Kodos</t>
  </si>
  <si>
    <t>Prière du désespoir</t>
  </si>
  <si>
    <t xml:space="preserve">Sort / Sacré </t>
  </si>
  <si>
    <t>Peste dévorante</t>
  </si>
  <si>
    <t>Mot de pouvoir : Robustesse</t>
  </si>
  <si>
    <t>Élémentaire lumineux</t>
  </si>
  <si>
    <t>Caravane de devineresse</t>
  </si>
  <si>
    <t>Écorcheur du Vide</t>
  </si>
  <si>
    <t>Prêtre d’An’she</t>
  </si>
  <si>
    <t>Blâme</t>
  </si>
  <si>
    <t>Xyrella</t>
  </si>
  <si>
    <t>Serena Plumesang</t>
  </si>
  <si>
    <t>Orbe runique</t>
  </si>
  <si>
    <t>Eau de source fraîche</t>
  </si>
  <si>
    <t>Allié de l’oasis</t>
  </si>
  <si>
    <t>Sort / Givre</t>
  </si>
  <si>
    <t>Rafale</t>
  </si>
  <si>
    <t>Apprenti téméraire</t>
  </si>
  <si>
    <t>Langue-de-Givre</t>
  </si>
  <si>
    <t>Flambée</t>
  </si>
  <si>
    <t>Lumière des Arcanes</t>
  </si>
  <si>
    <t>Varden Aubétreinte</t>
  </si>
  <si>
    <t>Mordresh Œil-de-Feu</t>
  </si>
  <si>
    <t>Sermon revigorant</t>
  </si>
  <si>
    <t>Sort / Sacré</t>
  </si>
  <si>
    <t>Chevalier de l’onction</t>
  </si>
  <si>
    <t>Sauveur galopant</t>
  </si>
  <si>
    <t>Épée du Déchu</t>
  </si>
  <si>
    <t>Commandant de Guet-du-Nord</t>
  </si>
  <si>
    <t>Caravane de soldats</t>
  </si>
  <si>
    <t>Conviction</t>
  </si>
  <si>
    <t>Médecin de guerre vétéran</t>
  </si>
  <si>
    <t>Cariel Roame</t>
  </si>
  <si>
    <t>Maître canonnier Smythe</t>
  </si>
  <si>
    <t>Fureur</t>
  </si>
  <si>
    <t>Appel abject</t>
  </si>
  <si>
    <t>Sanglier tranchecrin</t>
  </si>
  <si>
    <t>Cachet de silence</t>
  </si>
  <si>
    <t>Belluaire de Tranchebauge</t>
  </si>
  <si>
    <t>Tranche-défenses</t>
  </si>
  <si>
    <t>Esprit vengeur</t>
  </si>
  <si>
    <t>Cachet de flamme</t>
  </si>
  <si>
    <t>Nécrorateur Noirépine</t>
  </si>
  <si>
    <t>Kurtrus Chutecendre</t>
  </si>
  <si>
    <t xml:space="preserve">Cartes tirées de </t>
  </si>
  <si>
    <t>bit.ly/3eQDUw7</t>
  </si>
  <si>
    <t>Brocheperle sabot-agile</t>
  </si>
  <si>
    <t>Machine à pince</t>
  </si>
  <si>
    <t>Monsieur Muscle</t>
  </si>
  <si>
    <t>Ogre optimiste</t>
  </si>
  <si>
    <t>Client incognito</t>
  </si>
  <si>
    <t>Vendeuse de couteaux</t>
  </si>
  <si>
    <t>Saltimbanque déguisée</t>
  </si>
  <si>
    <t>Monsieur Loyal</t>
  </si>
  <si>
    <t>Vendeur de tickets</t>
  </si>
  <si>
    <t>Enragé de pierre</t>
  </si>
  <si>
    <t>Clou du spectacle</t>
  </si>
  <si>
    <t>Horreur frétillante</t>
  </si>
  <si>
    <t>Vendeur de bananes</t>
  </si>
  <si>
    <t>Dirigeable de Sombrelune</t>
  </si>
  <si>
    <t>Statue de Sombrelune</t>
  </si>
  <si>
    <t>Girever</t>
  </si>
  <si>
    <t>Amalgame de cirque</t>
  </si>
  <si>
    <t>Médecin du cirque</t>
  </si>
  <si>
    <t>Oiseau de feu fantastique</t>
  </si>
  <si>
    <t>Ritualiste k’thir</t>
  </si>
  <si>
    <t>Attraction déraillée</t>
  </si>
  <si>
    <t>Inspecteur de la sécurité</t>
  </si>
  <si>
    <t>Clown de fête foraine</t>
  </si>
  <si>
    <t>Lapin de Sombrelune</t>
  </si>
  <si>
    <t xml:space="preserve">Bête </t>
  </si>
  <si>
    <t>Horrible excroissance</t>
  </si>
  <si>
    <t>e</t>
  </si>
  <si>
    <t>Yogg-Saron, maître du destin</t>
  </si>
  <si>
    <t xml:space="preserve">	Y'Shaarj, le Souilleur</t>
  </si>
  <si>
    <t>Silas Sombrelune</t>
  </si>
  <si>
    <t>N'Zoth, dieu des profondeurs</t>
  </si>
  <si>
    <t>C'Thun, le Brisé</t>
  </si>
  <si>
    <t>Avaleur de sabre</t>
  </si>
  <si>
    <t>Machiniste</t>
  </si>
  <si>
    <t>Meca</t>
  </si>
  <si>
    <t>Champ de mines</t>
  </si>
  <si>
    <t>Plongeon dans la foule</t>
  </si>
  <si>
    <t>Auto-tamponneuse</t>
  </si>
  <si>
    <t>Tour de force</t>
  </si>
  <si>
    <t>Saccageur de chapiteaux</t>
  </si>
  <si>
    <t>Matraque de Whatley</t>
  </si>
  <si>
    <t>Whatley, le maître de la piste</t>
  </si>
  <si>
    <t>E.T.C, dieu du métal</t>
  </si>
  <si>
    <t>Vendeur ambulant</t>
  </si>
  <si>
    <t>Pogoteur Man'ari</t>
  </si>
  <si>
    <t>Matrone de la piste</t>
  </si>
  <si>
    <t>Entrée libre</t>
  </si>
  <si>
    <t>Murmures malfaisants</t>
  </si>
  <si>
    <t>Cracheuse de feu</t>
  </si>
  <si>
    <t>Désastres en cascade</t>
  </si>
  <si>
    <t>Vaurien revenant</t>
  </si>
  <si>
    <t>Tickatus</t>
  </si>
  <si>
    <t>Suite du Chaos</t>
  </si>
  <si>
    <t>Révolution</t>
  </si>
  <si>
    <t>Gardien de match en cage</t>
  </si>
  <si>
    <t>Frappe-tempête</t>
  </si>
  <si>
    <t>Maître de la fosse</t>
  </si>
  <si>
    <t>Marteau du Cogne-Gnoll</t>
  </si>
  <si>
    <t>Tombe-à-l'eau</t>
  </si>
  <si>
    <t>Murdrake</t>
  </si>
  <si>
    <t>Pavillon du combat à mort</t>
  </si>
  <si>
    <t>Inara Fracas de l'orage</t>
  </si>
  <si>
    <t>Grand Totem Œild'or</t>
  </si>
  <si>
    <t>Escroc rusé</t>
  </si>
  <si>
    <t>Amateur de sucreries</t>
  </si>
  <si>
    <t>Arnaque</t>
  </si>
  <si>
    <t>Clone d'ombre</t>
  </si>
  <si>
    <t>Amasseur de gros lots</t>
  </si>
  <si>
    <t>Maître des tickets</t>
  </si>
  <si>
    <t>Cape d'ombre</t>
  </si>
  <si>
    <t>Frappes malveillantes</t>
  </si>
  <si>
    <t>Tenwu de la Fumée rouge</t>
  </si>
  <si>
    <t>Grande impératrice Shek'zara</t>
  </si>
  <si>
    <t>Arboricultrice de foire</t>
  </si>
  <si>
    <t>Éclipse solaire</t>
  </si>
  <si>
    <t>Éclipse lunaire</t>
  </si>
  <si>
    <t>Amulette frôlelune</t>
  </si>
  <si>
    <t>Chouette ombreuse</t>
  </si>
  <si>
    <t>Élémentaire gazeux</t>
  </si>
  <si>
    <t>Protection cénarienne</t>
  </si>
  <si>
    <t>Le juste coût</t>
  </si>
  <si>
    <t>Grisebranche</t>
  </si>
  <si>
    <t>Kiri, appelé d'Élune</t>
  </si>
  <si>
    <t>Gagnante mystère</t>
  </si>
  <si>
    <t>Ouverture des cages</t>
  </si>
  <si>
    <t>Cobra dansant</t>
  </si>
  <si>
    <t>Rhino fonceur</t>
  </si>
  <si>
    <t>Mini-ferme</t>
  </si>
  <si>
    <t>Chariotte de Sombrelune</t>
  </si>
  <si>
    <t>Joyau de N'Zoth</t>
  </si>
  <si>
    <t>Ne pas nourrir les animaux</t>
  </si>
  <si>
    <t>Fusil de Rinling</t>
  </si>
  <si>
    <t xml:space="preserve">	Maxima Explonheimer</t>
  </si>
  <si>
    <t>Perspicacité</t>
  </si>
  <si>
    <t>Bouffon de la foire</t>
  </si>
  <si>
    <t>Diseur de bonne aventure</t>
  </si>
  <si>
    <t>Hématisseuse nazmani</t>
  </si>
  <si>
    <t>Esprits de bon augure</t>
  </si>
  <si>
    <t>Chiromancie</t>
  </si>
  <si>
    <t>Sang de G'huun</t>
  </si>
  <si>
    <t>Idole d'Y'Shaarj</t>
  </si>
  <si>
    <t>G'huun le dieu du sang</t>
  </si>
  <si>
    <t>Le Sans-Nom</t>
  </si>
  <si>
    <t>Cyclone de confiseries</t>
  </si>
  <si>
    <t>Maître de jeu</t>
  </si>
  <si>
    <t>Élémentaire de pyrotechnie</t>
  </si>
  <si>
    <t>Masque de C'Thun</t>
  </si>
  <si>
    <t>Bouquet final</t>
  </si>
  <si>
    <t>Lancer d'anneaux</t>
  </si>
  <si>
    <t>Jeu de foire truqué</t>
  </si>
  <si>
    <t>Adjuratrice occulte</t>
  </si>
  <si>
    <t>Suite de Déraison</t>
  </si>
  <si>
    <t>Sayge, oracle de Sombrelune</t>
  </si>
  <si>
    <t>Dompte-dragons rougécaille</t>
  </si>
  <si>
    <t>Jour de foire</t>
  </si>
  <si>
    <t>Griffon du manège</t>
  </si>
  <si>
    <t>Pause gourmande</t>
  </si>
  <si>
    <t>Bonimenteur de foire</t>
  </si>
  <si>
    <t>Marchand de ballons</t>
  </si>
  <si>
    <t>Oh mon Yogg !</t>
  </si>
  <si>
    <t>Marteau des Naaru</t>
  </si>
  <si>
    <t>Lothraxion le Racheté</t>
  </si>
  <si>
    <t>Grande exarque Yrel</t>
  </si>
  <si>
    <t>Poursuite implacable</t>
  </si>
  <si>
    <t>Paria Repenti</t>
  </si>
  <si>
    <t>Acrobaties</t>
  </si>
  <si>
    <t>Resquilleur</t>
  </si>
  <si>
    <t xml:space="preserve">Explosion Gangrenée </t>
  </si>
  <si>
    <t>Gangrechien insatiable</t>
  </si>
  <si>
    <t>Morsure de l'effroi</t>
  </si>
  <si>
    <t>Artiste de renom</t>
  </si>
  <si>
    <t>Lancer de glaive</t>
  </si>
  <si>
    <t>Jongleuse de lames</t>
  </si>
  <si>
    <t>Bourreau en gangracier</t>
  </si>
  <si>
    <t>Échasseur</t>
  </si>
  <si>
    <t>Artistes sacrifiables</t>
  </si>
  <si>
    <t>Zaï l'Incroyable</t>
  </si>
  <si>
    <t>Il'gynoth</t>
  </si>
  <si>
    <t>bit.ly/39yVq5f</t>
  </si>
  <si>
    <t>https://www.twitch.tv/solaryhs</t>
  </si>
  <si>
    <t>Vote des viewers</t>
  </si>
  <si>
    <t>Balai animé</t>
  </si>
  <si>
    <t>Fabricant de baguette</t>
  </si>
  <si>
    <t>Jongleur de crayon</t>
  </si>
  <si>
    <t>Terrible tutrice</t>
  </si>
  <si>
    <t>Mage scribe d'onyx</t>
  </si>
  <si>
    <t>Intendant des parchemins</t>
  </si>
  <si>
    <t>Panthara dévore-mana</t>
  </si>
  <si>
    <t>Remplaçante ensorceleuse</t>
  </si>
  <si>
    <t>Initié intrépide</t>
  </si>
  <si>
    <t>Délinquante sournoise</t>
  </si>
  <si>
    <t>Enragé divin</t>
  </si>
  <si>
    <t>Voltigeur frétillant</t>
  </si>
  <si>
    <t>Ogremancien</t>
  </si>
  <si>
    <t>Quatrième année crâneur</t>
  </si>
  <si>
    <t>Batteur lacustre</t>
  </si>
  <si>
    <t>Diablotin de bureau</t>
  </si>
  <si>
    <t>Guide</t>
  </si>
  <si>
    <t>Tête brulée cramoisie</t>
  </si>
  <si>
    <t>Proto-drake pestiféré</t>
  </si>
  <si>
    <t>Robe de protection</t>
  </si>
  <si>
    <t>Lectrice vorace</t>
  </si>
  <si>
    <t>Néophyte du Culte</t>
  </si>
  <si>
    <t>Elekk instruit</t>
  </si>
  <si>
    <t>Étudiant en échange</t>
  </si>
  <si>
    <t>Chaudron enchanté</t>
  </si>
  <si>
    <t xml:space="preserve">Image </t>
  </si>
  <si>
    <t>Directeur Kel'Thuzad</t>
  </si>
  <si>
    <t>Gardien du savoir Polkelt</t>
  </si>
  <si>
    <t>Maître des clés Alabaster</t>
  </si>
  <si>
    <t>Sphère de sapience</t>
  </si>
  <si>
    <t>Vectus</t>
  </si>
  <si>
    <t>Bouclier de l'honneur</t>
  </si>
  <si>
    <t>Bi-Classe</t>
  </si>
  <si>
    <t>Etudes athlétiques</t>
  </si>
  <si>
    <t>En formation!</t>
  </si>
  <si>
    <t>Cours de découpage</t>
  </si>
  <si>
    <t>Faux de la Faucheuse</t>
  </si>
  <si>
    <t>Contraindre</t>
  </si>
  <si>
    <t>Remise de diplôme</t>
  </si>
  <si>
    <t>Fauteur de troubles</t>
  </si>
  <si>
    <t>Maillet de cérémonie</t>
  </si>
  <si>
    <t>Meneuse de jeu</t>
  </si>
  <si>
    <t>Danseuse de lames</t>
  </si>
  <si>
    <t>Docteur Krastinov</t>
  </si>
  <si>
    <t>Cliquettripes</t>
  </si>
  <si>
    <t>Seigneur Barov</t>
  </si>
  <si>
    <t>Esprits scolaires</t>
  </si>
  <si>
    <t xml:space="preserve">     Sort</t>
  </si>
  <si>
    <t>Études démoniques</t>
  </si>
  <si>
    <t>Geôlier d'esprits</t>
  </si>
  <si>
    <t>Réanimation morbide</t>
  </si>
  <si>
    <t>Oeuf tisse-os</t>
  </si>
  <si>
    <t>Savante ombrelumière</t>
  </si>
  <si>
    <t>Destructeur os-vermoulu</t>
  </si>
  <si>
    <t>Cisaille d'âme</t>
  </si>
  <si>
    <t>Géant de chair</t>
  </si>
  <si>
    <t>Fielosophie</t>
  </si>
  <si>
    <t>Buveur du Vide</t>
  </si>
  <si>
    <t>Maître d’étude Gandling</t>
  </si>
  <si>
    <t>Professeur des âmes Malicia</t>
  </si>
  <si>
    <t>Archisorcière Willos</t>
  </si>
  <si>
    <t>Floraison de foudre</t>
  </si>
  <si>
    <t>Etudes primordiales</t>
  </si>
  <si>
    <t>Dague runique</t>
  </si>
  <si>
    <t>Raz de marée</t>
  </si>
  <si>
    <t>Gardienne du domaine</t>
  </si>
  <si>
    <t>Preneur de notes appliqué</t>
  </si>
  <si>
    <t>Totem piégé</t>
  </si>
  <si>
    <t>Eclair de lave</t>
  </si>
  <si>
    <t>Goliath totémique</t>
  </si>
  <si>
    <t>2 (palu)</t>
  </si>
  <si>
    <t>Gravures runiques</t>
  </si>
  <si>
    <t>Missiles dévolutifs</t>
  </si>
  <si>
    <t>Instructrice Flammecœur</t>
  </si>
  <si>
    <t>Oratrice Girda</t>
  </si>
  <si>
    <t>Ras Murmegivre</t>
  </si>
  <si>
    <t>Voleuse de baguettes</t>
  </si>
  <si>
    <t>Toxilame vulpérine</t>
  </si>
  <si>
    <t>Plagiat</t>
  </si>
  <si>
    <t>Deuxième année louche</t>
  </si>
  <si>
    <t>Épée auto-affûtante</t>
  </si>
  <si>
    <t>Gel Mental</t>
  </si>
  <si>
    <t>Passage secret</t>
  </si>
  <si>
    <t xml:space="preserve">Potion d'illusion
</t>
  </si>
  <si>
    <t>Lilian infiltratrice</t>
  </si>
  <si>
    <t>Jandice Barov</t>
  </si>
  <si>
    <t>Études naturelles</t>
  </si>
  <si>
    <t>Bredouilleur</t>
  </si>
  <si>
    <t>Infestation adorable</t>
  </si>
  <si>
    <t>Coureur crépusculaire</t>
  </si>
  <si>
    <t>Chouchou du professeur</t>
  </si>
  <si>
    <t>Devoir de groupe</t>
  </si>
  <si>
    <t>Survie du plus fort</t>
  </si>
  <si>
    <t>Animaux gardiens</t>
  </si>
  <si>
    <t>Shan'do Griffe-Sauvage</t>
  </si>
  <si>
    <t>Oratrice Gidra</t>
  </si>
  <si>
    <t>Gardienne de la forêt Omu</t>
  </si>
  <si>
    <t>Héraut de sang</t>
  </si>
  <si>
    <t>Wolpertinger</t>
  </si>
  <si>
    <t>Etudes cadavériques</t>
  </si>
  <si>
    <t>Python ballonné</t>
  </si>
  <si>
    <t>Accabler</t>
  </si>
  <si>
    <t>Compagnon démoniaque</t>
  </si>
  <si>
    <t>Croissant du trait précis</t>
  </si>
  <si>
    <t>Ecorche-Ecorce Krolusk</t>
  </si>
  <si>
    <t>Chasseur d’élite Kreen</t>
  </si>
  <si>
    <t>Professeur Alambic</t>
  </si>
  <si>
    <t>Première année surmenée</t>
  </si>
  <si>
    <t>Vague d'apathie</t>
  </si>
  <si>
    <t>Etudes draconiques</t>
  </si>
  <si>
    <t>Mot de pouvoir : festin</t>
  </si>
  <si>
    <t>Don de luminance</t>
  </si>
  <si>
    <t>Initiation</t>
  </si>
  <si>
    <t>Acolyte de la Cabale</t>
  </si>
  <si>
    <t>Élève studieux</t>
  </si>
  <si>
    <t>Abesse Supérieure Alura</t>
  </si>
  <si>
    <t>Brisesprit Illucia</t>
  </si>
  <si>
    <t>Partenaire de labo</t>
  </si>
  <si>
    <t>Brandefeu</t>
  </si>
  <si>
    <t>Gel mental</t>
  </si>
  <si>
    <t>Tisse-Wyrm</t>
  </si>
  <si>
    <t>Bachotage</t>
  </si>
  <si>
    <t>Potion d'illusion</t>
  </si>
  <si>
    <t>Combustion</t>
  </si>
  <si>
    <t>Mozaki, duelliste experte</t>
  </si>
  <si>
    <t>Premier jour d'école</t>
  </si>
  <si>
    <t>Troisième année sérieuse</t>
  </si>
  <si>
    <t>Boucliers d'or</t>
  </si>
  <si>
    <t>Remise de diplome</t>
  </si>
  <si>
    <t>Bénédiction d'autorité</t>
  </si>
  <si>
    <t>Fanfaron d'argent</t>
  </si>
  <si>
    <t>Abesse supérieure Alura</t>
  </si>
  <si>
    <t>Turalyon le titulaire</t>
  </si>
  <si>
    <t>Lapidaire d'éclats d'âmes</t>
  </si>
  <si>
    <t>Tranche-moelle</t>
  </si>
  <si>
    <t>Double-saut</t>
  </si>
  <si>
    <t>Dresseuse de démons abjects</t>
  </si>
  <si>
    <t>Gangrechiens de garde</t>
  </si>
  <si>
    <t>Chasseuse de mages</t>
  </si>
  <si>
    <t>Cycle de haine</t>
  </si>
  <si>
    <t>Mystique briséclat</t>
  </si>
  <si>
    <t>Planer</t>
  </si>
  <si>
    <t>Ancien Molosse du Vide</t>
  </si>
  <si>
    <t>Stelina, star de l'école</t>
  </si>
  <si>
    <t>https://bit.ly/2QE87n6</t>
  </si>
  <si>
    <t>par Bûcheron75, Max &amp; Auby</t>
  </si>
  <si>
    <t>par</t>
  </si>
  <si>
    <t>https://twitter.com/Dakhoss</t>
  </si>
  <si>
    <t>Augmarchand de défense</t>
  </si>
  <si>
    <t>Augmarchand éthérien</t>
  </si>
  <si>
    <t>Augmarchand de fusées</t>
  </si>
  <si>
    <t>Cendrelangue lié</t>
  </si>
  <si>
    <t>Bagarreur mâche-les-os</t>
  </si>
  <si>
    <t>Démon abject emprisonné</t>
  </si>
  <si>
    <t>Dormant</t>
  </si>
  <si>
    <t xml:space="preserve">Démon </t>
  </si>
  <si>
    <t>Initié ligerouille</t>
  </si>
  <si>
    <t>Évadé garde de terreur</t>
  </si>
  <si>
    <t>Orc présomptueux</t>
  </si>
  <si>
    <t>Tissombre gelée</t>
  </si>
  <si>
    <t>-</t>
  </si>
  <si>
    <t>Navigateur gangraileron</t>
  </si>
  <si>
    <t>Rôdeur déguisé</t>
  </si>
  <si>
    <t>Scorpide fouisseur</t>
  </si>
  <si>
    <t>Sectateur ligerouille</t>
  </si>
  <si>
    <t>Écumeuse monte-rouille</t>
  </si>
  <si>
    <t>Shivarra charognarde</t>
  </si>
  <si>
    <t>Traqueur gueule-de-dragon</t>
  </si>
  <si>
    <t>Avant-garde mâche-les-os</t>
  </si>
  <si>
    <t>Abyssal suprême</t>
  </si>
  <si>
    <t>Sporelin infectieux</t>
  </si>
  <si>
    <t>Pourriture caustique</t>
  </si>
  <si>
    <t>Colosse de la Ferraillerie</t>
  </si>
  <si>
    <t>Artificier mo’arg</t>
  </si>
  <si>
    <t>Duplic-o-tron</t>
  </si>
  <si>
    <t>Gardienne des terres désolées</t>
  </si>
  <si>
    <t>Teron Fielsang</t>
  </si>
  <si>
    <t>Magtheridon</t>
  </si>
  <si>
    <t>Maiev Chantelombre</t>
  </si>
  <si>
    <t>Al'ar</t>
  </si>
  <si>
    <t>Kael'thas Haut-Soleil</t>
  </si>
  <si>
    <t>Épée et bouclier</t>
  </si>
  <si>
    <t>Gan'arg emprisonné</t>
  </si>
  <si>
    <t>Chevaucheuse mâche-les-os</t>
  </si>
  <si>
    <t>Cache de corsaire</t>
  </si>
  <si>
    <t>Golem de ferraille</t>
  </si>
  <si>
    <t>Brute fièvresang</t>
  </si>
  <si>
    <t>Combattante cogneguerre</t>
  </si>
  <si>
    <t>Tempête de lames</t>
  </si>
  <si>
    <t>Rempart d'Azzinoth</t>
  </si>
  <si>
    <t>Kargath Lamepoing</t>
  </si>
  <si>
    <t>Gangréclair instable</t>
  </si>
  <si>
    <t>Matrone de Belladone</t>
  </si>
  <si>
    <t>Main de Gul'dan</t>
  </si>
  <si>
    <t>Diabl-o-tron emprisonné</t>
  </si>
  <si>
    <t>La Porte des ténèbres</t>
  </si>
  <si>
    <t>Dame de l'effroi améliorée</t>
  </si>
  <si>
    <t>Conseil des ombres</t>
  </si>
  <si>
    <t>Regard-noir</t>
  </si>
  <si>
    <t>Kanrethad Bouclenoire</t>
  </si>
  <si>
    <t>Keli'dan le Briseur</t>
  </si>
  <si>
    <t>Portail du sanctuaire du Serpent</t>
  </si>
  <si>
    <t>Reflet totémique</t>
  </si>
  <si>
    <t>Rejeton des marais</t>
  </si>
  <si>
    <t>Claqueur martrok</t>
  </si>
  <si>
    <t>Spores fécondes</t>
  </si>
  <si>
    <t>Torrent</t>
  </si>
  <si>
    <t>Coup de poing cime-tourbe</t>
  </si>
  <si>
    <t>Grondeur brisé</t>
  </si>
  <si>
    <t>Dame Vashj</t>
  </si>
  <si>
    <t>Le Rôdeur d'En bas</t>
  </si>
  <si>
    <t>Maître-espionne</t>
  </si>
  <si>
    <t>Coup tordu</t>
  </si>
  <si>
    <t>Vagabond maudit</t>
  </si>
  <si>
    <t>Assassin cendrelangue</t>
  </si>
  <si>
    <t>Embuscade</t>
  </si>
  <si>
    <t>Matraqueuse</t>
  </si>
  <si>
    <t>Chambardement</t>
  </si>
  <si>
    <t>Sage griscœur</t>
  </si>
  <si>
    <t>Joaillier de l’ombre Hanar</t>
  </si>
  <si>
    <t>Akama</t>
  </si>
  <si>
    <t>Rayon de la tourbière</t>
  </si>
  <si>
    <t>Satyre emprisonné</t>
  </si>
  <si>
    <t>Luxuriance</t>
  </si>
  <si>
    <t>Écorcefer</t>
  </si>
  <si>
    <t>Fortune fongique</t>
  </si>
  <si>
    <t>Germination</t>
  </si>
  <si>
    <t>Nuée de luisants</t>
  </si>
  <si>
    <t>Hydre des marais</t>
  </si>
  <si>
    <t>Archispore Msshi'fn</t>
  </si>
  <si>
    <t>Ysiel Chantelevent</t>
  </si>
  <si>
    <t>Sanglier infernal</t>
  </si>
  <si>
    <t>Gangregueule emprisonné</t>
  </si>
  <si>
    <t>Ingéniosité du pillard</t>
  </si>
  <si>
    <t>Tactiques de la meute</t>
  </si>
  <si>
    <t>Lionne mok’nathal</t>
  </si>
  <si>
    <t>Tire de ferraille</t>
  </si>
  <si>
    <t>Porc-épic amélioré</t>
  </si>
  <si>
    <t>Gros sabots de Nagrand</t>
  </si>
  <si>
    <t>Prédateur dominant Zixor</t>
  </si>
  <si>
    <t>Belluaire Leoroxx</t>
  </si>
  <si>
    <t>Homoncule emprisonné</t>
  </si>
  <si>
    <t>Rénovation</t>
  </si>
  <si>
    <t>Apothéose</t>
  </si>
  <si>
    <t>Sentinelle gueule-de-dragon</t>
  </si>
  <si>
    <t>Surveillant gueule-de-dragon</t>
  </si>
  <si>
    <t>Scission de la psyché</t>
  </si>
  <si>
    <t>Tissevoile sethekk</t>
  </si>
  <si>
    <t>Dragon squelette</t>
  </si>
  <si>
    <t>Reliquaire des âmes</t>
  </si>
  <si>
    <t>Miroir des âmes</t>
  </si>
  <si>
    <t>Flux de l'incantateur</t>
  </si>
  <si>
    <t>Scruteuse des étoiles</t>
  </si>
  <si>
    <t>Portail de vent du Néant</t>
  </si>
  <si>
    <t>Source de puissance</t>
  </si>
  <si>
    <t>Observateur emprisonné</t>
  </si>
  <si>
    <t>Congélation</t>
  </si>
  <si>
    <t>Contrebandier apogide</t>
  </si>
  <si>
    <t>Déflagration apogide</t>
  </si>
  <si>
    <t>Évocation</t>
  </si>
  <si>
    <t>Astromancienne Solarian</t>
  </si>
  <si>
    <t>Assistante de l'Aldor</t>
  </si>
  <si>
    <t>Main d'A'dal</t>
  </si>
  <si>
    <t>Libram de justice</t>
  </si>
  <si>
    <t>Branchie-soleil emprisonné</t>
  </si>
  <si>
    <t>Libram de sagesse</t>
  </si>
  <si>
    <t>Cherche-vérité de l'Aldor</t>
  </si>
  <si>
    <t>Canne de Terradiance</t>
  </si>
  <si>
    <t>Libram d'espoir</t>
  </si>
  <si>
    <t>Murgar Murgargouille</t>
  </si>
  <si>
    <t>Dame Liadrin</t>
  </si>
  <si>
    <t>Set de Base</t>
  </si>
  <si>
    <t>Pourfendeur sabot-d'ombre</t>
  </si>
  <si>
    <t>Frappe du chaos</t>
  </si>
  <si>
    <t>Guetteur aveugle</t>
  </si>
  <si>
    <t>Division de l'âme</t>
  </si>
  <si>
    <t>Frappe coordonnée</t>
  </si>
  <si>
    <t>Lames de guerre des Aldrachi</t>
  </si>
  <si>
    <t>Surveillant satyre</t>
  </si>
  <si>
    <t>Adepte lige-glaive</t>
  </si>
  <si>
    <t>Nova du chaos</t>
  </si>
  <si>
    <t>Démon intérieur</t>
  </si>
  <si>
    <t>Initié chasseur de Démons</t>
  </si>
  <si>
    <t>Entailles jumelles</t>
  </si>
  <si>
    <t>Voile corrompu</t>
  </si>
  <si>
    <t>Brûlure de mana</t>
  </si>
  <si>
    <t>Démon belliqueux</t>
  </si>
  <si>
    <t>Horreur ur'zul</t>
  </si>
  <si>
    <t>Manavore</t>
  </si>
  <si>
    <t>Marginal</t>
  </si>
  <si>
    <t>Aile de l'ombre</t>
  </si>
  <si>
    <t>Commandement des Illidari</t>
  </si>
  <si>
    <t>Danse des lames</t>
  </si>
  <si>
    <t>Festin d'âmes</t>
  </si>
  <si>
    <t>Gangrelame illidari</t>
  </si>
  <si>
    <t>Hurleuse gangrenée déchaînée</t>
  </si>
  <si>
    <t>Scission d'âme</t>
  </si>
  <si>
    <t>Démon supérieur massif</t>
  </si>
  <si>
    <t>Naga irécaille</t>
  </si>
  <si>
    <t>Rayon accablant</t>
  </si>
  <si>
    <t>Brute furie-perçante</t>
  </si>
  <si>
    <t>Faucheur de flammes</t>
  </si>
  <si>
    <t>Altruis le Marginal</t>
  </si>
  <si>
    <t>Néanstradamus</t>
  </si>
  <si>
    <t>Outreterre</t>
  </si>
  <si>
    <t>Coureur du Cachet cramoisi</t>
  </si>
  <si>
    <t>Aura d'immolation</t>
  </si>
  <si>
    <t>Marcheuse du Néant</t>
  </si>
  <si>
    <t>Vision spectrale</t>
  </si>
  <si>
    <t xml:space="preserve">Seigneur cendrelangue </t>
  </si>
  <si>
    <t>Invocatrice gangrenée</t>
  </si>
  <si>
    <t>Gangraileron furieux</t>
  </si>
  <si>
    <t>Antéen emprisonné</t>
  </si>
  <si>
    <t>Crâne de Gul'dan</t>
  </si>
  <si>
    <t>Prêtresse de la fureur</t>
  </si>
  <si>
    <t>Seigneur de guerre glissecroc</t>
  </si>
  <si>
    <t>Commandant des abîmes</t>
  </si>
  <si>
    <t>Glaives de guerre d'Azzinoth</t>
  </si>
  <si>
    <t>Kayn Solfurie</t>
  </si>
  <si>
    <t>Charge</t>
  </si>
  <si>
    <t>Métamorphose démoniaque</t>
  </si>
  <si>
    <t>Moy.</t>
  </si>
  <si>
    <t>https://bit.ly/2LlJCbu</t>
  </si>
  <si>
    <t>Tchat</t>
  </si>
  <si>
    <t>Vote</t>
  </si>
  <si>
    <t xml:space="preserve">pour le </t>
  </si>
  <si>
    <t>Note</t>
  </si>
  <si>
    <t>des notes</t>
  </si>
  <si>
    <t>Uniquement</t>
  </si>
  <si>
    <t>s</t>
  </si>
  <si>
    <t>Mage de Bataille Flamboyante</t>
  </si>
  <si>
    <t>Montgolfière</t>
  </si>
  <si>
    <t>Brigande Parachutiste</t>
  </si>
  <si>
    <t>Chimère Insaisissable</t>
  </si>
  <si>
    <t>Poissont Volant Goûteux</t>
  </si>
  <si>
    <t>Chevauche-écailles</t>
  </si>
  <si>
    <t>Faucon de Feu</t>
  </si>
  <si>
    <t>Souffle de Dragon Vivant</t>
  </si>
  <si>
    <t>Technicien Gobglisse</t>
  </si>
  <si>
    <t>Aile-faë Insaisissable</t>
  </si>
  <si>
    <t>Chef d'Escadrille</t>
  </si>
  <si>
    <t>Chevaucheur de Chauve-souris</t>
  </si>
  <si>
    <t>Hippogriffre</t>
  </si>
  <si>
    <t>Maniaque Dévoué</t>
  </si>
  <si>
    <t>Conjure</t>
  </si>
  <si>
    <t>Bon gros Dragonnet</t>
  </si>
  <si>
    <t>Bouclier de Galakrond</t>
  </si>
  <si>
    <t>Brise-Plaque</t>
  </si>
  <si>
    <t>Dirigeable Camouflé</t>
  </si>
  <si>
    <t>Gyrocoptère</t>
  </si>
  <si>
    <t>Wyrm Insaisissable</t>
  </si>
  <si>
    <t>Drakônide Insaisissable</t>
  </si>
  <si>
    <t>Double Tyran</t>
  </si>
  <si>
    <t>Tonneau Chargé</t>
  </si>
  <si>
    <t>Éleveur de Dragons</t>
  </si>
  <si>
    <t>Albatros Porte-Poisse</t>
  </si>
  <si>
    <t>Braconnier Gueule-de-Dragon</t>
  </si>
  <si>
    <t>Pilleuse de Trésors</t>
  </si>
  <si>
    <t>Ritualiste de Zul'Drak</t>
  </si>
  <si>
    <t>Corruptrice Sans-visage</t>
  </si>
  <si>
    <t>Sortillienne Cobalt</t>
  </si>
  <si>
    <t>Tire-grappin d'Utgarde</t>
  </si>
  <si>
    <t>Purificatrice de Repos du Ver</t>
  </si>
  <si>
    <t>Sorcier Grisonnant</t>
  </si>
  <si>
    <t>Transmogrifieuse</t>
  </si>
  <si>
    <t>Corbeau de l'Effroi</t>
  </si>
  <si>
    <t>Saboteur au chalumeau</t>
  </si>
  <si>
    <t>Barboteur Kobold</t>
  </si>
  <si>
    <t>Menace à Tentacules</t>
  </si>
  <si>
    <t>Murdragon</t>
  </si>
  <si>
    <t>euf Chromatique</t>
  </si>
  <si>
    <t>Frizz Brûlenid</t>
  </si>
  <si>
    <t>Kronx Sabot-de-Dragon</t>
  </si>
  <si>
    <t>Shu'ma</t>
  </si>
  <si>
    <t>Reine-Dragon Alexstrasza</t>
  </si>
  <si>
    <t>Sathrovarr</t>
  </si>
  <si>
    <t>Écumeur du Ciel</t>
  </si>
  <si>
    <t>Intendant du M.A.L</t>
  </si>
  <si>
    <t>Réveille-Toi !</t>
  </si>
  <si>
    <t>Sort - Conjure</t>
  </si>
  <si>
    <t>Couperet Rituel</t>
  </si>
  <si>
    <t>Arme - Conjure</t>
  </si>
  <si>
    <t>Barge du Ciel</t>
  </si>
  <si>
    <t>Souffle de Magma</t>
  </si>
  <si>
    <t>Scion de Ruine</t>
  </si>
  <si>
    <t>Éperonnement</t>
  </si>
  <si>
    <t>Ancre de Salut</t>
  </si>
  <si>
    <t>Galakrond, l'Indestructible</t>
  </si>
  <si>
    <t>Héros Alternatif</t>
  </si>
  <si>
    <t>Aile de Mort, Aspect Fou</t>
  </si>
  <si>
    <t>Pluie de Feu</t>
  </si>
  <si>
    <t>Rites Démoniques</t>
  </si>
  <si>
    <t>Invocatrice Abyssale</t>
  </si>
  <si>
    <t>Souffle du Néant</t>
  </si>
  <si>
    <t>Sectateur de la Désolation</t>
  </si>
  <si>
    <t>Aile-du-Néant Affolé</t>
  </si>
  <si>
    <t>Ciels Menaçant</t>
  </si>
  <si>
    <t>Adoratrice Dissimulée</t>
  </si>
  <si>
    <t>Galakrond le Calamiteux</t>
  </si>
  <si>
    <t>Valdris Gangregorge</t>
  </si>
  <si>
    <t>Zzeraku le Distordu</t>
  </si>
  <si>
    <t>Invocation de Givre</t>
  </si>
  <si>
    <t>Tempête Déferlante</t>
  </si>
  <si>
    <t>Chasse-grain</t>
  </si>
  <si>
    <t>Courroux de la Tempête</t>
  </si>
  <si>
    <t>Souffle de Foudre</t>
  </si>
  <si>
    <t>Élémentaliste Corrompue</t>
  </si>
  <si>
    <t>Cumulo-Maximus</t>
  </si>
  <si>
    <t>Meute du Dragon</t>
  </si>
  <si>
    <t>Barjaqueur</t>
  </si>
  <si>
    <t>Nithogg</t>
  </si>
  <si>
    <t>Galakrond, la Tempête</t>
  </si>
  <si>
    <t>Flibuciel de la Voila Sanglante</t>
  </si>
  <si>
    <t>Gloire à Galakrond !</t>
  </si>
  <si>
    <t>Souffle de Bougie</t>
  </si>
  <si>
    <t>Trésor du Dragon</t>
  </si>
  <si>
    <t>Destin Scellé</t>
  </si>
  <si>
    <t xml:space="preserve">Clandestin </t>
  </si>
  <si>
    <t>Apothicaire de nécrium</t>
  </si>
  <si>
    <t>Furtive Ombreuse</t>
  </si>
  <si>
    <t>Ciredenfer</t>
  </si>
  <si>
    <t>Flik Trancheciel</t>
  </si>
  <si>
    <t>Galakrond, le Cauchemar</t>
  </si>
  <si>
    <t>L'Union fait la Force</t>
  </si>
  <si>
    <t>Quête Annexe</t>
  </si>
  <si>
    <t>Bombarbuste</t>
  </si>
  <si>
    <t>Exploratrice Emeraude</t>
  </si>
  <si>
    <t>Renforts Sylvestres</t>
  </si>
  <si>
    <t>Souffle des Rêves</t>
  </si>
  <si>
    <t>Aéroponie</t>
  </si>
  <si>
    <t>Engrandissement</t>
  </si>
  <si>
    <t>Sécurisation du Deck</t>
  </si>
  <si>
    <t>Goru le Grand Arbre</t>
  </si>
  <si>
    <t>Ysera, déchaînée</t>
  </si>
  <si>
    <t>Tireur de Précision Nain</t>
  </si>
  <si>
    <t>Souffle Corrosif</t>
  </si>
  <si>
    <t>Exploratrice Primordiale</t>
  </si>
  <si>
    <t>Ouverture de la voie</t>
  </si>
  <si>
    <t>Traqueur Phasique</t>
  </si>
  <si>
    <t>Griffon Plongeant</t>
  </si>
  <si>
    <t>Renforts Toxiques</t>
  </si>
  <si>
    <t>Marteau-Tempête</t>
  </si>
  <si>
    <t>Plaie du Dragon</t>
  </si>
  <si>
    <t>Veranas</t>
  </si>
  <si>
    <t>Murmures du M.A.L</t>
  </si>
  <si>
    <t>Disciple de Galakrond</t>
  </si>
  <si>
    <t>Rune de la Tombe</t>
  </si>
  <si>
    <t>Déchirure Temporelle</t>
  </si>
  <si>
    <t>Brise-temps</t>
  </si>
  <si>
    <t>Souffle de l'Infini</t>
  </si>
  <si>
    <t>Émissaire de Lazul</t>
  </si>
  <si>
    <t>Tisse-destin</t>
  </si>
  <si>
    <t>Écorcheur d'esprit Kaahrj</t>
  </si>
  <si>
    <t>Galakrond, l'Indicible</t>
  </si>
  <si>
    <t>Murozond, l'Éternel</t>
  </si>
  <si>
    <t>Aile-ensorcelée Pourpre</t>
  </si>
  <si>
    <t>Étude du Draconique</t>
  </si>
  <si>
    <t>Exploratrice Azur</t>
  </si>
  <si>
    <t>Alliés Élémentaires</t>
  </si>
  <si>
    <t>Souffle des arcanes</t>
  </si>
  <si>
    <t>Invocatrice des Dragons</t>
  </si>
  <si>
    <t>Boule de feu Roulante</t>
  </si>
  <si>
    <t>Géant de mana</t>
  </si>
  <si>
    <t>Chenvaala</t>
  </si>
  <si>
    <t>Malygos, Aspect de la Magie</t>
  </si>
  <si>
    <t>Souffle de Sable</t>
  </si>
  <si>
    <t>Explorateur de Bronze</t>
  </si>
  <si>
    <t>Gardien d'Ambre</t>
  </si>
  <si>
    <t>Cause Vertueuse</t>
  </si>
  <si>
    <t>Griffe du CIel</t>
  </si>
  <si>
    <t>Zélote Sancteforge</t>
  </si>
  <si>
    <t>Sanctuaire</t>
  </si>
  <si>
    <t>Croisée Sancteforge</t>
  </si>
  <si>
    <t>Chevaucheuse Talritha</t>
  </si>
  <si>
    <t>Nozdormu l'Intemporel</t>
  </si>
  <si>
    <t>moyenne</t>
  </si>
  <si>
    <t>Trié par Rareté puis Coût en mana puis Alphabétique</t>
  </si>
  <si>
    <t>Écorcheur d'esprit Kaahri</t>
  </si>
  <si>
    <t>Invité?</t>
  </si>
  <si>
    <t>Note de 1 (mauvaise) à 4 (gamebreaker)</t>
  </si>
  <si>
    <t>Oeuf Chromatique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</si>
</sst>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hh:mm"/>
    <numFmt numFmtId="166" formatCode="hh:mm:ss"/>
    <numFmt numFmtId="167" formatCode="0.000"/>
  </numFmts>
  <fonts count="207">
    <font>
      <sz val="10.0"/>
      <color rgb="FF000000"/>
      <name val="Arial"/>
      <scheme val="minor"/>
    </font>
    <font>
      <sz val="15.0"/>
      <color theme="1"/>
      <name val="Roboto"/>
    </font>
    <font>
      <b/>
      <u/>
      <sz val="10.0"/>
      <color rgb="FF0000FF"/>
      <name val="Roboto"/>
    </font>
    <font/>
    <font>
      <b/>
      <sz val="14.0"/>
      <color rgb="FF980000"/>
      <name val="Roboto"/>
    </font>
    <font>
      <b/>
      <sz val="10.0"/>
      <color theme="1"/>
      <name val="Roboto"/>
    </font>
    <font>
      <sz val="13.0"/>
      <color theme="1"/>
      <name val="Roboto"/>
    </font>
    <font>
      <sz val="13.0"/>
      <color rgb="FFFFFFFF"/>
      <name val="Roboto"/>
    </font>
    <font>
      <sz val="8.0"/>
      <color rgb="FFFFFFFF"/>
      <name val="Roboto"/>
    </font>
    <font>
      <sz val="11.0"/>
      <color theme="1"/>
      <name val="Roboto"/>
    </font>
    <font>
      <sz val="14.0"/>
      <color theme="1"/>
      <name val="Roboto"/>
    </font>
    <font>
      <sz val="10.0"/>
      <color rgb="FFCC0000"/>
      <name val="Roboto"/>
    </font>
    <font>
      <b/>
      <sz val="11.0"/>
      <color theme="1"/>
      <name val="Roboto"/>
    </font>
    <font>
      <sz val="11.0"/>
      <color rgb="FF000000"/>
      <name val="Roboto"/>
    </font>
    <font>
      <b/>
      <sz val="11.0"/>
      <color rgb="FFA61C00"/>
      <name val="Roboto"/>
    </font>
    <font>
      <sz val="11.0"/>
      <color rgb="FFCCCCCC"/>
      <name val="Roboto"/>
    </font>
    <font>
      <b/>
      <u/>
      <sz val="11.0"/>
      <color rgb="FF0000FF"/>
      <name val="Roboto"/>
    </font>
    <font>
      <b/>
      <sz val="10.0"/>
      <color rgb="FFCC0000"/>
      <name val="Roboto"/>
    </font>
    <font>
      <b/>
      <sz val="8.0"/>
      <color theme="1"/>
      <name val="Arial"/>
      <scheme val="minor"/>
    </font>
    <font>
      <b/>
      <sz val="8.0"/>
      <color theme="1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sz val="11.0"/>
      <color rgb="FF3D85C6"/>
      <name val="Roboto"/>
    </font>
    <font>
      <b/>
      <u/>
      <sz val="11.0"/>
      <color rgb="FF0000FF"/>
      <name val="Roboto"/>
    </font>
    <font>
      <sz val="11.0"/>
      <color rgb="FFC9DAF8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sz val="14.0"/>
      <color rgb="FFFFFFFF"/>
      <name val="Roboto"/>
    </font>
    <font>
      <sz val="10.0"/>
      <color rgb="FFFFFFFF"/>
      <name val="Roboto"/>
    </font>
    <font>
      <b/>
      <sz val="11.0"/>
      <color rgb="FF000000"/>
      <name val="Roboto"/>
    </font>
    <font>
      <b/>
      <sz val="11.0"/>
      <color rgb="FFFFFFFF"/>
      <name val="Roboto"/>
    </font>
    <font>
      <color theme="1"/>
      <name val="Arial"/>
    </font>
    <font>
      <b/>
      <sz val="8.0"/>
      <color rgb="FFFFFFFF"/>
      <name val="Roboto"/>
    </font>
    <font>
      <b/>
      <u/>
      <sz val="11.0"/>
      <color rgb="FF0000FF"/>
      <name val="Roboto"/>
    </font>
    <font>
      <b/>
      <sz val="8.0"/>
      <color rgb="FF000000"/>
      <name val="Roboto"/>
    </font>
    <font>
      <b/>
      <i/>
      <sz val="10.0"/>
      <color rgb="FF46CD46"/>
      <name val="Roboto"/>
    </font>
    <font>
      <sz val="9.0"/>
      <color theme="1"/>
      <name val="Roboto"/>
    </font>
    <font>
      <b/>
      <u/>
      <sz val="11.0"/>
      <color rgb="FF0000FF"/>
      <name val="Roboto"/>
    </font>
    <font>
      <b/>
      <sz val="14.0"/>
      <color rgb="FFFF0000"/>
      <name val="Roboto"/>
    </font>
    <font>
      <b/>
      <i/>
      <sz val="10.0"/>
      <color rgb="FF3488FA"/>
      <name val="Roboto"/>
    </font>
    <font>
      <b/>
      <u/>
      <sz val="11.0"/>
      <color rgb="FF0000FF"/>
      <name val="Roboto"/>
    </font>
    <font>
      <b/>
      <sz val="14.0"/>
      <color rgb="FF3488FA"/>
      <name val="Roboto"/>
    </font>
    <font>
      <b/>
      <sz val="14.0"/>
      <color rgb="FF6AA84F"/>
      <name val="Roboto"/>
    </font>
    <font>
      <b/>
      <i/>
      <sz val="10.0"/>
      <color rgb="FF4285F4"/>
      <name val="Roboto"/>
    </font>
    <font>
      <b/>
      <u/>
      <sz val="11.0"/>
      <color rgb="FF0000FF"/>
      <name val="Roboto"/>
    </font>
    <font>
      <b/>
      <i/>
      <sz val="10.0"/>
      <color rgb="FF741B47"/>
      <name val="Roboto"/>
    </font>
    <font>
      <b/>
      <u/>
      <sz val="11.0"/>
      <color rgb="FF0000FF"/>
      <name val="Roboto"/>
    </font>
    <font>
      <b/>
      <sz val="18.0"/>
      <color rgb="FF6AA84F"/>
      <name val="Roboto"/>
    </font>
    <font>
      <b/>
      <sz val="10.0"/>
      <color rgb="FFFF0000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b/>
      <i/>
      <sz val="10.0"/>
      <color theme="4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b/>
      <i/>
      <sz val="10.0"/>
      <color rgb="FFFF0000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b/>
      <u/>
      <sz val="11.0"/>
      <color rgb="FF0000FF"/>
      <name val="Roboto"/>
    </font>
    <font>
      <b/>
      <sz val="15.0"/>
      <color theme="1"/>
      <name val="Roboto"/>
    </font>
    <font>
      <b/>
      <sz val="14.0"/>
      <color theme="1"/>
      <name val="Roboto"/>
    </font>
    <font>
      <b/>
      <sz val="15.0"/>
      <color rgb="FF000000"/>
      <name val="Roboto"/>
    </font>
    <font>
      <b/>
      <sz val="13.0"/>
      <color theme="1"/>
      <name val="Roboto"/>
    </font>
    <font>
      <color theme="1"/>
      <name val="Arial"/>
      <scheme val="minor"/>
    </font>
    <font>
      <b/>
      <sz val="12.0"/>
      <color rgb="FF000000"/>
      <name val="Roboto"/>
    </font>
    <font>
      <b/>
      <sz val="12.0"/>
      <color rgb="FF274E13"/>
      <name val="Roboto"/>
    </font>
    <font>
      <b/>
      <sz val="8.0"/>
      <color rgb="FF274E13"/>
      <name val="Roboto"/>
    </font>
    <font>
      <b/>
      <sz val="12.0"/>
      <color rgb="FFCC0000"/>
      <name val="Roboto"/>
    </font>
    <font>
      <b/>
      <sz val="8.0"/>
      <color rgb="FFCC0000"/>
      <name val="Roboto"/>
    </font>
    <font>
      <sz val="14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sz val="8.0"/>
      <color theme="1"/>
      <name val="Arial"/>
      <scheme val="minor"/>
    </font>
    <font>
      <sz val="13.0"/>
      <color rgb="FFCC0000"/>
      <name val="Roboto"/>
    </font>
    <font>
      <b/>
      <u/>
      <sz val="10.0"/>
      <color rgb="FF0000FF"/>
      <name val="Roboto"/>
    </font>
    <font>
      <i/>
      <sz val="14.0"/>
      <color rgb="FFFFFFFF"/>
      <name val="&quot;Open Sans&quot;"/>
    </font>
    <font>
      <u/>
      <sz val="11.0"/>
      <color rgb="FF1155CC"/>
      <name val="Roboto"/>
    </font>
    <font>
      <u/>
      <sz val="11.0"/>
      <color rgb="FF1155CC"/>
      <name val="Roboto"/>
    </font>
    <font>
      <b/>
      <u/>
      <sz val="11.0"/>
      <color rgb="FF0000FF"/>
      <name val="Roboto"/>
    </font>
    <font>
      <strike/>
      <sz val="12.0"/>
      <color theme="1"/>
      <name val="Roboto"/>
    </font>
    <font>
      <b/>
      <u/>
      <sz val="11.0"/>
      <color rgb="FF1155CC"/>
      <name val="Roboto"/>
    </font>
    <font>
      <b/>
      <color rgb="FFCC0000"/>
      <name val="Roboto"/>
    </font>
    <font>
      <b/>
      <i/>
      <color rgb="FF741B47"/>
      <name val="Roboto"/>
    </font>
    <font>
      <b/>
      <sz val="11.0"/>
      <color theme="1"/>
      <name val="Docs-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9.0"/>
      <color rgb="FF0000FF"/>
      <name val="Roboto"/>
    </font>
    <font>
      <b/>
      <sz val="9.0"/>
      <color theme="1"/>
      <name val="Roboto"/>
    </font>
    <font>
      <b/>
      <sz val="15.0"/>
      <color rgb="FFCC0000"/>
      <name val="Roboto"/>
    </font>
    <font>
      <b/>
      <u/>
      <sz val="10.0"/>
      <color rgb="FF0000FF"/>
      <name val="Roboto"/>
    </font>
    <font>
      <b/>
      <u/>
      <sz val="11.0"/>
      <color rgb="FF000000"/>
      <name val="Roboto"/>
    </font>
    <font>
      <sz val="11.0"/>
      <color rgb="FFCC0000"/>
      <name val="Roboto"/>
    </font>
    <font>
      <b/>
      <u/>
      <sz val="11.0"/>
      <color rgb="FF1155CC"/>
      <name val="Roboto"/>
    </font>
    <font>
      <b/>
      <sz val="11.0"/>
      <color rgb="FFCC0000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0000FF"/>
      <name val="Roboto"/>
    </font>
    <font>
      <b/>
      <u/>
      <sz val="11.0"/>
      <color rgb="FF1155CC"/>
      <name val="Roboto"/>
    </font>
    <font>
      <b/>
      <u/>
      <sz val="11.0"/>
      <color rgb="FF0000FF"/>
      <name val="Roboto"/>
    </font>
    <font>
      <u/>
      <sz val="11.0"/>
      <color rgb="FF0000FF"/>
      <name val="Roboto"/>
    </font>
    <font>
      <b/>
      <u/>
      <sz val="11.0"/>
      <color rgb="FF1155CC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u/>
      <sz val="11.0"/>
      <color rgb="FF0000FF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b/>
      <u/>
      <sz val="11.0"/>
      <color rgb="FF1155CC"/>
      <name val="Roboto"/>
    </font>
    <font>
      <u/>
      <sz val="11.0"/>
      <color rgb="FF0000FF"/>
      <name val="Roboto"/>
    </font>
    <font>
      <b/>
      <u/>
      <sz val="10.0"/>
      <color rgb="FF0000FF"/>
      <name val="Roboto"/>
    </font>
    <font>
      <b/>
      <u/>
      <sz val="11.0"/>
      <color rgb="FF000000"/>
      <name val="Roboto"/>
    </font>
    <font>
      <b/>
      <sz val="11.0"/>
      <color rgb="FFA61C00"/>
      <name val="Docs-Roboto"/>
    </font>
    <font>
      <sz val="11.0"/>
      <color rgb="FF9900FF"/>
      <name val="Roboto"/>
    </font>
    <font>
      <sz val="11.0"/>
      <color rgb="FFE69138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b/>
      <u/>
      <sz val="10.0"/>
      <color rgb="FF000000"/>
      <name val="Roboto"/>
    </font>
    <font>
      <b/>
      <i/>
      <sz val="9.0"/>
      <color theme="1"/>
      <name val="Roboto"/>
    </font>
    <font>
      <b/>
      <i/>
      <sz val="9.0"/>
      <color rgb="FF000000"/>
      <name val="Roboto"/>
    </font>
    <font>
      <b/>
      <i/>
      <sz val="9.0"/>
      <color rgb="FFCC0000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b/>
      <u/>
      <sz val="10.0"/>
      <color rgb="FF000000"/>
      <name val="Roboto"/>
    </font>
    <font>
      <b/>
      <i/>
      <u/>
      <sz val="11.0"/>
      <color rgb="FF0000FF"/>
      <name val="Roboto"/>
    </font>
    <font>
      <b/>
      <u/>
      <sz val="10.0"/>
      <color rgb="FF1155CC"/>
      <name val="Roboto"/>
    </font>
    <font>
      <b/>
      <u/>
      <sz val="11.0"/>
      <color rgb="FF0000FF"/>
      <name val="Roboto"/>
    </font>
    <font>
      <b/>
      <i/>
      <u/>
      <sz val="9.0"/>
      <color rgb="FF0000FF"/>
      <name val="Roboto"/>
    </font>
    <font>
      <b/>
      <i/>
      <u/>
      <sz val="9.0"/>
      <color rgb="FFEA4335"/>
      <name val="Roboto"/>
    </font>
    <font>
      <b/>
      <sz val="11.0"/>
      <color rgb="FFFF0000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u/>
      <sz val="11.0"/>
      <color rgb="FFCC0000"/>
      <name val="Roboto"/>
    </font>
    <font>
      <b/>
      <sz val="11.0"/>
      <color theme="1"/>
      <name val="Arial"/>
      <scheme val="minor"/>
    </font>
    <font>
      <color theme="1"/>
      <name val="Roboto"/>
    </font>
    <font>
      <u/>
      <sz val="11.0"/>
      <color rgb="FF0000FF"/>
      <name val="Roboto"/>
    </font>
    <font>
      <b/>
      <sz val="14.0"/>
      <color rgb="FF1155CC"/>
      <name val="Roboto"/>
    </font>
    <font>
      <b/>
      <sz val="11.0"/>
      <color rgb="FF990000"/>
      <name val="Roboto"/>
    </font>
    <font>
      <b/>
      <sz val="11.0"/>
      <color rgb="FF1155CC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sz val="11.0"/>
      <color rgb="FF980000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sz val="11.0"/>
      <color rgb="FFA61C00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b/>
      <sz val="13.0"/>
      <color rgb="FFFFFFFF"/>
      <name val="Roboto"/>
    </font>
    <font>
      <u/>
      <sz val="11.0"/>
      <color rgb="FF0000FF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BACDD7"/>
        <bgColor rgb="FFBACDD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488FA"/>
        <bgColor rgb="FF3488FA"/>
      </patternFill>
    </fill>
    <fill>
      <patternFill patternType="solid">
        <fgColor rgb="FFAB32D0"/>
        <bgColor rgb="FFAB32D0"/>
      </patternFill>
    </fill>
    <fill>
      <patternFill patternType="solid">
        <fgColor rgb="FFFB9B17"/>
        <bgColor rgb="FFFB9B17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8FE6C2"/>
        <bgColor rgb="FF8FE6C2"/>
      </patternFill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3C78D8"/>
        <bgColor rgb="FF3C78D8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134F5C"/>
        <bgColor rgb="FF134F5C"/>
      </patternFill>
    </fill>
  </fills>
  <borders count="243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</border>
    <border>
      <left style="thin">
        <color rgb="FFEFEFEF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right style="thin">
        <color rgb="FF000000"/>
      </right>
    </border>
    <border>
      <right style="thin">
        <color rgb="FFD9D9D9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D9D9D9"/>
      </right>
      <bottom style="thin">
        <color rgb="FF000000"/>
      </bottom>
    </border>
    <border>
      <left style="thin">
        <color rgb="FFD9D9D9"/>
      </left>
      <right style="thin">
        <color rgb="FF000000"/>
      </right>
      <bottom style="thin">
        <color rgb="FF000000"/>
      </bottom>
    </border>
    <border>
      <right style="thin">
        <color rgb="FFD9D9D9"/>
      </right>
      <bottom style="thin">
        <color rgb="FF000000"/>
      </bottom>
    </border>
    <border>
      <left style="thin">
        <color rgb="FFD9D9D9"/>
      </left>
      <right style="thin">
        <color rgb="FFD9D9D9"/>
      </right>
      <bottom style="thin">
        <color rgb="FF000000"/>
      </bottom>
    </border>
    <border>
      <left style="thin">
        <color rgb="FFD9D9D9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F3F3F3"/>
      </bottom>
    </border>
    <border>
      <right style="thin">
        <color rgb="FF000000"/>
      </right>
      <bottom style="thin">
        <color rgb="FFF3F3F3"/>
      </bottom>
    </border>
    <border>
      <left style="thin">
        <color rgb="FF000000"/>
      </left>
      <right style="thin">
        <color rgb="FF000000"/>
      </right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top style="thin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right style="thin">
        <color rgb="FF000000"/>
      </righ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hair">
        <color rgb="FF000000"/>
      </left>
      <right style="medium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right style="thin">
        <color rgb="FFF3F3F3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top style="thin">
        <color rgb="FF000000"/>
      </top>
      <bottom style="thin">
        <color rgb="FFF3F3F3"/>
      </bottom>
    </border>
    <border>
      <right style="thin">
        <color rgb="FF000000"/>
      </right>
      <top style="thin">
        <color rgb="FF000000"/>
      </top>
      <bottom style="thin">
        <color rgb="FFF3F3F3"/>
      </bottom>
    </border>
    <border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F3F3F3"/>
      </right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666666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F3F3F3"/>
      </left>
    </border>
    <border>
      <right style="medium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top style="thin">
        <color rgb="FF000000"/>
      </top>
      <bottom style="thin">
        <color rgb="FFF3F3F3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F3F3F3"/>
      </left>
      <right style="thin">
        <color rgb="FF000000"/>
      </right>
      <bottom style="thin">
        <color rgb="FFF3F3F3"/>
      </bottom>
    </border>
    <border>
      <right style="medium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right style="thin">
        <color rgb="FF000000"/>
      </right>
      <top style="thin">
        <color rgb="FFEFEFEF"/>
      </top>
      <bottom style="thin">
        <color rgb="FFF3F3F3"/>
      </bottom>
    </border>
    <border>
      <right style="thin">
        <color rgb="FFF3F3F3"/>
      </right>
      <bottom style="thin">
        <color rgb="FF000000"/>
      </bottom>
    </border>
    <border>
      <left style="thin">
        <color rgb="FFF3F3F3"/>
      </left>
      <right style="thin">
        <color rgb="FFF3F3F3"/>
      </right>
      <bottom style="thin">
        <color rgb="FF000000"/>
      </bottom>
    </border>
    <border>
      <left style="thin">
        <color rgb="FFF3F3F3"/>
      </left>
      <bottom style="thin">
        <color rgb="FF000000"/>
      </bottom>
    </border>
    <border>
      <top style="thin">
        <color rgb="FF000000"/>
      </top>
      <bottom style="thin">
        <color rgb="FFEFEFEF"/>
      </bottom>
    </border>
    <border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F3F3F3"/>
      </left>
      <top style="thin">
        <color rgb="FF000000"/>
      </top>
      <bottom style="thin">
        <color rgb="FFEFEFEF"/>
      </bottom>
    </border>
    <border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EFEFEF"/>
      </bottom>
    </border>
    <border>
      <top style="thin">
        <color rgb="FFEFEFEF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F3F3F3"/>
      </top>
    </border>
    <border>
      <right style="thin">
        <color rgb="FF000000"/>
      </right>
      <top style="thin">
        <color rgb="FFF3F3F3"/>
      </top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top style="thin">
        <color rgb="FFF3F3F3"/>
      </top>
    </border>
    <border>
      <right style="thin">
        <color rgb="FFF3F3F3"/>
      </right>
      <top style="thin">
        <color rgb="FF000000"/>
      </top>
      <bottom style="thin">
        <color rgb="FFEFEFEF"/>
      </bottom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EFEFEF"/>
      </bottom>
    </border>
    <border>
      <right style="thin">
        <color rgb="FFF3F3F3"/>
      </right>
      <top style="thin">
        <color rgb="FFEFEFEF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EFEFEF"/>
      </top>
      <bottom style="thin">
        <color rgb="FFF3F3F3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F3F3F3"/>
      </bottom>
    </border>
    <border>
      <left style="thin">
        <color rgb="FFF3F3F3"/>
      </left>
      <top style="thin">
        <color rgb="FFEFEFEF"/>
      </top>
      <bottom style="thin">
        <color rgb="FFF3F3F3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000000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top style="thin">
        <color rgb="FFFF9900"/>
      </top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thin">
        <color rgb="FFF3F3F3"/>
      </right>
      <top style="thin">
        <color rgb="FFF3F3F3"/>
      </top>
    </border>
    <border>
      <left style="thin">
        <color rgb="FFF3F3F3"/>
      </left>
      <right style="thin">
        <color rgb="FFF3F3F3"/>
      </right>
      <top style="thin">
        <color rgb="FFF3F3F3"/>
      </top>
    </border>
    <border>
      <right style="dotted">
        <color rgb="FF000000"/>
      </right>
      <top style="dotted">
        <color rgb="FF000000"/>
      </top>
      <bottom style="dotted">
        <color rgb="FF666666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666666"/>
      </bottom>
    </border>
    <border>
      <left style="dotted">
        <color rgb="FF000000"/>
      </left>
      <top style="dotted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top style="dotted">
        <color rgb="FF666666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bottom style="thin">
        <color rgb="FF434343"/>
      </bottom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000000"/>
      </right>
    </border>
    <border>
      <right style="thin">
        <color rgb="FF000000"/>
      </right>
      <bottom style="thin">
        <color rgb="FF999999"/>
      </bottom>
    </border>
    <border>
      <right style="thin">
        <color rgb="FFF3F3F3"/>
      </right>
      <bottom style="thin">
        <color rgb="FF999999"/>
      </bottom>
    </border>
    <border>
      <left style="thin">
        <color rgb="FFF3F3F3"/>
      </left>
      <right style="thin">
        <color rgb="FFF3F3F3"/>
      </right>
      <bottom style="thin">
        <color rgb="FF999999"/>
      </bottom>
    </border>
    <border>
      <left style="thin">
        <color rgb="FFF3F3F3"/>
      </left>
      <bottom style="thin">
        <color rgb="FF999999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666666"/>
      </bottom>
    </border>
    <border>
      <left style="thin">
        <color rgb="FFF3F3F3"/>
      </left>
      <right style="thin">
        <color rgb="FF000000"/>
      </right>
      <bottom style="thin">
        <color rgb="FF000000"/>
      </bottom>
    </border>
    <border>
      <left style="thin">
        <color rgb="FFF3F3F3"/>
      </left>
      <right style="thin">
        <color rgb="FF000000"/>
      </right>
      <bottom style="thin">
        <color rgb="FF999999"/>
      </bottom>
    </border>
    <border>
      <left style="dotted">
        <color rgb="FF000000"/>
      </left>
      <right style="thin">
        <color rgb="FF000000"/>
      </right>
      <top style="dotted">
        <color rgb="FF666666"/>
      </top>
      <bottom style="dotted">
        <color rgb="FF000000"/>
      </bottom>
    </border>
    <border>
      <top style="thin">
        <color rgb="FF434343"/>
      </top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D9D9D9"/>
      </left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3F3F3"/>
      </top>
    </border>
    <border>
      <left style="thin">
        <color rgb="FF000000"/>
      </left>
      <top style="thin">
        <color rgb="FF999999"/>
      </top>
    </border>
    <border>
      <left style="thin">
        <color rgb="FF000000"/>
      </left>
      <bottom style="thin">
        <color rgb="FF999999"/>
      </bottom>
    </border>
    <border>
      <left style="thin">
        <color rgb="FF000000"/>
      </left>
      <bottom style="thin">
        <color rgb="FF434343"/>
      </bottom>
    </border>
    <border>
      <left style="thin">
        <color rgb="FF000000"/>
      </left>
      <top style="thin">
        <color rgb="FF434343"/>
      </top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thin">
        <color rgb="FFF3F3F3"/>
      </left>
      <right style="medium">
        <color rgb="FF000000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medium">
        <color rgb="FF000000"/>
      </right>
      <bottom style="thin">
        <color rgb="FFF3F3F3"/>
      </bottom>
    </border>
    <border>
      <right style="medium">
        <color rgb="FF000000"/>
      </right>
      <top style="thin">
        <color rgb="FFF3F3F3"/>
      </top>
      <bottom style="thin">
        <color rgb="FFF3F3F3"/>
      </bottom>
    </border>
    <border>
      <right style="medium">
        <color rgb="FF000000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F3F3F3"/>
      </bottom>
    </border>
    <border>
      <right style="medium">
        <color rgb="FF000000"/>
      </right>
      <top style="thin">
        <color rgb="FFF3F3F3"/>
      </top>
    </border>
    <border>
      <left style="thin">
        <color rgb="FFF3F3F3"/>
      </left>
      <right style="medium">
        <color rgb="FF000000"/>
      </right>
      <bottom style="thin">
        <color rgb="FF999999"/>
      </bottom>
    </border>
    <border>
      <left style="thin">
        <color rgb="FFF3F3F3"/>
      </left>
      <right style="medium">
        <color rgb="FF000000"/>
      </right>
    </border>
    <border>
      <left style="thin">
        <color rgb="FFF3F3F3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thin">
        <color rgb="FF000000"/>
      </left>
      <bottom style="thin">
        <color rgb="FFB7B7B7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right style="thin">
        <color rgb="FFD9D9D9"/>
      </right>
      <top style="thin">
        <color rgb="FF000000"/>
      </top>
    </border>
    <border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F3F3F3"/>
      </left>
      <right style="dotted">
        <color rgb="FF666666"/>
      </right>
      <bottom style="dotted">
        <color rgb="FF666666"/>
      </bottom>
    </border>
    <border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dotted">
        <color rgb="FF666666"/>
      </right>
    </border>
    <border>
      <right style="dotted">
        <color rgb="FF666666"/>
      </right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thin">
        <color rgb="FFF3F3F3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thin">
        <color rgb="FFF3F3F3"/>
      </left>
      <right style="dotted">
        <color rgb="FF666666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</border>
    <border>
      <left style="dotted">
        <color rgb="FF666666"/>
      </left>
      <top style="thin">
        <color rgb="FF000000"/>
      </top>
      <bottom style="dotted">
        <color rgb="FF666666"/>
      </bottom>
    </border>
    <border>
      <left style="double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thin">
        <color rgb="FF000000"/>
      </right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F3F3F3"/>
      </right>
      <top style="thin">
        <color rgb="FF000000"/>
      </top>
    </border>
    <border>
      <left style="dotted">
        <color rgb="FF666666"/>
      </left>
      <top style="dotted">
        <color rgb="FF666666"/>
      </top>
      <bottom style="thin">
        <color rgb="FF000000"/>
      </bottom>
    </border>
    <border>
      <left style="double">
        <color rgb="FF000000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right style="thin">
        <color rgb="FFF3F3F3"/>
      </right>
      <top style="thin">
        <color rgb="FFF3F3F3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666666"/>
      </bottom>
    </border>
    <border>
      <left style="thin">
        <color rgb="FFF3F3F3"/>
      </left>
      <right style="thin">
        <color rgb="FFF3F3F3"/>
      </right>
      <top style="thin">
        <color rgb="FF666666"/>
      </top>
      <bottom style="thin">
        <color rgb="FFF3F3F3"/>
      </bottom>
    </border>
    <border>
      <left style="thin">
        <color rgb="FFD9D9D9"/>
      </left>
      <top style="thin">
        <color rgb="FF000000"/>
      </top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666666"/>
      </bottom>
    </border>
    <border>
      <left style="thin">
        <color rgb="FFF3F3F3"/>
      </left>
      <top style="thin">
        <color rgb="FFF3F3F3"/>
      </top>
      <bottom style="thin">
        <color rgb="FF666666"/>
      </bottom>
    </border>
    <border>
      <right style="thin">
        <color rgb="FFF3F3F3"/>
      </right>
      <top style="thin">
        <color rgb="FF666666"/>
      </top>
      <bottom style="thin">
        <color rgb="FFF3F3F3"/>
      </bottom>
    </border>
    <border>
      <left style="thin">
        <color rgb="FFF3F3F3"/>
      </left>
      <top style="thin">
        <color rgb="FF666666"/>
      </top>
      <bottom style="thin">
        <color rgb="FFF3F3F3"/>
      </bottom>
    </border>
    <border>
      <left style="thin">
        <color rgb="FFF3F3F3"/>
      </left>
      <top style="thin">
        <color rgb="FFF3F3F3"/>
      </top>
      <bottom style="thin">
        <color rgb="FF000000"/>
      </bottom>
    </border>
    <border>
      <left style="double">
        <color rgb="FFD9D9D9"/>
      </left>
      <top style="double">
        <color rgb="FFD9D9D9"/>
      </top>
    </border>
    <border>
      <right style="double">
        <color rgb="FFD9D9D9"/>
      </right>
      <top style="double">
        <color rgb="FFD9D9D9"/>
      </top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bottom style="double">
        <color rgb="FFD9D9D9"/>
      </bottom>
    </border>
    <border>
      <right style="double">
        <color rgb="FFD9D9D9"/>
      </right>
      <bottom style="double">
        <color rgb="FFD9D9D9"/>
      </bottom>
    </border>
    <border>
      <left style="double">
        <color rgb="FFD9D9D9"/>
      </left>
      <right style="double">
        <color rgb="FFD9D9D9"/>
      </right>
      <top style="double">
        <color rgb="FFD9D9D9"/>
      </top>
    </border>
    <border>
      <right style="thin">
        <color rgb="FFD9D9D9"/>
      </right>
      <top style="thin">
        <color rgb="FFEFEFEF"/>
      </top>
    </border>
    <border>
      <left style="thin">
        <color rgb="FFD9D9D9"/>
      </left>
      <right style="thin">
        <color rgb="FFD9D9D9"/>
      </right>
      <top style="thin">
        <color rgb="FFEFEFEF"/>
      </top>
    </border>
    <border>
      <left style="thin">
        <color rgb="FFD9D9D9"/>
      </left>
      <top style="thin">
        <color rgb="FFEFEFEF"/>
      </top>
    </border>
    <border>
      <left style="double">
        <color rgb="FFD9D9D9"/>
      </left>
      <right style="double">
        <color rgb="FFD9D9D9"/>
      </right>
      <bottom style="double">
        <color rgb="FFD9D9D9"/>
      </bottom>
    </border>
    <border>
      <left style="thin">
        <color rgb="FFF3F3F3"/>
      </left>
      <top style="thin">
        <color rgb="FF000000"/>
      </top>
    </border>
    <border>
      <top style="thin">
        <color rgb="FFF3F3F3"/>
      </top>
      <bottom style="thin">
        <color rgb="FF000000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10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7" fillId="2" fontId="4" numFmtId="1" xfId="0" applyAlignment="1" applyBorder="1" applyFont="1" applyNumberFormat="1">
      <alignment horizontal="center" readingOrder="0" vertical="center"/>
    </xf>
    <xf borderId="8" fillId="0" fontId="3" numFmtId="0" xfId="0" applyBorder="1" applyFont="1"/>
    <xf borderId="9" fillId="2" fontId="1" numFmtId="0" xfId="0" applyAlignment="1" applyBorder="1" applyFont="1">
      <alignment vertical="center"/>
    </xf>
    <xf borderId="10" fillId="0" fontId="3" numFmtId="0" xfId="0" applyBorder="1" applyFont="1"/>
    <xf borderId="11" fillId="2" fontId="5" numFmtId="0" xfId="0" applyAlignment="1" applyBorder="1" applyFont="1">
      <alignment horizontal="center" readingOrder="0" vertical="center"/>
    </xf>
    <xf borderId="12" fillId="3" fontId="5" numFmtId="0" xfId="0" applyAlignment="1" applyBorder="1" applyFill="1" applyFont="1">
      <alignment horizontal="left" readingOrder="0" vertic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0" fillId="4" fontId="6" numFmtId="0" xfId="0" applyAlignment="1" applyFill="1" applyFont="1">
      <alignment readingOrder="0" vertical="center"/>
    </xf>
    <xf borderId="0" fillId="4" fontId="7" numFmtId="0" xfId="0" applyAlignment="1" applyFont="1">
      <alignment readingOrder="0" vertical="center"/>
    </xf>
    <xf borderId="0" fillId="4" fontId="7" numFmtId="0" xfId="0" applyAlignment="1" applyFont="1">
      <alignment horizontal="center" vertical="center"/>
    </xf>
    <xf borderId="14" fillId="4" fontId="7" numFmtId="0" xfId="0" applyAlignment="1" applyBorder="1" applyFont="1">
      <alignment horizontal="center" vertical="center"/>
    </xf>
    <xf borderId="15" fillId="4" fontId="7" numFmtId="1" xfId="0" applyAlignment="1" applyBorder="1" applyFont="1" applyNumberFormat="1">
      <alignment horizontal="center" vertical="center"/>
    </xf>
    <xf borderId="15" fillId="4" fontId="8" numFmtId="2" xfId="0" applyAlignment="1" applyBorder="1" applyFont="1" applyNumberFormat="1">
      <alignment horizontal="center" vertical="center"/>
    </xf>
    <xf borderId="20" fillId="4" fontId="9" numFmtId="0" xfId="0" applyAlignment="1" applyBorder="1" applyFont="1">
      <alignment vertical="center"/>
    </xf>
    <xf borderId="21" fillId="2" fontId="9" numFmtId="0" xfId="0" applyAlignment="1" applyBorder="1" applyFont="1">
      <alignment vertical="center"/>
    </xf>
    <xf borderId="19" fillId="2" fontId="10" numFmtId="0" xfId="0" applyAlignment="1" applyBorder="1" applyFont="1">
      <alignment horizontal="center" vertical="center"/>
    </xf>
    <xf borderId="22" fillId="2" fontId="11" numFmtId="0" xfId="0" applyAlignment="1" applyBorder="1" applyFont="1">
      <alignment horizontal="left" vertical="center"/>
    </xf>
    <xf borderId="23" fillId="2" fontId="12" numFmtId="0" xfId="0" applyAlignment="1" applyBorder="1" applyFont="1">
      <alignment horizontal="center" vertical="center"/>
    </xf>
    <xf borderId="24" fillId="2" fontId="12" numFmtId="0" xfId="0" applyAlignment="1" applyBorder="1" applyFont="1">
      <alignment horizontal="center" vertical="center"/>
    </xf>
    <xf borderId="25" fillId="2" fontId="12" numFmtId="0" xfId="0" applyAlignment="1" applyBorder="1" applyFont="1">
      <alignment horizontal="center" vertical="center"/>
    </xf>
    <xf borderId="17" fillId="2" fontId="13" numFmtId="0" xfId="0" applyAlignment="1" applyBorder="1" applyFont="1">
      <alignment horizontal="center" readingOrder="0" vertical="center"/>
    </xf>
    <xf borderId="15" fillId="2" fontId="14" numFmtId="0" xfId="0" applyAlignment="1" applyBorder="1" applyFont="1">
      <alignment horizontal="center" readingOrder="0" vertical="center"/>
    </xf>
    <xf borderId="13" fillId="2" fontId="14" numFmtId="0" xfId="0" applyAlignment="1" applyBorder="1" applyFont="1">
      <alignment horizontal="center" readingOrder="0" vertical="center"/>
    </xf>
    <xf borderId="26" fillId="2" fontId="14" numFmtId="0" xfId="0" applyAlignment="1" applyBorder="1" applyFont="1">
      <alignment horizontal="center" vertical="bottom"/>
    </xf>
    <xf borderId="27" fillId="2" fontId="14" numFmtId="0" xfId="0" applyAlignment="1" applyBorder="1" applyFont="1">
      <alignment horizontal="center" readingOrder="0" vertical="center"/>
    </xf>
    <xf borderId="17" fillId="2" fontId="14" numFmtId="0" xfId="0" applyAlignment="1" applyBorder="1" applyFont="1">
      <alignment horizontal="center" readingOrder="0"/>
    </xf>
    <xf borderId="17" fillId="2" fontId="14" numFmtId="0" xfId="0" applyAlignment="1" applyBorder="1" applyFont="1">
      <alignment horizontal="center" readingOrder="0" vertical="center"/>
    </xf>
    <xf borderId="28" fillId="2" fontId="14" numFmtId="0" xfId="0" applyAlignment="1" applyBorder="1" applyFont="1">
      <alignment horizontal="center" readingOrder="0" vertical="center"/>
    </xf>
    <xf borderId="0" fillId="2" fontId="14" numFmtId="1" xfId="0" applyAlignment="1" applyFont="1" applyNumberFormat="1">
      <alignment horizontal="center" readingOrder="0" vertical="center"/>
    </xf>
    <xf borderId="0" fillId="5" fontId="15" numFmtId="0" xfId="0" applyAlignment="1" applyFill="1" applyFont="1">
      <alignment readingOrder="0" vertical="center"/>
    </xf>
    <xf borderId="29" fillId="6" fontId="16" numFmtId="0" xfId="0" applyAlignment="1" applyBorder="1" applyFill="1" applyFont="1">
      <alignment readingOrder="0" vertical="bottom"/>
    </xf>
    <xf borderId="30" fillId="0" fontId="3" numFmtId="0" xfId="0" applyBorder="1" applyFont="1"/>
    <xf borderId="31" fillId="6" fontId="17" numFmtId="0" xfId="0" applyAlignment="1" applyBorder="1" applyFont="1">
      <alignment horizontal="center" readingOrder="0" vertical="bottom"/>
    </xf>
    <xf borderId="32" fillId="6" fontId="12" numFmtId="0" xfId="0" applyAlignment="1" applyBorder="1" applyFont="1">
      <alignment horizontal="center" readingOrder="0" vertical="bottom"/>
    </xf>
    <xf borderId="30" fillId="6" fontId="12" numFmtId="0" xfId="0" applyAlignment="1" applyBorder="1" applyFont="1">
      <alignment horizontal="center" readingOrder="0" vertical="bottom"/>
    </xf>
    <xf borderId="27" fillId="2" fontId="13" numFmtId="164" xfId="0" applyAlignment="1" applyBorder="1" applyFont="1" applyNumberFormat="1">
      <alignment horizontal="center" readingOrder="0" vertical="center"/>
    </xf>
    <xf borderId="33" fillId="7" fontId="12" numFmtId="0" xfId="0" applyAlignment="1" applyBorder="1" applyFill="1" applyFont="1">
      <alignment horizontal="center" readingOrder="0" vertical="center"/>
    </xf>
    <xf borderId="34" fillId="7" fontId="12" numFmtId="0" xfId="0" applyAlignment="1" applyBorder="1" applyFont="1">
      <alignment horizontal="center" readingOrder="0" vertical="center"/>
    </xf>
    <xf borderId="35" fillId="7" fontId="12" numFmtId="0" xfId="0" applyAlignment="1" applyBorder="1" applyFont="1">
      <alignment horizontal="center" readingOrder="0" vertical="center"/>
    </xf>
    <xf borderId="36" fillId="7" fontId="12" numFmtId="0" xfId="0" applyAlignment="1" applyBorder="1" applyFont="1">
      <alignment horizontal="center" readingOrder="0" vertical="center"/>
    </xf>
    <xf borderId="37" fillId="7" fontId="12" numFmtId="0" xfId="0" applyAlignment="1" applyBorder="1" applyFont="1">
      <alignment horizontal="center" readingOrder="0" vertical="center"/>
    </xf>
    <xf borderId="38" fillId="7" fontId="12" numFmtId="0" xfId="0" applyAlignment="1" applyBorder="1" applyFont="1">
      <alignment horizontal="center" readingOrder="0" vertical="center"/>
    </xf>
    <xf borderId="7" fillId="0" fontId="18" numFmtId="2" xfId="0" applyAlignment="1" applyBorder="1" applyFont="1" applyNumberFormat="1">
      <alignment horizontal="center" readingOrder="0"/>
    </xf>
    <xf borderId="27" fillId="2" fontId="13" numFmtId="0" xfId="0" applyAlignment="1" applyBorder="1" applyFont="1">
      <alignment horizontal="center" readingOrder="0" vertical="center"/>
    </xf>
    <xf borderId="39" fillId="7" fontId="12" numFmtId="0" xfId="0" applyAlignment="1" applyBorder="1" applyFont="1">
      <alignment horizontal="center" readingOrder="0" vertical="center"/>
    </xf>
    <xf borderId="40" fillId="7" fontId="12" numFmtId="0" xfId="0" applyAlignment="1" applyBorder="1" applyFont="1">
      <alignment horizontal="center" readingOrder="0" vertical="center"/>
    </xf>
    <xf borderId="41" fillId="7" fontId="12" numFmtId="0" xfId="0" applyAlignment="1" applyBorder="1" applyFont="1">
      <alignment horizontal="center" readingOrder="0" vertical="center"/>
    </xf>
    <xf borderId="42" fillId="7" fontId="19" numFmtId="2" xfId="0" applyAlignment="1" applyBorder="1" applyFont="1" applyNumberFormat="1">
      <alignment horizontal="center" readingOrder="0" vertical="center"/>
    </xf>
    <xf borderId="29" fillId="6" fontId="12" numFmtId="0" xfId="0" applyAlignment="1" applyBorder="1" applyFont="1">
      <alignment horizontal="center" readingOrder="0" vertical="bottom"/>
    </xf>
    <xf borderId="29" fillId="6" fontId="20" numFmtId="0" xfId="0" applyAlignment="1" applyBorder="1" applyFont="1">
      <alignment readingOrder="0"/>
    </xf>
    <xf borderId="32" fillId="6" fontId="12" numFmtId="0" xfId="0" applyAlignment="1" applyBorder="1" applyFont="1">
      <alignment horizontal="center" readingOrder="0"/>
    </xf>
    <xf borderId="43" fillId="6" fontId="12" numFmtId="0" xfId="0" applyAlignment="1" applyBorder="1" applyFont="1">
      <alignment horizontal="center" readingOrder="0"/>
    </xf>
    <xf borderId="44" fillId="6" fontId="12" numFmtId="0" xfId="0" applyAlignment="1" applyBorder="1" applyFont="1">
      <alignment horizontal="center" readingOrder="0"/>
    </xf>
    <xf borderId="45" fillId="6" fontId="12" numFmtId="0" xfId="0" applyAlignment="1" applyBorder="1" applyFont="1">
      <alignment horizontal="center" readingOrder="0" vertical="bottom"/>
    </xf>
    <xf borderId="46" fillId="6" fontId="12" numFmtId="0" xfId="0" applyAlignment="1" applyBorder="1" applyFont="1">
      <alignment horizontal="center" readingOrder="0" vertical="bottom"/>
    </xf>
    <xf borderId="47" fillId="6" fontId="21" numFmtId="0" xfId="0" applyAlignment="1" applyBorder="1" applyFont="1">
      <alignment readingOrder="0" vertical="bottom"/>
    </xf>
    <xf borderId="46" fillId="0" fontId="3" numFmtId="0" xfId="0" applyBorder="1" applyFont="1"/>
    <xf borderId="30" fillId="6" fontId="17" numFmtId="0" xfId="0" applyAlignment="1" applyBorder="1" applyFont="1">
      <alignment horizontal="center" readingOrder="0" vertical="bottom"/>
    </xf>
    <xf borderId="48" fillId="7" fontId="12" numFmtId="0" xfId="0" applyAlignment="1" applyBorder="1" applyFont="1">
      <alignment horizontal="center" readingOrder="0" vertical="center"/>
    </xf>
    <xf borderId="49" fillId="7" fontId="12" numFmtId="0" xfId="0" applyAlignment="1" applyBorder="1" applyFont="1">
      <alignment horizontal="center" readingOrder="0" vertical="center"/>
    </xf>
    <xf borderId="50" fillId="7" fontId="12" numFmtId="0" xfId="0" applyAlignment="1" applyBorder="1" applyFont="1">
      <alignment horizontal="center" readingOrder="0" vertical="center"/>
    </xf>
    <xf borderId="51" fillId="7" fontId="12" numFmtId="0" xfId="0" applyAlignment="1" applyBorder="1" applyFont="1">
      <alignment horizontal="center" readingOrder="0" vertical="center"/>
    </xf>
    <xf borderId="52" fillId="7" fontId="19" numFmtId="2" xfId="0" applyAlignment="1" applyBorder="1" applyFont="1" applyNumberFormat="1">
      <alignment horizontal="center" readingOrder="0" vertical="center"/>
    </xf>
    <xf borderId="53" fillId="4" fontId="9" numFmtId="0" xfId="0" applyAlignment="1" applyBorder="1" applyFont="1">
      <alignment vertical="center"/>
    </xf>
    <xf borderId="53" fillId="2" fontId="9" numFmtId="0" xfId="0" applyAlignment="1" applyBorder="1" applyFont="1">
      <alignment vertical="center"/>
    </xf>
    <xf borderId="53" fillId="0" fontId="3" numFmtId="0" xfId="0" applyBorder="1" applyFont="1"/>
    <xf borderId="54" fillId="2" fontId="11" numFmtId="0" xfId="0" applyAlignment="1" applyBorder="1" applyFont="1">
      <alignment horizontal="center" vertical="center"/>
    </xf>
    <xf borderId="55" fillId="2" fontId="12" numFmtId="0" xfId="0" applyAlignment="1" applyBorder="1" applyFont="1">
      <alignment horizontal="center" vertical="center"/>
    </xf>
    <xf borderId="56" fillId="2" fontId="12" numFmtId="0" xfId="0" applyAlignment="1" applyBorder="1" applyFont="1">
      <alignment horizontal="center" vertical="center"/>
    </xf>
    <xf borderId="57" fillId="2" fontId="12" numFmtId="0" xfId="0" applyAlignment="1" applyBorder="1" applyFont="1">
      <alignment horizontal="center" vertical="center"/>
    </xf>
    <xf borderId="58" fillId="2" fontId="14" numFmtId="0" xfId="0" applyAlignment="1" applyBorder="1" applyFont="1">
      <alignment horizontal="center" readingOrder="0" vertical="center"/>
    </xf>
    <xf borderId="54" fillId="2" fontId="14" numFmtId="0" xfId="0" applyAlignment="1" applyBorder="1" applyFont="1">
      <alignment horizontal="center" readingOrder="0" vertical="center"/>
    </xf>
    <xf borderId="54" fillId="2" fontId="14" numFmtId="0" xfId="0" applyAlignment="1" applyBorder="1" applyFont="1">
      <alignment horizontal="center" vertical="bottom"/>
    </xf>
    <xf borderId="13" fillId="2" fontId="14" numFmtId="0" xfId="0" applyAlignment="1" applyBorder="1" applyFont="1">
      <alignment horizontal="center" readingOrder="0" vertical="center"/>
    </xf>
    <xf borderId="54" fillId="2" fontId="14" numFmtId="0" xfId="0" applyAlignment="1" applyBorder="1" applyFont="1">
      <alignment horizontal="center" readingOrder="0"/>
    </xf>
    <xf borderId="8" fillId="2" fontId="14" numFmtId="0" xfId="0" applyAlignment="1" applyBorder="1" applyFont="1">
      <alignment horizontal="center" readingOrder="0" vertical="center"/>
    </xf>
    <xf borderId="59" fillId="2" fontId="14" numFmtId="0" xfId="0" applyAlignment="1" applyBorder="1" applyFont="1">
      <alignment horizontal="center" readingOrder="0" vertical="center"/>
    </xf>
    <xf borderId="60" fillId="2" fontId="14" numFmtId="0" xfId="0" applyAlignment="1" applyBorder="1" applyFont="1">
      <alignment horizontal="center" readingOrder="0" vertical="center"/>
    </xf>
    <xf borderId="53" fillId="2" fontId="14" numFmtId="1" xfId="0" applyAlignment="1" applyBorder="1" applyFont="1" applyNumberFormat="1">
      <alignment horizontal="center" readingOrder="0" vertical="center"/>
    </xf>
    <xf borderId="58" fillId="0" fontId="3" numFmtId="0" xfId="0" applyBorder="1" applyFont="1"/>
    <xf borderId="0" fillId="8" fontId="22" numFmtId="0" xfId="0" applyAlignment="1" applyFill="1" applyFont="1">
      <alignment readingOrder="0" vertical="center"/>
    </xf>
    <xf borderId="30" fillId="6" fontId="17" numFmtId="0" xfId="0" applyAlignment="1" applyBorder="1" applyFont="1">
      <alignment horizontal="center" readingOrder="0"/>
    </xf>
    <xf borderId="19" fillId="2" fontId="13" numFmtId="0" xfId="0" applyAlignment="1" applyBorder="1" applyFont="1">
      <alignment horizontal="center" readingOrder="0" vertical="center"/>
    </xf>
    <xf borderId="61" fillId="7" fontId="19" numFmtId="2" xfId="0" applyAlignment="1" applyBorder="1" applyFont="1" applyNumberFormat="1">
      <alignment horizontal="center" readingOrder="0" vertical="center"/>
    </xf>
    <xf borderId="0" fillId="6" fontId="23" numFmtId="0" xfId="0" applyAlignment="1" applyFont="1">
      <alignment readingOrder="0"/>
    </xf>
    <xf borderId="15" fillId="6" fontId="17" numFmtId="0" xfId="0" applyAlignment="1" applyBorder="1" applyFont="1">
      <alignment horizontal="center" readingOrder="0"/>
    </xf>
    <xf borderId="62" fillId="6" fontId="12" numFmtId="0" xfId="0" applyAlignment="1" applyBorder="1" applyFont="1">
      <alignment horizontal="center" readingOrder="0" vertical="bottom"/>
    </xf>
    <xf borderId="15" fillId="6" fontId="12" numFmtId="0" xfId="0" applyAlignment="1" applyBorder="1" applyFont="1">
      <alignment horizontal="center" readingOrder="0" vertical="bottom"/>
    </xf>
    <xf borderId="63" fillId="7" fontId="12" numFmtId="0" xfId="0" applyAlignment="1" applyBorder="1" applyFont="1">
      <alignment horizontal="center" readingOrder="0" vertical="center"/>
    </xf>
    <xf borderId="7" fillId="9" fontId="24" numFmtId="0" xfId="0" applyAlignment="1" applyBorder="1" applyFill="1" applyFont="1">
      <alignment readingOrder="0" vertical="center"/>
    </xf>
    <xf borderId="64" fillId="6" fontId="25" numFmtId="0" xfId="0" applyAlignment="1" applyBorder="1" applyFont="1">
      <alignment readingOrder="0"/>
    </xf>
    <xf borderId="65" fillId="0" fontId="3" numFmtId="0" xfId="0" applyBorder="1" applyFont="1"/>
    <xf borderId="65" fillId="6" fontId="17" numFmtId="0" xfId="0" applyAlignment="1" applyBorder="1" applyFont="1">
      <alignment horizontal="center" readingOrder="0"/>
    </xf>
    <xf borderId="66" fillId="6" fontId="12" numFmtId="0" xfId="0" applyAlignment="1" applyBorder="1" applyFont="1">
      <alignment horizontal="center" readingOrder="0" vertical="bottom"/>
    </xf>
    <xf borderId="65" fillId="6" fontId="12" numFmtId="0" xfId="0" applyAlignment="1" applyBorder="1" applyFont="1">
      <alignment horizontal="center" readingOrder="0" vertical="bottom"/>
    </xf>
    <xf borderId="53" fillId="2" fontId="13" numFmtId="0" xfId="0" applyAlignment="1" applyBorder="1" applyFont="1">
      <alignment horizontal="center" readingOrder="0" vertical="center"/>
    </xf>
    <xf borderId="59" fillId="2" fontId="13" numFmtId="0" xfId="0" applyAlignment="1" applyBorder="1" applyFont="1">
      <alignment horizontal="center" readingOrder="0" vertical="center"/>
    </xf>
    <xf borderId="0" fillId="6" fontId="12" numFmtId="0" xfId="0" applyAlignment="1" applyFont="1">
      <alignment horizontal="center" readingOrder="0" vertical="bottom"/>
    </xf>
    <xf borderId="7" fillId="10" fontId="9" numFmtId="0" xfId="0" applyAlignment="1" applyBorder="1" applyFill="1" applyFont="1">
      <alignment readingOrder="0" vertical="center"/>
    </xf>
    <xf borderId="64" fillId="6" fontId="12" numFmtId="0" xfId="0" applyAlignment="1" applyBorder="1" applyFont="1">
      <alignment horizontal="center" readingOrder="0" vertical="bottom"/>
    </xf>
    <xf borderId="19" fillId="6" fontId="26" numFmtId="0" xfId="0" applyAlignment="1" applyBorder="1" applyFont="1">
      <alignment readingOrder="0"/>
    </xf>
    <xf borderId="62" fillId="6" fontId="12" numFmtId="0" xfId="0" applyAlignment="1" applyBorder="1" applyFont="1">
      <alignment horizontal="center" readingOrder="0" vertical="center"/>
    </xf>
    <xf borderId="67" fillId="6" fontId="12" numFmtId="0" xfId="0" applyAlignment="1" applyBorder="1" applyFont="1">
      <alignment horizontal="center" readingOrder="0" vertical="center"/>
    </xf>
    <xf borderId="54" fillId="2" fontId="13" numFmtId="0" xfId="0" applyAlignment="1" applyBorder="1" applyFont="1">
      <alignment horizontal="center" readingOrder="0" vertical="center"/>
    </xf>
    <xf borderId="20" fillId="4" fontId="6" numFmtId="0" xfId="0" applyAlignment="1" applyBorder="1" applyFont="1">
      <alignment readingOrder="0" vertical="center"/>
    </xf>
    <xf borderId="27" fillId="4" fontId="7" numFmtId="0" xfId="0" applyAlignment="1" applyBorder="1" applyFont="1">
      <alignment readingOrder="0" vertical="center"/>
    </xf>
    <xf borderId="19" fillId="4" fontId="27" numFmtId="0" xfId="0" applyAlignment="1" applyBorder="1" applyFont="1">
      <alignment horizontal="center" readingOrder="0" vertical="center"/>
    </xf>
    <xf borderId="53" fillId="4" fontId="28" numFmtId="0" xfId="0" applyAlignment="1" applyBorder="1" applyFont="1">
      <alignment horizontal="center" readingOrder="0" vertical="center"/>
    </xf>
    <xf borderId="53" fillId="4" fontId="7" numFmtId="0" xfId="0" applyAlignment="1" applyBorder="1" applyFont="1">
      <alignment readingOrder="0" vertical="center"/>
    </xf>
    <xf borderId="8" fillId="4" fontId="29" numFmtId="0" xfId="0" applyAlignment="1" applyBorder="1" applyFont="1">
      <alignment horizontal="center" vertical="center"/>
    </xf>
    <xf borderId="8" fillId="4" fontId="30" numFmtId="0" xfId="0" applyAlignment="1" applyBorder="1" applyFont="1">
      <alignment horizontal="center" vertical="center"/>
    </xf>
    <xf borderId="5" fillId="4" fontId="30" numFmtId="0" xfId="0" applyAlignment="1" applyBorder="1" applyFont="1">
      <alignment horizontal="center" vertical="center"/>
    </xf>
    <xf borderId="17" fillId="4" fontId="31" numFmtId="0" xfId="0" applyAlignment="1" applyBorder="1" applyFont="1">
      <alignment vertical="bottom"/>
    </xf>
    <xf borderId="54" fillId="4" fontId="31" numFmtId="0" xfId="0" applyBorder="1" applyFont="1"/>
    <xf borderId="5" fillId="4" fontId="30" numFmtId="0" xfId="0" applyAlignment="1" applyBorder="1" applyFont="1">
      <alignment horizontal="center" readingOrder="0" vertical="center"/>
    </xf>
    <xf borderId="17" fillId="4" fontId="30" numFmtId="0" xfId="0" applyAlignment="1" applyBorder="1" applyFont="1">
      <alignment horizontal="center" vertical="center"/>
    </xf>
    <xf borderId="13" fillId="4" fontId="30" numFmtId="1" xfId="0" applyAlignment="1" applyBorder="1" applyFont="1" applyNumberFormat="1">
      <alignment horizontal="center" vertical="center"/>
    </xf>
    <xf borderId="13" fillId="4" fontId="32" numFmtId="2" xfId="0" applyAlignment="1" applyBorder="1" applyFont="1" applyNumberFormat="1">
      <alignment horizontal="center" vertical="center"/>
    </xf>
    <xf borderId="8" fillId="4" fontId="9" numFmtId="0" xfId="0" applyAlignment="1" applyBorder="1" applyFont="1">
      <alignment vertical="center"/>
    </xf>
    <xf borderId="68" fillId="2" fontId="9" numFmtId="0" xfId="0" applyAlignment="1" applyBorder="1" applyFont="1">
      <alignment vertical="center"/>
    </xf>
    <xf borderId="55" fillId="2" fontId="10" numFmtId="0" xfId="0" applyAlignment="1" applyBorder="1" applyFont="1">
      <alignment horizontal="center" vertical="center"/>
    </xf>
    <xf borderId="56" fillId="2" fontId="11" numFmtId="0" xfId="0" applyAlignment="1" applyBorder="1" applyFont="1">
      <alignment horizontal="center" vertical="center"/>
    </xf>
    <xf borderId="17" fillId="2" fontId="14" numFmtId="0" xfId="0" applyAlignment="1" applyBorder="1" applyFont="1">
      <alignment horizontal="center" vertical="bottom"/>
    </xf>
    <xf borderId="54" fillId="2" fontId="14" numFmtId="0" xfId="0" applyAlignment="1" applyBorder="1" applyFont="1">
      <alignment horizontal="center" readingOrder="0" vertical="center"/>
    </xf>
    <xf borderId="65" fillId="6" fontId="33" numFmtId="0" xfId="0" applyAlignment="1" applyBorder="1" applyFont="1">
      <alignment readingOrder="0" vertical="center"/>
    </xf>
    <xf borderId="65" fillId="6" fontId="34" numFmtId="0" xfId="0" applyAlignment="1" applyBorder="1" applyFont="1">
      <alignment horizontal="center" readingOrder="0" vertical="center"/>
    </xf>
    <xf borderId="30" fillId="6" fontId="35" numFmtId="0" xfId="0" applyAlignment="1" applyBorder="1" applyFont="1">
      <alignment horizontal="center" readingOrder="0" vertical="center"/>
    </xf>
    <xf borderId="32" fillId="6" fontId="36" numFmtId="0" xfId="0" applyAlignment="1" applyBorder="1" applyFont="1">
      <alignment horizontal="center" readingOrder="0" vertical="bottom"/>
    </xf>
    <xf borderId="64" fillId="6" fontId="12" numFmtId="0" xfId="0" applyAlignment="1" applyBorder="1" applyFont="1">
      <alignment horizontal="center" readingOrder="0" vertical="center"/>
    </xf>
    <xf borderId="34" fillId="11" fontId="12" numFmtId="0" xfId="0" applyAlignment="1" applyBorder="1" applyFill="1" applyFont="1">
      <alignment horizontal="center" readingOrder="0"/>
    </xf>
    <xf borderId="69" fillId="7" fontId="12" numFmtId="0" xfId="0" applyAlignment="1" applyBorder="1" applyFont="1">
      <alignment horizontal="center" readingOrder="0" vertical="center"/>
    </xf>
    <xf borderId="70" fillId="7" fontId="12" numFmtId="0" xfId="0" applyAlignment="1" applyBorder="1" applyFont="1">
      <alignment horizontal="center" readingOrder="0" vertical="center"/>
    </xf>
    <xf borderId="71" fillId="7" fontId="19" numFmtId="2" xfId="0" applyAlignment="1" applyBorder="1" applyFont="1" applyNumberFormat="1">
      <alignment horizontal="center" readingOrder="0" vertical="center"/>
    </xf>
    <xf borderId="30" fillId="3" fontId="37" numFmtId="0" xfId="0" applyAlignment="1" applyBorder="1" applyFont="1">
      <alignment readingOrder="0" vertical="center"/>
    </xf>
    <xf borderId="30" fillId="3" fontId="38" numFmtId="0" xfId="0" applyAlignment="1" applyBorder="1" applyFont="1">
      <alignment horizontal="center" readingOrder="0" vertical="center"/>
    </xf>
    <xf borderId="30" fillId="3" fontId="39" numFmtId="0" xfId="0" applyAlignment="1" applyBorder="1" applyFont="1">
      <alignment horizontal="center" readingOrder="0" vertical="center"/>
    </xf>
    <xf borderId="32" fillId="6" fontId="36" numFmtId="0" xfId="0" applyAlignment="1" applyBorder="1" applyFont="1">
      <alignment horizontal="center" readingOrder="0" vertical="center"/>
    </xf>
    <xf borderId="43" fillId="6" fontId="36" numFmtId="0" xfId="0" applyAlignment="1" applyBorder="1" applyFont="1">
      <alignment horizontal="center" readingOrder="0" vertical="center"/>
    </xf>
    <xf borderId="44" fillId="6" fontId="12" numFmtId="0" xfId="0" applyAlignment="1" applyBorder="1" applyFont="1">
      <alignment horizontal="center" readingOrder="0" vertical="center"/>
    </xf>
    <xf borderId="35" fillId="11" fontId="12" numFmtId="0" xfId="0" applyAlignment="1" applyBorder="1" applyFont="1">
      <alignment horizontal="center" readingOrder="0"/>
    </xf>
    <xf borderId="72" fillId="7" fontId="12" numFmtId="0" xfId="0" applyAlignment="1" applyBorder="1" applyFont="1">
      <alignment horizontal="center" readingOrder="0" vertical="center"/>
    </xf>
    <xf borderId="73" fillId="7" fontId="19" numFmtId="2" xfId="0" applyAlignment="1" applyBorder="1" applyFont="1" applyNumberFormat="1">
      <alignment horizontal="center" readingOrder="0" vertical="center"/>
    </xf>
    <xf borderId="15" fillId="3" fontId="40" numFmtId="0" xfId="0" applyAlignment="1" applyBorder="1" applyFont="1">
      <alignment readingOrder="0" vertical="center"/>
    </xf>
    <xf borderId="15" fillId="3" fontId="41" numFmtId="0" xfId="0" applyAlignment="1" applyBorder="1" applyFont="1">
      <alignment horizontal="center" readingOrder="0" vertical="center"/>
    </xf>
    <xf borderId="15" fillId="3" fontId="17" numFmtId="0" xfId="0" applyAlignment="1" applyBorder="1" applyFont="1">
      <alignment horizontal="center" readingOrder="0" vertical="center"/>
    </xf>
    <xf borderId="74" fillId="6" fontId="12" numFmtId="0" xfId="0" applyAlignment="1" applyBorder="1" applyFont="1">
      <alignment horizontal="center" readingOrder="0" vertical="center"/>
    </xf>
    <xf borderId="49" fillId="11" fontId="12" numFmtId="0" xfId="0" applyAlignment="1" applyBorder="1" applyFont="1">
      <alignment horizontal="center" readingOrder="0"/>
    </xf>
    <xf borderId="75" fillId="7" fontId="12" numFmtId="0" xfId="0" applyAlignment="1" applyBorder="1" applyFont="1">
      <alignment horizontal="center" readingOrder="0" vertical="center"/>
    </xf>
    <xf borderId="76" fillId="7" fontId="19" numFmtId="2" xfId="0" applyAlignment="1" applyBorder="1" applyFont="1" applyNumberFormat="1">
      <alignment horizontal="center" readingOrder="0" vertical="center"/>
    </xf>
    <xf borderId="0" fillId="8" fontId="9" numFmtId="0" xfId="0" applyAlignment="1" applyFont="1">
      <alignment readingOrder="0" vertical="center"/>
    </xf>
    <xf borderId="65" fillId="6" fontId="42" numFmtId="0" xfId="0" applyAlignment="1" applyBorder="1" applyFont="1">
      <alignment horizontal="center" readingOrder="0" vertical="center"/>
    </xf>
    <xf borderId="65" fillId="6" fontId="43" numFmtId="0" xfId="0" applyAlignment="1" applyBorder="1" applyFont="1">
      <alignment horizontal="center" readingOrder="0" vertical="center"/>
    </xf>
    <xf borderId="66" fillId="6" fontId="36" numFmtId="0" xfId="0" applyAlignment="1" applyBorder="1" applyFont="1">
      <alignment horizontal="center" readingOrder="0"/>
    </xf>
    <xf borderId="77" fillId="6" fontId="36" numFmtId="0" xfId="0" applyAlignment="1" applyBorder="1" applyFont="1">
      <alignment horizontal="center" readingOrder="0"/>
    </xf>
    <xf borderId="78" fillId="6" fontId="12" numFmtId="0" xfId="0" applyAlignment="1" applyBorder="1" applyFont="1">
      <alignment horizontal="center" readingOrder="0" vertical="center"/>
    </xf>
    <xf borderId="79" fillId="7" fontId="12" numFmtId="0" xfId="0" applyAlignment="1" applyBorder="1" applyFont="1">
      <alignment horizontal="center" readingOrder="0" vertical="center"/>
    </xf>
    <xf borderId="80" fillId="7" fontId="19" numFmtId="2" xfId="0" applyAlignment="1" applyBorder="1" applyFont="1" applyNumberFormat="1">
      <alignment horizontal="center" readingOrder="0" vertical="center"/>
    </xf>
    <xf borderId="30" fillId="3" fontId="17" numFmtId="0" xfId="0" applyAlignment="1" applyBorder="1" applyFont="1">
      <alignment horizontal="center" readingOrder="0" vertical="center"/>
    </xf>
    <xf borderId="32" fillId="6" fontId="12" numFmtId="0" xfId="0" applyAlignment="1" applyBorder="1" applyFont="1">
      <alignment horizontal="center" readingOrder="0" vertical="center"/>
    </xf>
    <xf borderId="43" fillId="6" fontId="12" numFmtId="0" xfId="0" applyAlignment="1" applyBorder="1" applyFont="1">
      <alignment horizontal="center" readingOrder="0" vertical="center"/>
    </xf>
    <xf borderId="20" fillId="3" fontId="44" numFmtId="0" xfId="0" applyAlignment="1" applyBorder="1" applyFont="1">
      <alignment readingOrder="0" vertical="center"/>
    </xf>
    <xf borderId="20" fillId="3" fontId="38" numFmtId="0" xfId="0" applyAlignment="1" applyBorder="1" applyFont="1">
      <alignment horizontal="center" readingOrder="0" vertical="center"/>
    </xf>
    <xf borderId="17" fillId="3" fontId="45" numFmtId="0" xfId="0" applyAlignment="1" applyBorder="1" applyFont="1">
      <alignment horizontal="center" readingOrder="0" vertical="center"/>
    </xf>
    <xf borderId="0" fillId="9" fontId="9" numFmtId="0" xfId="0" applyAlignment="1" applyFont="1">
      <alignment readingOrder="0" vertical="center"/>
    </xf>
    <xf borderId="65" fillId="3" fontId="46" numFmtId="0" xfId="0" applyAlignment="1" applyBorder="1" applyFont="1">
      <alignment readingOrder="0" vertical="center"/>
    </xf>
    <xf borderId="65" fillId="3" fontId="38" numFmtId="0" xfId="0" applyAlignment="1" applyBorder="1" applyFont="1">
      <alignment horizontal="center" readingOrder="0" vertical="center"/>
    </xf>
    <xf borderId="65" fillId="3" fontId="17" numFmtId="0" xfId="0" applyAlignment="1" applyBorder="1" applyFont="1">
      <alignment horizontal="center" readingOrder="0" vertical="center"/>
    </xf>
    <xf borderId="66" fillId="6" fontId="12" numFmtId="0" xfId="0" applyAlignment="1" applyBorder="1" applyFont="1">
      <alignment horizontal="center" readingOrder="0" vertical="center"/>
    </xf>
    <xf borderId="77" fillId="6" fontId="12" numFmtId="0" xfId="0" applyAlignment="1" applyBorder="1" applyFont="1">
      <alignment horizontal="center" readingOrder="0" vertical="center"/>
    </xf>
    <xf borderId="15" fillId="3" fontId="42" numFmtId="0" xfId="0" applyAlignment="1" applyBorder="1" applyFont="1">
      <alignment horizontal="center" readingOrder="0" vertical="center"/>
    </xf>
    <xf borderId="0" fillId="10" fontId="9" numFmtId="0" xfId="0" applyAlignment="1" applyFont="1">
      <alignment readingOrder="0" vertical="center"/>
    </xf>
    <xf borderId="65" fillId="3" fontId="42" numFmtId="0" xfId="0" applyAlignment="1" applyBorder="1" applyFont="1">
      <alignment horizontal="center" readingOrder="0" vertical="center"/>
    </xf>
    <xf borderId="30" fillId="3" fontId="47" numFmtId="0" xfId="0" applyAlignment="1" applyBorder="1" applyFont="1">
      <alignment horizontal="center" readingOrder="0" vertical="center"/>
    </xf>
    <xf borderId="81" fillId="6" fontId="12" numFmtId="0" xfId="0" applyAlignment="1" applyBorder="1" applyFont="1">
      <alignment horizontal="center" readingOrder="0" vertical="center"/>
    </xf>
    <xf borderId="7" fillId="2" fontId="13" numFmtId="0" xfId="0" applyAlignment="1" applyBorder="1" applyFont="1">
      <alignment horizontal="center" readingOrder="0" vertical="center"/>
    </xf>
    <xf borderId="48" fillId="11" fontId="12" numFmtId="0" xfId="0" applyAlignment="1" applyBorder="1" applyFont="1">
      <alignment horizontal="center" readingOrder="0"/>
    </xf>
    <xf borderId="82" fillId="7" fontId="12" numFmtId="0" xfId="0" applyAlignment="1" applyBorder="1" applyFont="1">
      <alignment horizontal="center" readingOrder="0" vertical="center"/>
    </xf>
    <xf borderId="83" fillId="7" fontId="19" numFmtId="2" xfId="0" applyAlignment="1" applyBorder="1" applyFont="1" applyNumberFormat="1">
      <alignment horizontal="center" readingOrder="0" vertical="center"/>
    </xf>
    <xf borderId="59" fillId="4" fontId="7" numFmtId="0" xfId="0" applyAlignment="1" applyBorder="1" applyFont="1">
      <alignment readingOrder="0" vertical="center"/>
    </xf>
    <xf borderId="53" fillId="4" fontId="27" numFmtId="0" xfId="0" applyAlignment="1" applyBorder="1" applyFont="1">
      <alignment horizontal="center" readingOrder="0" vertical="center"/>
    </xf>
    <xf borderId="84" fillId="2" fontId="11" numFmtId="0" xfId="0" applyAlignment="1" applyBorder="1" applyFont="1">
      <alignment horizontal="center" vertical="center"/>
    </xf>
    <xf borderId="85" fillId="6" fontId="17" numFmtId="0" xfId="0" applyAlignment="1" applyBorder="1" applyFont="1">
      <alignment horizontal="center" readingOrder="0" vertical="center"/>
    </xf>
    <xf borderId="86" fillId="6" fontId="43" numFmtId="0" xfId="0" applyAlignment="1" applyBorder="1" applyFont="1">
      <alignment horizontal="center" readingOrder="0" vertical="center"/>
    </xf>
    <xf borderId="17" fillId="6" fontId="17" numFmtId="0" xfId="0" applyAlignment="1" applyBorder="1" applyFont="1">
      <alignment horizontal="center" readingOrder="0" vertical="center"/>
    </xf>
    <xf borderId="87" fillId="6" fontId="12" numFmtId="0" xfId="0" applyAlignment="1" applyBorder="1" applyFont="1">
      <alignment horizontal="center" readingOrder="0"/>
    </xf>
    <xf borderId="88" fillId="6" fontId="12" numFmtId="0" xfId="0" applyAlignment="1" applyBorder="1" applyFont="1">
      <alignment horizontal="center" readingOrder="0"/>
    </xf>
    <xf borderId="89" fillId="6" fontId="12" numFmtId="0" xfId="0" applyAlignment="1" applyBorder="1" applyFont="1">
      <alignment horizontal="center" readingOrder="0"/>
    </xf>
    <xf borderId="66" fillId="6" fontId="36" numFmtId="0" xfId="0" applyAlignment="1" applyBorder="1" applyFont="1">
      <alignment horizontal="center" readingOrder="0" vertical="bottom"/>
    </xf>
    <xf borderId="78" fillId="6" fontId="12" numFmtId="0" xfId="0" applyAlignment="1" applyBorder="1" applyFont="1">
      <alignment horizontal="center" readingOrder="0"/>
    </xf>
    <xf borderId="30" fillId="6" fontId="39" numFmtId="0" xfId="0" applyAlignment="1" applyBorder="1" applyFont="1">
      <alignment horizontal="center" readingOrder="0" vertical="center"/>
    </xf>
    <xf borderId="46" fillId="6" fontId="45" numFmtId="0" xfId="0" applyAlignment="1" applyBorder="1" applyFont="1">
      <alignment horizontal="center" readingOrder="0" vertical="center"/>
    </xf>
    <xf borderId="74" fillId="6" fontId="12" numFmtId="0" xfId="0" applyAlignment="1" applyBorder="1" applyFont="1">
      <alignment horizontal="center" readingOrder="0"/>
    </xf>
    <xf borderId="65" fillId="6" fontId="39" numFmtId="0" xfId="0" applyAlignment="1" applyBorder="1" applyFont="1">
      <alignment horizontal="center" readingOrder="0" vertical="center"/>
    </xf>
    <xf borderId="15" fillId="6" fontId="39" numFmtId="0" xfId="0" applyAlignment="1" applyBorder="1" applyFont="1">
      <alignment horizontal="center" readingOrder="0" vertical="center"/>
    </xf>
    <xf borderId="62" fillId="6" fontId="36" numFmtId="0" xfId="0" applyAlignment="1" applyBorder="1" applyFont="1">
      <alignment horizontal="center" readingOrder="0"/>
    </xf>
    <xf borderId="67" fillId="6" fontId="36" numFmtId="0" xfId="0" applyAlignment="1" applyBorder="1" applyFont="1">
      <alignment horizontal="center" readingOrder="0"/>
    </xf>
    <xf borderId="30" fillId="6" fontId="48" numFmtId="0" xfId="0" applyAlignment="1" applyBorder="1" applyFont="1">
      <alignment horizontal="center" readingOrder="0" vertical="center"/>
    </xf>
    <xf borderId="54" fillId="2" fontId="13" numFmtId="164" xfId="0" applyAlignment="1" applyBorder="1" applyFont="1" applyNumberFormat="1">
      <alignment horizontal="center" readingOrder="0" vertical="center"/>
    </xf>
    <xf borderId="20" fillId="6" fontId="48" numFmtId="0" xfId="0" applyAlignment="1" applyBorder="1" applyFont="1">
      <alignment horizontal="center" readingOrder="0" vertical="center"/>
    </xf>
    <xf borderId="32" fillId="6" fontId="36" numFmtId="0" xfId="0" applyAlignment="1" applyBorder="1" applyFont="1">
      <alignment horizontal="center" readingOrder="0"/>
    </xf>
    <xf borderId="43" fillId="6" fontId="36" numFmtId="0" xfId="0" applyAlignment="1" applyBorder="1" applyFont="1">
      <alignment horizontal="center" readingOrder="0"/>
    </xf>
    <xf borderId="20" fillId="6" fontId="39" numFmtId="0" xfId="0" applyAlignment="1" applyBorder="1" applyFont="1">
      <alignment horizontal="center" readingOrder="0" vertical="center"/>
    </xf>
    <xf borderId="87" fillId="6" fontId="36" numFmtId="0" xfId="0" applyAlignment="1" applyBorder="1" applyFont="1">
      <alignment horizontal="center" readingOrder="0"/>
    </xf>
    <xf borderId="88" fillId="6" fontId="36" numFmtId="0" xfId="0" applyAlignment="1" applyBorder="1" applyFont="1">
      <alignment horizontal="center" readingOrder="0"/>
    </xf>
    <xf borderId="90" fillId="6" fontId="49" numFmtId="0" xfId="0" applyAlignment="1" applyBorder="1" applyFont="1">
      <alignment readingOrder="0"/>
    </xf>
    <xf borderId="91" fillId="0" fontId="3" numFmtId="0" xfId="0" applyBorder="1" applyFont="1"/>
    <xf borderId="65" fillId="6" fontId="45" numFmtId="0" xfId="0" applyAlignment="1" applyBorder="1" applyFont="1">
      <alignment horizontal="center" readingOrder="0" vertical="center"/>
    </xf>
    <xf borderId="92" fillId="6" fontId="12" numFmtId="0" xfId="0" applyAlignment="1" applyBorder="1" applyFont="1">
      <alignment horizontal="center" readingOrder="0"/>
    </xf>
    <xf borderId="30" fillId="6" fontId="17" numFmtId="0" xfId="0" applyAlignment="1" applyBorder="1" applyFont="1">
      <alignment horizontal="center" readingOrder="0" vertical="center"/>
    </xf>
    <xf borderId="65" fillId="6" fontId="17" numFmtId="0" xfId="0" applyAlignment="1" applyBorder="1" applyFont="1">
      <alignment horizontal="center" readingOrder="0" vertical="center"/>
    </xf>
    <xf borderId="34" fillId="7" fontId="50" numFmtId="0" xfId="0" applyAlignment="1" applyBorder="1" applyFont="1">
      <alignment horizontal="center" readingOrder="0" vertical="center"/>
    </xf>
    <xf borderId="65" fillId="6" fontId="48" numFmtId="0" xfId="0" applyAlignment="1" applyBorder="1" applyFont="1">
      <alignment horizontal="center" readingOrder="0" vertical="center"/>
    </xf>
    <xf borderId="20" fillId="6" fontId="17" numFmtId="0" xfId="0" applyAlignment="1" applyBorder="1" applyFont="1">
      <alignment horizontal="center" readingOrder="0"/>
    </xf>
    <xf borderId="15" fillId="6" fontId="17" numFmtId="0" xfId="0" applyAlignment="1" applyBorder="1" applyFont="1">
      <alignment horizontal="center" readingOrder="0" vertical="center"/>
    </xf>
    <xf borderId="62" fillId="6" fontId="12" numFmtId="0" xfId="0" applyAlignment="1" applyBorder="1" applyFont="1">
      <alignment horizontal="center" readingOrder="0"/>
    </xf>
    <xf borderId="67" fillId="6" fontId="12" numFmtId="0" xfId="0" applyAlignment="1" applyBorder="1" applyFont="1">
      <alignment horizontal="center" readingOrder="0"/>
    </xf>
    <xf borderId="30" fillId="6" fontId="51" numFmtId="0" xfId="0" applyAlignment="1" applyBorder="1" applyFont="1">
      <alignment horizontal="center" readingOrder="0" vertical="center"/>
    </xf>
    <xf borderId="93" fillId="0" fontId="3" numFmtId="0" xfId="0" applyBorder="1" applyFont="1"/>
    <xf borderId="94" fillId="3" fontId="39" numFmtId="0" xfId="0" applyAlignment="1" applyBorder="1" applyFont="1">
      <alignment horizontal="center" readingOrder="0" vertical="center"/>
    </xf>
    <xf borderId="95" fillId="6" fontId="12" numFmtId="0" xfId="0" applyAlignment="1" applyBorder="1" applyFont="1">
      <alignment horizontal="center" readingOrder="0"/>
    </xf>
    <xf borderId="58" fillId="2" fontId="13" numFmtId="0" xfId="0" applyAlignment="1" applyBorder="1" applyFont="1">
      <alignment horizontal="center" readingOrder="0" vertical="center"/>
    </xf>
    <xf borderId="96" fillId="6" fontId="52" numFmtId="0" xfId="0" applyAlignment="1" applyBorder="1" applyFont="1">
      <alignment readingOrder="0"/>
    </xf>
    <xf borderId="97" fillId="0" fontId="3" numFmtId="0" xfId="0" applyBorder="1" applyFont="1"/>
    <xf borderId="97" fillId="6" fontId="12" numFmtId="0" xfId="0" applyAlignment="1" applyBorder="1" applyFont="1">
      <alignment horizontal="center" readingOrder="0"/>
    </xf>
    <xf borderId="98" fillId="6" fontId="12" numFmtId="0" xfId="0" applyAlignment="1" applyBorder="1" applyFont="1">
      <alignment horizontal="center" readingOrder="0"/>
    </xf>
    <xf borderId="99" fillId="6" fontId="12" numFmtId="0" xfId="0" applyAlignment="1" applyBorder="1" applyFont="1">
      <alignment horizontal="center" readingOrder="0"/>
    </xf>
    <xf borderId="43" fillId="6" fontId="12" numFmtId="0" xfId="0" applyAlignment="1" applyBorder="1" applyFont="1">
      <alignment horizontal="center" readingOrder="0"/>
    </xf>
    <xf borderId="100" fillId="6" fontId="53" numFmtId="0" xfId="0" applyAlignment="1" applyBorder="1" applyFont="1">
      <alignment readingOrder="0"/>
    </xf>
    <xf borderId="101" fillId="0" fontId="3" numFmtId="0" xfId="0" applyBorder="1" applyFont="1"/>
    <xf borderId="101" fillId="6" fontId="39" numFmtId="0" xfId="0" applyAlignment="1" applyBorder="1" applyFont="1">
      <alignment horizontal="center" readingOrder="0" vertical="center"/>
    </xf>
    <xf borderId="45" fillId="6" fontId="36" numFmtId="0" xfId="0" applyAlignment="1" applyBorder="1" applyFont="1">
      <alignment horizontal="center" readingOrder="0"/>
    </xf>
    <xf borderId="102" fillId="6" fontId="36" numFmtId="0" xfId="0" applyAlignment="1" applyBorder="1" applyFont="1">
      <alignment horizontal="center" readingOrder="0"/>
    </xf>
    <xf borderId="103" fillId="6" fontId="12" numFmtId="0" xfId="0" applyAlignment="1" applyBorder="1" applyFont="1">
      <alignment horizontal="center" readingOrder="0"/>
    </xf>
    <xf borderId="66" fillId="6" fontId="12" numFmtId="0" xfId="0" applyAlignment="1" applyBorder="1" applyFont="1">
      <alignment horizontal="center" readingOrder="0"/>
    </xf>
    <xf borderId="77" fillId="6" fontId="12" numFmtId="0" xfId="0" applyAlignment="1" applyBorder="1" applyFont="1">
      <alignment horizontal="center" readingOrder="0"/>
    </xf>
    <xf borderId="104" fillId="6" fontId="12" numFmtId="0" xfId="0" applyAlignment="1" applyBorder="1" applyFont="1">
      <alignment horizontal="center" readingOrder="0"/>
    </xf>
    <xf borderId="105" fillId="6" fontId="12" numFmtId="0" xfId="0" applyAlignment="1" applyBorder="1" applyFont="1">
      <alignment horizontal="center" readingOrder="0"/>
    </xf>
    <xf borderId="30" fillId="6" fontId="54" numFmtId="0" xfId="0" applyAlignment="1" applyBorder="1" applyFont="1">
      <alignment horizontal="center" readingOrder="0" vertical="center"/>
    </xf>
    <xf borderId="35" fillId="4" fontId="30" numFmtId="0" xfId="0" applyAlignment="1" applyBorder="1" applyFont="1">
      <alignment horizontal="center" readingOrder="0" vertical="center"/>
    </xf>
    <xf borderId="15" fillId="6" fontId="54" numFmtId="0" xfId="0" applyAlignment="1" applyBorder="1" applyFont="1">
      <alignment horizontal="center" readingOrder="0" vertical="center"/>
    </xf>
    <xf borderId="91" fillId="6" fontId="54" numFmtId="0" xfId="0" applyAlignment="1" applyBorder="1" applyFont="1">
      <alignment horizontal="center" readingOrder="0" vertical="center"/>
    </xf>
    <xf borderId="30" fillId="6" fontId="45" numFmtId="0" xfId="0" applyAlignment="1" applyBorder="1" applyFont="1">
      <alignment horizontal="center" readingOrder="0" vertical="center"/>
    </xf>
    <xf borderId="106" fillId="6" fontId="12" numFmtId="0" xfId="0" applyAlignment="1" applyBorder="1" applyFont="1">
      <alignment horizontal="center" readingOrder="0"/>
    </xf>
    <xf borderId="107" fillId="6" fontId="12" numFmtId="0" xfId="0" applyAlignment="1" applyBorder="1" applyFont="1">
      <alignment horizontal="center" readingOrder="0"/>
    </xf>
    <xf borderId="108" fillId="6" fontId="36" numFmtId="0" xfId="0" applyAlignment="1" applyBorder="1" applyFont="1">
      <alignment horizontal="center" readingOrder="0"/>
    </xf>
    <xf borderId="109" fillId="6" fontId="36" numFmtId="0" xfId="0" applyAlignment="1" applyBorder="1" applyFont="1">
      <alignment horizontal="center" readingOrder="0"/>
    </xf>
    <xf borderId="86" fillId="6" fontId="48" numFmtId="0" xfId="0" applyAlignment="1" applyBorder="1" applyFont="1">
      <alignment horizontal="center" readingOrder="0" vertical="center"/>
    </xf>
    <xf borderId="108" fillId="6" fontId="12" numFmtId="0" xfId="0" applyAlignment="1" applyBorder="1" applyFont="1">
      <alignment horizontal="center" readingOrder="0"/>
    </xf>
    <xf borderId="109" fillId="6" fontId="12" numFmtId="0" xfId="0" applyAlignment="1" applyBorder="1" applyFont="1">
      <alignment horizontal="center" readingOrder="0"/>
    </xf>
    <xf borderId="110" fillId="6" fontId="55" numFmtId="0" xfId="0" applyAlignment="1" applyBorder="1" applyFont="1">
      <alignment readingOrder="0"/>
    </xf>
    <xf borderId="85" fillId="6" fontId="48" numFmtId="0" xfId="0" applyAlignment="1" applyBorder="1" applyFont="1">
      <alignment horizontal="center" readingOrder="0" vertical="center"/>
    </xf>
    <xf borderId="93" fillId="6" fontId="12" numFmtId="0" xfId="0" applyAlignment="1" applyBorder="1" applyFont="1">
      <alignment horizontal="center" readingOrder="0"/>
    </xf>
    <xf borderId="111" fillId="6" fontId="12" numFmtId="0" xfId="0" applyAlignment="1" applyBorder="1" applyFont="1">
      <alignment horizontal="center" readingOrder="0"/>
    </xf>
    <xf borderId="109" fillId="6" fontId="56" numFmtId="0" xfId="0" applyAlignment="1" applyBorder="1" applyFont="1">
      <alignment readingOrder="0"/>
    </xf>
    <xf borderId="112" fillId="6" fontId="12" numFmtId="0" xfId="0" applyAlignment="1" applyBorder="1" applyFont="1">
      <alignment readingOrder="0"/>
    </xf>
    <xf borderId="113" fillId="6" fontId="43" numFmtId="0" xfId="0" applyAlignment="1" applyBorder="1" applyFont="1">
      <alignment horizontal="center" readingOrder="0" vertical="center"/>
    </xf>
    <xf borderId="114" fillId="6" fontId="12" numFmtId="0" xfId="0" applyAlignment="1" applyBorder="1" applyFont="1">
      <alignment horizontal="center" readingOrder="0"/>
    </xf>
    <xf borderId="115" fillId="6" fontId="57" numFmtId="0" xfId="0" applyAlignment="1" applyBorder="1" applyFont="1">
      <alignment readingOrder="0"/>
    </xf>
    <xf borderId="86" fillId="0" fontId="3" numFmtId="0" xfId="0" applyBorder="1" applyFont="1"/>
    <xf borderId="116" fillId="6" fontId="12" numFmtId="0" xfId="0" applyAlignment="1" applyBorder="1" applyFont="1">
      <alignment horizontal="center" readingOrder="0"/>
    </xf>
    <xf borderId="15" fillId="4" fontId="6" numFmtId="0" xfId="0" applyAlignment="1" applyBorder="1" applyFont="1">
      <alignment readingOrder="0" vertical="center"/>
    </xf>
    <xf borderId="0" fillId="4" fontId="9" numFmtId="0" xfId="0" applyAlignment="1" applyFont="1">
      <alignment vertical="center"/>
    </xf>
    <xf borderId="55" fillId="2" fontId="9" numFmtId="0" xfId="0" applyAlignment="1" applyBorder="1" applyFont="1">
      <alignment vertical="center"/>
    </xf>
    <xf borderId="0" fillId="5" fontId="12" numFmtId="0" xfId="0" applyFont="1"/>
    <xf borderId="30" fillId="6" fontId="43" numFmtId="0" xfId="0" applyAlignment="1" applyBorder="1" applyFont="1">
      <alignment horizontal="center" readingOrder="0" vertical="center"/>
    </xf>
    <xf borderId="15" fillId="6" fontId="43" numFmtId="0" xfId="0" applyAlignment="1" applyBorder="1" applyFont="1">
      <alignment horizontal="center" readingOrder="0" vertical="center"/>
    </xf>
    <xf borderId="0" fillId="8" fontId="12" numFmtId="0" xfId="0" applyFont="1"/>
    <xf borderId="65" fillId="6" fontId="54" numFmtId="0" xfId="0" applyAlignment="1" applyBorder="1" applyFont="1">
      <alignment horizontal="center" readingOrder="0" vertical="center"/>
    </xf>
    <xf borderId="15" fillId="6" fontId="45" numFmtId="0" xfId="0" applyAlignment="1" applyBorder="1" applyFont="1">
      <alignment horizontal="center" readingOrder="0" vertical="center"/>
    </xf>
    <xf borderId="117" fillId="0" fontId="3" numFmtId="0" xfId="0" applyBorder="1" applyFont="1"/>
    <xf borderId="118" fillId="0" fontId="3" numFmtId="0" xfId="0" applyBorder="1" applyFont="1"/>
    <xf borderId="0" fillId="2" fontId="1" numFmtId="0" xfId="0" applyAlignment="1" applyFont="1">
      <alignment vertical="center"/>
    </xf>
    <xf borderId="20" fillId="6" fontId="51" numFmtId="0" xfId="0" applyAlignment="1" applyBorder="1" applyFont="1">
      <alignment horizontal="center" readingOrder="0" vertical="center"/>
    </xf>
    <xf borderId="117" fillId="2" fontId="1" numFmtId="0" xfId="0" applyAlignment="1" applyBorder="1" applyFont="1">
      <alignment vertical="center"/>
    </xf>
    <xf borderId="117" fillId="2" fontId="58" numFmtId="0" xfId="0" applyAlignment="1" applyBorder="1" applyFont="1">
      <alignment horizontal="right" vertical="center"/>
    </xf>
    <xf borderId="117" fillId="2" fontId="59" numFmtId="0" xfId="0" applyAlignment="1" applyBorder="1" applyFont="1">
      <alignment horizontal="center" vertical="center"/>
    </xf>
    <xf borderId="117" fillId="2" fontId="5" numFmtId="0" xfId="0" applyAlignment="1" applyBorder="1" applyFont="1">
      <alignment horizontal="right" vertical="center"/>
    </xf>
    <xf borderId="117" fillId="2" fontId="60" numFmtId="0" xfId="0" applyAlignment="1" applyBorder="1" applyFont="1">
      <alignment horizontal="right" vertical="center"/>
    </xf>
    <xf borderId="10" fillId="2" fontId="58" numFmtId="0" xfId="0" applyAlignment="1" applyBorder="1" applyFont="1">
      <alignment horizontal="right" vertical="center"/>
    </xf>
    <xf borderId="119" fillId="2" fontId="58" numFmtId="0" xfId="0" applyAlignment="1" applyBorder="1" applyFont="1">
      <alignment horizontal="right" vertical="center"/>
    </xf>
    <xf borderId="15" fillId="2" fontId="58" numFmtId="0" xfId="0" applyAlignment="1" applyBorder="1" applyFont="1">
      <alignment horizontal="right" vertical="center"/>
    </xf>
    <xf borderId="54" fillId="2" fontId="58" numFmtId="1" xfId="0" applyAlignment="1" applyBorder="1" applyFont="1" applyNumberFormat="1">
      <alignment horizontal="center" vertical="center"/>
    </xf>
    <xf borderId="54" fillId="2" fontId="19" numFmtId="2" xfId="0" applyAlignment="1" applyBorder="1" applyFont="1" applyNumberFormat="1">
      <alignment horizontal="center" vertical="center"/>
    </xf>
    <xf borderId="120" fillId="2" fontId="9" numFmtId="0" xfId="0" applyAlignment="1" applyBorder="1" applyFont="1">
      <alignment vertical="center"/>
    </xf>
    <xf borderId="16" fillId="2" fontId="6" numFmtId="0" xfId="0" applyAlignment="1" applyBorder="1" applyFont="1">
      <alignment vertical="center"/>
    </xf>
    <xf borderId="16" fillId="2" fontId="10" numFmtId="0" xfId="0" applyAlignment="1" applyBorder="1" applyFont="1">
      <alignment horizontal="center" vertical="center"/>
    </xf>
    <xf borderId="0" fillId="2" fontId="11" numFmtId="0" xfId="0" applyAlignment="1" applyFont="1">
      <alignment horizontal="left" vertical="center"/>
    </xf>
    <xf borderId="10" fillId="2" fontId="61" numFmtId="0" xfId="0" applyAlignment="1" applyBorder="1" applyFont="1">
      <alignment horizontal="center" vertical="center"/>
    </xf>
    <xf borderId="119" fillId="2" fontId="29" numFmtId="0" xfId="0" applyAlignment="1" applyBorder="1" applyFont="1">
      <alignment horizontal="center" vertical="center"/>
    </xf>
    <xf borderId="59" fillId="2" fontId="14" numFmtId="1" xfId="0" applyAlignment="1" applyBorder="1" applyFont="1" applyNumberFormat="1">
      <alignment horizontal="center" readingOrder="0" vertical="center"/>
    </xf>
    <xf borderId="121" fillId="2" fontId="6" numFmtId="0" xfId="0" applyAlignment="1" applyBorder="1" applyFont="1">
      <alignment vertical="center"/>
    </xf>
    <xf borderId="118" fillId="2" fontId="10" numFmtId="0" xfId="0" applyAlignment="1" applyBorder="1" applyFont="1">
      <alignment horizontal="center" vertical="center"/>
    </xf>
    <xf borderId="122" fillId="2" fontId="62" numFmtId="0" xfId="0" applyBorder="1" applyFont="1"/>
    <xf borderId="54" fillId="2" fontId="63" numFmtId="0" xfId="0" applyAlignment="1" applyBorder="1" applyFont="1">
      <alignment horizontal="center" readingOrder="0" vertical="center"/>
    </xf>
    <xf borderId="54" fillId="2" fontId="64" numFmtId="2" xfId="0" applyAlignment="1" applyBorder="1" applyFont="1" applyNumberFormat="1">
      <alignment horizontal="center" vertical="center"/>
    </xf>
    <xf borderId="54" fillId="2" fontId="65" numFmtId="2" xfId="0" applyAlignment="1" applyBorder="1" applyFont="1" applyNumberFormat="1">
      <alignment horizontal="center" vertical="center"/>
    </xf>
    <xf borderId="120" fillId="2" fontId="6" numFmtId="0" xfId="0" applyAlignment="1" applyBorder="1" applyFont="1">
      <alignment vertical="center"/>
    </xf>
    <xf borderId="16" fillId="2" fontId="64" numFmtId="0" xfId="0" applyAlignment="1" applyBorder="1" applyFont="1">
      <alignment horizontal="center" readingOrder="0" vertical="center"/>
    </xf>
    <xf borderId="54" fillId="2" fontId="63" numFmtId="0" xfId="0" applyAlignment="1" applyBorder="1" applyFont="1">
      <alignment horizontal="center" readingOrder="0" shrinkToFit="0" vertical="center" wrapText="1"/>
    </xf>
    <xf borderId="54" fillId="2" fontId="64" numFmtId="0" xfId="0" applyAlignment="1" applyBorder="1" applyFont="1">
      <alignment horizontal="center" readingOrder="0" vertical="center"/>
    </xf>
    <xf borderId="0" fillId="2" fontId="29" numFmtId="0" xfId="0" applyAlignment="1" applyFont="1">
      <alignment horizontal="center" vertical="center"/>
    </xf>
    <xf borderId="0" fillId="2" fontId="12" numFmtId="0" xfId="0" applyAlignment="1" applyFont="1">
      <alignment horizontal="center" vertical="center"/>
    </xf>
    <xf borderId="16" fillId="2" fontId="12" numFmtId="0" xfId="0" applyAlignment="1" applyBorder="1" applyFont="1">
      <alignment horizontal="center" vertical="center"/>
    </xf>
    <xf borderId="16" fillId="2" fontId="12" numFmtId="1" xfId="0" applyAlignment="1" applyBorder="1" applyFont="1" applyNumberFormat="1">
      <alignment horizontal="center" vertical="center"/>
    </xf>
    <xf borderId="16" fillId="2" fontId="19" numFmtId="2" xfId="0" applyAlignment="1" applyBorder="1" applyFont="1" applyNumberFormat="1">
      <alignment horizontal="center" vertical="center"/>
    </xf>
    <xf borderId="118" fillId="2" fontId="1" numFmtId="0" xfId="0" applyAlignment="1" applyBorder="1" applyFont="1">
      <alignment vertical="center"/>
    </xf>
    <xf borderId="121" fillId="2" fontId="58" numFmtId="0" xfId="0" applyAlignment="1" applyBorder="1" applyFont="1">
      <alignment horizontal="right" vertical="center"/>
    </xf>
    <xf borderId="118" fillId="2" fontId="59" numFmtId="0" xfId="0" applyAlignment="1" applyBorder="1" applyFont="1">
      <alignment horizontal="center" vertical="center"/>
    </xf>
    <xf borderId="54" fillId="2" fontId="60" numFmtId="0" xfId="0" applyAlignment="1" applyBorder="1" applyFont="1">
      <alignment horizontal="right" vertical="center"/>
    </xf>
    <xf borderId="54" fillId="2" fontId="64" numFmtId="1" xfId="0" applyAlignment="1" applyBorder="1" applyFont="1" applyNumberFormat="1">
      <alignment horizontal="center" readingOrder="0" vertical="center"/>
    </xf>
    <xf borderId="54" fillId="2" fontId="65" numFmtId="2" xfId="0" applyAlignment="1" applyBorder="1" applyFont="1" applyNumberFormat="1">
      <alignment horizontal="center" readingOrder="0" vertical="center"/>
    </xf>
    <xf borderId="121" fillId="2" fontId="1" numFmtId="0" xfId="0" applyAlignment="1" applyBorder="1" applyFont="1">
      <alignment vertical="center"/>
    </xf>
    <xf borderId="54" fillId="2" fontId="66" numFmtId="0" xfId="0" applyAlignment="1" applyBorder="1" applyFont="1">
      <alignment horizontal="center" readingOrder="0" vertical="center"/>
    </xf>
    <xf borderId="54" fillId="2" fontId="66" numFmtId="1" xfId="0" applyAlignment="1" applyBorder="1" applyFont="1" applyNumberFormat="1">
      <alignment horizontal="center" readingOrder="0" vertical="center"/>
    </xf>
    <xf borderId="54" fillId="2" fontId="67" numFmtId="2" xfId="0" applyAlignment="1" applyBorder="1" applyFont="1" applyNumberFormat="1">
      <alignment horizontal="center" readingOrder="0" vertical="center"/>
    </xf>
    <xf borderId="120" fillId="2" fontId="1" numFmtId="0" xfId="0" applyAlignment="1" applyBorder="1" applyFont="1">
      <alignment vertical="center"/>
    </xf>
    <xf borderId="120" fillId="2" fontId="58" numFmtId="0" xfId="0" applyAlignment="1" applyBorder="1" applyFont="1">
      <alignment horizontal="right" vertical="center"/>
    </xf>
    <xf borderId="123" fillId="0" fontId="3" numFmtId="0" xfId="0" applyBorder="1" applyFont="1"/>
    <xf borderId="0" fillId="2" fontId="58" numFmtId="0" xfId="0" applyAlignment="1" applyFont="1">
      <alignment horizontal="right" vertical="center"/>
    </xf>
    <xf borderId="0" fillId="2" fontId="58" numFmtId="1" xfId="0" applyAlignment="1" applyFont="1" applyNumberFormat="1">
      <alignment horizontal="center" vertical="center"/>
    </xf>
    <xf borderId="0" fillId="2" fontId="19" numFmtId="2" xfId="0" applyAlignment="1" applyFont="1" applyNumberFormat="1">
      <alignment horizontal="center" vertical="center"/>
    </xf>
    <xf borderId="0" fillId="0" fontId="68" numFmtId="0" xfId="0" applyAlignment="1" applyFont="1">
      <alignment horizontal="center"/>
    </xf>
    <xf borderId="0" fillId="0" fontId="69" numFmtId="0" xfId="0" applyFont="1"/>
    <xf borderId="0" fillId="0" fontId="70" numFmtId="0" xfId="0" applyFont="1"/>
    <xf borderId="0" fillId="0" fontId="62" numFmtId="1" xfId="0" applyAlignment="1" applyFont="1" applyNumberFormat="1">
      <alignment horizontal="center"/>
    </xf>
    <xf borderId="0" fillId="0" fontId="71" numFmtId="2" xfId="0" applyAlignment="1" applyFont="1" applyNumberFormat="1">
      <alignment horizontal="center"/>
    </xf>
    <xf borderId="0" fillId="2" fontId="59" numFmtId="0" xfId="0" applyAlignment="1" applyFont="1">
      <alignment horizontal="center" vertical="center"/>
    </xf>
    <xf borderId="0" fillId="2" fontId="72" numFmtId="0" xfId="0" applyAlignment="1" applyFont="1">
      <alignment horizontal="left" vertical="center"/>
    </xf>
    <xf borderId="0" fillId="2" fontId="60" numFmtId="0" xfId="0" applyAlignment="1" applyFont="1">
      <alignment horizontal="right" vertical="center"/>
    </xf>
    <xf borderId="1" fillId="2" fontId="1" numFmtId="0" xfId="0" applyAlignment="1" applyBorder="1" applyFont="1">
      <alignment vertical="center"/>
    </xf>
    <xf borderId="124" fillId="2" fontId="73" numFmtId="0" xfId="0" applyAlignment="1" applyBorder="1" applyFont="1">
      <alignment horizontal="center" readingOrder="0" vertical="center"/>
    </xf>
    <xf borderId="125" fillId="0" fontId="3" numFmtId="0" xfId="0" applyBorder="1" applyFont="1"/>
    <xf borderId="9" fillId="0" fontId="3" numFmtId="0" xfId="0" applyBorder="1" applyFont="1"/>
    <xf borderId="126" fillId="2" fontId="4" numFmtId="0" xfId="0" applyAlignment="1" applyBorder="1" applyFont="1">
      <alignment horizontal="center" readingOrder="0" shrinkToFit="0" vertical="center" wrapText="1"/>
    </xf>
    <xf borderId="127" fillId="2" fontId="4" numFmtId="0" xfId="0" applyAlignment="1" applyBorder="1" applyFont="1">
      <alignment horizontal="center" readingOrder="0" vertical="center"/>
    </xf>
    <xf borderId="124" fillId="2" fontId="5" numFmtId="0" xfId="0" applyAlignment="1" applyBorder="1" applyFont="1">
      <alignment horizontal="center" readingOrder="0" vertical="center"/>
    </xf>
    <xf borderId="128" fillId="0" fontId="3" numFmtId="0" xfId="0" applyBorder="1" applyFont="1"/>
    <xf borderId="129" fillId="0" fontId="3" numFmtId="0" xfId="0" applyBorder="1" applyFont="1"/>
    <xf borderId="27" fillId="0" fontId="3" numFmtId="0" xfId="0" applyBorder="1" applyFont="1"/>
    <xf borderId="130" fillId="0" fontId="3" numFmtId="0" xfId="0" applyBorder="1" applyFont="1"/>
    <xf borderId="129" fillId="4" fontId="7" numFmtId="0" xfId="0" applyAlignment="1" applyBorder="1" applyFont="1">
      <alignment horizontal="center" vertical="center"/>
    </xf>
    <xf borderId="17" fillId="2" fontId="9" numFmtId="0" xfId="0" applyAlignment="1" applyBorder="1" applyFont="1">
      <alignment horizontal="center" readingOrder="0" vertical="center"/>
    </xf>
    <xf borderId="129" fillId="2" fontId="14" numFmtId="0" xfId="0" applyAlignment="1" applyBorder="1" applyFont="1">
      <alignment horizontal="center" readingOrder="0" vertical="center"/>
    </xf>
    <xf borderId="27" fillId="2" fontId="9" numFmtId="0" xfId="0" applyAlignment="1" applyBorder="1" applyFont="1">
      <alignment horizontal="center" readingOrder="0" vertical="center"/>
    </xf>
    <xf borderId="36" fillId="12" fontId="12" numFmtId="0" xfId="0" applyAlignment="1" applyBorder="1" applyFill="1" applyFont="1">
      <alignment horizontal="center"/>
    </xf>
    <xf borderId="34" fillId="12" fontId="12" numFmtId="0" xfId="0" applyAlignment="1" applyBorder="1" applyFont="1">
      <alignment horizontal="center" shrinkToFit="0" wrapText="1"/>
    </xf>
    <xf borderId="131" fillId="7" fontId="12" numFmtId="0" xfId="0" applyAlignment="1" applyBorder="1" applyFont="1">
      <alignment horizontal="center" readingOrder="0" vertical="center"/>
    </xf>
    <xf borderId="36" fillId="13" fontId="12" numFmtId="0" xfId="0" applyAlignment="1" applyBorder="1" applyFill="1" applyFont="1">
      <alignment horizontal="center"/>
    </xf>
    <xf borderId="36" fillId="2" fontId="12" numFmtId="0" xfId="0" applyAlignment="1" applyBorder="1" applyFont="1">
      <alignment horizontal="center" shrinkToFit="0" wrapText="1"/>
    </xf>
    <xf borderId="36" fillId="14" fontId="12" numFmtId="0" xfId="0" applyAlignment="1" applyBorder="1" applyFill="1" applyFont="1">
      <alignment horizontal="center"/>
    </xf>
    <xf borderId="36" fillId="14" fontId="12" numFmtId="0" xfId="0" applyAlignment="1" applyBorder="1" applyFont="1">
      <alignment horizontal="center" shrinkToFit="0" wrapText="1"/>
    </xf>
    <xf borderId="36" fillId="12" fontId="12" numFmtId="0" xfId="0" applyAlignment="1" applyBorder="1" applyFont="1">
      <alignment horizontal="center" shrinkToFit="0" wrapText="1"/>
    </xf>
    <xf borderId="27" fillId="2" fontId="9" numFmtId="165" xfId="0" applyAlignment="1" applyBorder="1" applyFont="1" applyNumberFormat="1">
      <alignment horizontal="center" readingOrder="0" vertical="center"/>
    </xf>
    <xf borderId="36" fillId="2" fontId="12" numFmtId="0" xfId="0" applyAlignment="1" applyBorder="1" applyFont="1">
      <alignment horizontal="center"/>
    </xf>
    <xf borderId="132" fillId="14" fontId="12" numFmtId="0" xfId="0" applyAlignment="1" applyBorder="1" applyFont="1">
      <alignment horizontal="center"/>
    </xf>
    <xf borderId="133" fillId="7" fontId="12" numFmtId="0" xfId="0" applyAlignment="1" applyBorder="1" applyFont="1">
      <alignment horizontal="center" readingOrder="0" vertical="center"/>
    </xf>
    <xf borderId="134" fillId="2" fontId="14" numFmtId="0" xfId="0" applyAlignment="1" applyBorder="1" applyFont="1">
      <alignment horizontal="center" readingOrder="0" vertical="center"/>
    </xf>
    <xf borderId="19" fillId="2" fontId="9" numFmtId="0" xfId="0" applyAlignment="1" applyBorder="1" applyFont="1">
      <alignment horizontal="center" readingOrder="0" vertical="center"/>
    </xf>
    <xf borderId="0" fillId="4" fontId="74" numFmtId="0" xfId="0" applyAlignment="1" applyFont="1">
      <alignment horizontal="center" readingOrder="0"/>
    </xf>
    <xf borderId="135" fillId="7" fontId="12" numFmtId="0" xfId="0" applyAlignment="1" applyBorder="1" applyFont="1">
      <alignment horizontal="center" readingOrder="0" vertical="center"/>
    </xf>
    <xf borderId="129" fillId="7" fontId="12" numFmtId="0" xfId="0" applyAlignment="1" applyBorder="1" applyFont="1">
      <alignment horizontal="center" readingOrder="0" vertical="center"/>
    </xf>
    <xf borderId="0" fillId="9" fontId="24" numFmtId="0" xfId="0" applyAlignment="1" applyFont="1">
      <alignment readingOrder="0" vertical="center"/>
    </xf>
    <xf borderId="59" fillId="2" fontId="75" numFmtId="0" xfId="0" applyAlignment="1" applyBorder="1" applyFont="1">
      <alignment horizontal="center" readingOrder="0" vertical="center"/>
    </xf>
    <xf borderId="136" fillId="10" fontId="9" numFmtId="0" xfId="0" applyAlignment="1" applyBorder="1" applyFont="1">
      <alignment readingOrder="0" vertical="center"/>
    </xf>
    <xf borderId="36" fillId="13" fontId="12" numFmtId="0" xfId="0" applyAlignment="1" applyBorder="1" applyFont="1">
      <alignment horizontal="center" shrinkToFit="0" wrapText="1"/>
    </xf>
    <xf borderId="36" fillId="15" fontId="12" numFmtId="0" xfId="0" applyAlignment="1" applyBorder="1" applyFill="1" applyFont="1">
      <alignment horizontal="center"/>
    </xf>
    <xf borderId="30" fillId="6" fontId="43" numFmtId="0" xfId="0" applyAlignment="1" applyBorder="1" applyFont="1">
      <alignment horizontal="center" readingOrder="0"/>
    </xf>
    <xf borderId="54" fillId="2" fontId="76" numFmtId="0" xfId="0" applyAlignment="1" applyBorder="1" applyFont="1">
      <alignment horizontal="center" readingOrder="0" vertical="center"/>
    </xf>
    <xf borderId="132" fillId="12" fontId="12" numFmtId="0" xfId="0" applyAlignment="1" applyBorder="1" applyFont="1">
      <alignment horizontal="center"/>
    </xf>
    <xf borderId="137" fillId="14" fontId="12" numFmtId="0" xfId="0" applyAlignment="1" applyBorder="1" applyFont="1">
      <alignment horizontal="center" shrinkToFit="0" wrapText="1"/>
    </xf>
    <xf borderId="138" fillId="7" fontId="12" numFmtId="0" xfId="0" applyAlignment="1" applyBorder="1" applyFont="1">
      <alignment horizontal="center" readingOrder="0" vertical="center"/>
    </xf>
    <xf borderId="15" fillId="4" fontId="30" numFmtId="0" xfId="0" applyAlignment="1" applyBorder="1" applyFont="1">
      <alignment horizontal="center" vertical="center"/>
    </xf>
    <xf borderId="13" fillId="4" fontId="30" numFmtId="0" xfId="0" applyAlignment="1" applyBorder="1" applyFont="1">
      <alignment horizontal="center" vertical="center"/>
    </xf>
    <xf borderId="17" fillId="4" fontId="31" numFmtId="0" xfId="0" applyBorder="1" applyFont="1"/>
    <xf borderId="128" fillId="4" fontId="30" numFmtId="0" xfId="0" applyAlignment="1" applyBorder="1" applyFont="1">
      <alignment horizontal="center" vertical="center"/>
    </xf>
    <xf borderId="129" fillId="4" fontId="30" numFmtId="0" xfId="0" applyAlignment="1" applyBorder="1" applyFont="1">
      <alignment horizontal="center" vertical="center"/>
    </xf>
    <xf borderId="5" fillId="2" fontId="14" numFmtId="0" xfId="0" applyAlignment="1" applyBorder="1" applyFont="1">
      <alignment horizontal="center" readingOrder="0" vertical="center"/>
    </xf>
    <xf borderId="5" fillId="2" fontId="14" numFmtId="0" xfId="0" applyAlignment="1" applyBorder="1" applyFont="1">
      <alignment horizontal="center" readingOrder="0" vertical="center"/>
    </xf>
    <xf borderId="65" fillId="6" fontId="41" numFmtId="0" xfId="0" applyAlignment="1" applyBorder="1" applyFont="1">
      <alignment horizontal="center" readingOrder="0" vertical="center"/>
    </xf>
    <xf borderId="65" fillId="6" fontId="51" numFmtId="0" xfId="0" applyAlignment="1" applyBorder="1" applyFont="1">
      <alignment horizontal="center" readingOrder="0" vertical="center"/>
    </xf>
    <xf borderId="30" fillId="6" fontId="77" numFmtId="0" xfId="0" applyAlignment="1" applyBorder="1" applyFont="1">
      <alignment readingOrder="0" vertical="center"/>
    </xf>
    <xf borderId="30" fillId="6" fontId="78" numFmtId="0" xfId="0" applyAlignment="1" applyBorder="1" applyFont="1">
      <alignment horizontal="center" readingOrder="0" vertical="center"/>
    </xf>
    <xf borderId="29" fillId="6" fontId="12" numFmtId="0" xfId="0" applyAlignment="1" applyBorder="1" applyFont="1">
      <alignment horizontal="center" readingOrder="0" vertical="center"/>
    </xf>
    <xf borderId="30" fillId="3" fontId="41" numFmtId="0" xfId="0" applyAlignment="1" applyBorder="1" applyFont="1">
      <alignment horizontal="center" readingOrder="0" vertical="center"/>
    </xf>
    <xf borderId="30" fillId="3" fontId="45" numFmtId="0" xfId="0" applyAlignment="1" applyBorder="1" applyFont="1">
      <alignment horizontal="center" readingOrder="0" vertical="center"/>
    </xf>
    <xf borderId="30" fillId="3" fontId="59" numFmtId="0" xfId="0" applyAlignment="1" applyBorder="1" applyFont="1">
      <alignment horizontal="center" readingOrder="0" vertical="center"/>
    </xf>
    <xf borderId="32" fillId="6" fontId="9" numFmtId="0" xfId="0" applyAlignment="1" applyBorder="1" applyFont="1">
      <alignment horizontal="center" readingOrder="0" vertical="center"/>
    </xf>
    <xf borderId="43" fillId="6" fontId="9" numFmtId="0" xfId="0" applyAlignment="1" applyBorder="1" applyFont="1">
      <alignment horizontal="center" readingOrder="0" vertical="center"/>
    </xf>
    <xf borderId="30" fillId="3" fontId="42" numFmtId="0" xfId="0" applyAlignment="1" applyBorder="1" applyFont="1">
      <alignment horizontal="center" readingOrder="0" vertical="center"/>
    </xf>
    <xf borderId="46" fillId="3" fontId="79" numFmtId="0" xfId="0" applyBorder="1" applyFont="1"/>
    <xf borderId="46" fillId="3" fontId="41" numFmtId="0" xfId="0" applyAlignment="1" applyBorder="1" applyFont="1">
      <alignment horizontal="center"/>
    </xf>
    <xf borderId="46" fillId="3" fontId="80" numFmtId="0" xfId="0" applyAlignment="1" applyBorder="1" applyFont="1">
      <alignment horizontal="center"/>
    </xf>
    <xf borderId="45" fillId="6" fontId="12" numFmtId="0" xfId="0" applyAlignment="1" applyBorder="1" applyFont="1">
      <alignment horizontal="center"/>
    </xf>
    <xf borderId="46" fillId="6" fontId="12" numFmtId="0" xfId="0" applyAlignment="1" applyBorder="1" applyFont="1">
      <alignment horizontal="center"/>
    </xf>
    <xf borderId="46" fillId="3" fontId="81" numFmtId="0" xfId="0" applyAlignment="1" applyBorder="1" applyFont="1">
      <alignment horizontal="center"/>
    </xf>
    <xf borderId="132" fillId="2" fontId="12" numFmtId="0" xfId="0" applyAlignment="1" applyBorder="1" applyFont="1">
      <alignment horizontal="center"/>
    </xf>
    <xf borderId="57" fillId="4" fontId="31" numFmtId="0" xfId="0" applyBorder="1" applyFont="1"/>
    <xf borderId="53" fillId="2" fontId="12" numFmtId="0" xfId="0" applyAlignment="1" applyBorder="1" applyFont="1">
      <alignment readingOrder="0" vertical="center"/>
    </xf>
    <xf borderId="58" fillId="2" fontId="31" numFmtId="0" xfId="0" applyBorder="1" applyFont="1"/>
    <xf borderId="55" fillId="2" fontId="31" numFmtId="0" xfId="0" applyBorder="1" applyFont="1"/>
    <xf borderId="15" fillId="2" fontId="14" numFmtId="0" xfId="0" applyAlignment="1" applyBorder="1" applyFont="1">
      <alignment horizontal="center"/>
    </xf>
    <xf borderId="36" fillId="13" fontId="82" numFmtId="0" xfId="0" applyAlignment="1" applyBorder="1" applyFont="1">
      <alignment horizontal="center" vertical="bottom"/>
    </xf>
    <xf borderId="7" fillId="2" fontId="83" numFmtId="0" xfId="0" applyAlignment="1" applyBorder="1" applyFont="1">
      <alignment horizontal="center" readingOrder="0" vertical="center"/>
    </xf>
    <xf borderId="126" fillId="2" fontId="14" numFmtId="0" xfId="0" applyAlignment="1" applyBorder="1" applyFont="1">
      <alignment horizontal="center" readingOrder="0" vertical="center"/>
    </xf>
    <xf borderId="85" fillId="6" fontId="43" numFmtId="0" xfId="0" applyAlignment="1" applyBorder="1" applyFont="1">
      <alignment horizontal="center" readingOrder="0" vertical="center"/>
    </xf>
    <xf borderId="36" fillId="15" fontId="12" numFmtId="0" xfId="0" applyAlignment="1" applyBorder="1" applyFont="1">
      <alignment horizontal="center" shrinkToFit="0" wrapText="1"/>
    </xf>
    <xf borderId="46" fillId="6" fontId="43" numFmtId="0" xfId="0" applyAlignment="1" applyBorder="1" applyFont="1">
      <alignment horizontal="center" readingOrder="0" vertical="center"/>
    </xf>
    <xf borderId="132" fillId="2" fontId="12" numFmtId="0" xfId="0" applyAlignment="1" applyBorder="1" applyFont="1">
      <alignment horizontal="center" shrinkToFit="0" wrapText="1"/>
    </xf>
    <xf borderId="34" fillId="13" fontId="12" numFmtId="0" xfId="0" applyAlignment="1" applyBorder="1" applyFont="1">
      <alignment horizontal="center" shrinkToFit="0" wrapText="1"/>
    </xf>
    <xf borderId="34" fillId="7" fontId="12" numFmtId="0" xfId="0" applyAlignment="1" applyBorder="1" applyFont="1">
      <alignment horizontal="center" readingOrder="0"/>
    </xf>
    <xf borderId="20" fillId="6" fontId="17" numFmtId="0" xfId="0" applyAlignment="1" applyBorder="1" applyFont="1">
      <alignment horizontal="center" readingOrder="0" vertical="center"/>
    </xf>
    <xf borderId="35" fillId="7" fontId="12" numFmtId="0" xfId="0" applyAlignment="1" applyBorder="1" applyFont="1">
      <alignment horizontal="center" readingOrder="0"/>
    </xf>
    <xf borderId="91" fillId="6" fontId="43" numFmtId="0" xfId="0" applyAlignment="1" applyBorder="1" applyFont="1">
      <alignment horizontal="center" readingOrder="0" vertical="center"/>
    </xf>
    <xf borderId="36" fillId="7" fontId="12" numFmtId="0" xfId="0" applyAlignment="1" applyBorder="1" applyFont="1">
      <alignment horizontal="center" shrinkToFit="0" wrapText="1"/>
    </xf>
    <xf borderId="132" fillId="14" fontId="12" numFmtId="0" xfId="0" applyAlignment="1" applyBorder="1" applyFont="1">
      <alignment horizontal="center" shrinkToFit="0" wrapText="1"/>
    </xf>
    <xf borderId="61" fillId="7" fontId="12" numFmtId="0" xfId="0" applyAlignment="1" applyBorder="1" applyFont="1">
      <alignment horizontal="center" readingOrder="0" vertical="center"/>
    </xf>
    <xf borderId="33" fillId="2" fontId="12" numFmtId="0" xfId="0" applyAlignment="1" applyBorder="1" applyFont="1">
      <alignment horizontal="center" shrinkToFit="0" wrapText="1"/>
    </xf>
    <xf borderId="42" fillId="7" fontId="12" numFmtId="0" xfId="0" applyAlignment="1" applyBorder="1" applyFont="1">
      <alignment horizontal="center" readingOrder="0" vertical="center"/>
    </xf>
    <xf borderId="139" fillId="13" fontId="12" numFmtId="0" xfId="0" applyAlignment="1" applyBorder="1" applyFont="1">
      <alignment horizontal="center" shrinkToFit="0" wrapText="1"/>
    </xf>
    <xf borderId="139" fillId="14" fontId="12" numFmtId="0" xfId="0" applyAlignment="1" applyBorder="1" applyFont="1">
      <alignment horizontal="center" shrinkToFit="0" wrapText="1"/>
    </xf>
    <xf borderId="139" fillId="12" fontId="12" numFmtId="0" xfId="0" applyAlignment="1" applyBorder="1" applyFont="1">
      <alignment horizontal="center" shrinkToFit="0" wrapText="1"/>
    </xf>
    <xf borderId="139" fillId="2" fontId="12" numFmtId="0" xfId="0" applyAlignment="1" applyBorder="1" applyFont="1">
      <alignment horizontal="center" shrinkToFit="0" wrapText="1"/>
    </xf>
    <xf borderId="140" fillId="6" fontId="12" numFmtId="0" xfId="0" applyAlignment="1" applyBorder="1" applyFont="1">
      <alignment horizontal="center" readingOrder="0"/>
    </xf>
    <xf borderId="141" fillId="6" fontId="12" numFmtId="0" xfId="0" applyAlignment="1" applyBorder="1" applyFont="1">
      <alignment horizontal="center" readingOrder="0"/>
    </xf>
    <xf borderId="142" fillId="7" fontId="12" numFmtId="0" xfId="0" applyAlignment="1" applyBorder="1" applyFont="1">
      <alignment horizontal="center" readingOrder="0" vertical="center"/>
    </xf>
    <xf borderId="143" fillId="7" fontId="12" numFmtId="0" xfId="0" applyAlignment="1" applyBorder="1" applyFont="1">
      <alignment horizontal="center" readingOrder="0" vertical="center"/>
    </xf>
    <xf borderId="137" fillId="12" fontId="12" numFmtId="0" xfId="0" applyAlignment="1" applyBorder="1" applyFont="1">
      <alignment horizontal="center" shrinkToFit="0" wrapText="1"/>
    </xf>
    <xf borderId="144" fillId="7" fontId="12" numFmtId="0" xfId="0" applyAlignment="1" applyBorder="1" applyFont="1">
      <alignment horizontal="center" readingOrder="0" vertical="center"/>
    </xf>
    <xf borderId="126" fillId="4" fontId="30" numFmtId="0" xfId="0" applyAlignment="1" applyBorder="1" applyFont="1">
      <alignment horizontal="center" vertical="center"/>
    </xf>
    <xf borderId="36" fillId="13" fontId="12" numFmtId="0" xfId="0" applyAlignment="1" applyBorder="1" applyFont="1">
      <alignment horizontal="center" vertical="bottom"/>
    </xf>
    <xf borderId="33" fillId="13" fontId="12" numFmtId="0" xfId="0" applyAlignment="1" applyBorder="1" applyFont="1">
      <alignment horizontal="center" shrinkToFit="0" wrapText="1"/>
    </xf>
    <xf borderId="36" fillId="2" fontId="12" numFmtId="0" xfId="0" applyAlignment="1" applyBorder="1" applyFont="1">
      <alignment horizontal="center" vertical="bottom"/>
    </xf>
    <xf borderId="36" fillId="14" fontId="12" numFmtId="0" xfId="0" applyAlignment="1" applyBorder="1" applyFont="1">
      <alignment horizontal="center" vertical="bottom"/>
    </xf>
    <xf borderId="36" fillId="12" fontId="12" numFmtId="0" xfId="0" applyAlignment="1" applyBorder="1" applyFont="1">
      <alignment horizontal="center" vertical="bottom"/>
    </xf>
    <xf borderId="58" fillId="2" fontId="84" numFmtId="0" xfId="0" applyAlignment="1" applyBorder="1" applyFont="1">
      <alignment horizontal="center" readingOrder="0" vertical="center"/>
    </xf>
    <xf borderId="145" fillId="6" fontId="17" numFmtId="0" xfId="0" applyAlignment="1" applyBorder="1" applyFont="1">
      <alignment horizontal="center" readingOrder="0" vertical="center"/>
    </xf>
    <xf borderId="43" fillId="6" fontId="85" numFmtId="0" xfId="0" applyAlignment="1" applyBorder="1" applyFont="1">
      <alignment horizontal="center" readingOrder="0"/>
    </xf>
    <xf borderId="139" fillId="15" fontId="12" numFmtId="0" xfId="0" applyAlignment="1" applyBorder="1" applyFont="1">
      <alignment horizontal="center" shrinkToFit="0" wrapText="1"/>
    </xf>
    <xf borderId="132" fillId="13" fontId="12" numFmtId="0" xfId="0" applyAlignment="1" applyBorder="1" applyFont="1">
      <alignment horizontal="center" vertical="bottom"/>
    </xf>
    <xf borderId="137" fillId="13" fontId="12" numFmtId="0" xfId="0" applyAlignment="1" applyBorder="1" applyFont="1">
      <alignment horizontal="center" shrinkToFit="0" wrapText="1"/>
    </xf>
    <xf borderId="146" fillId="7" fontId="12" numFmtId="0" xfId="0" applyAlignment="1" applyBorder="1" applyFont="1">
      <alignment horizontal="center" readingOrder="0" vertical="center"/>
    </xf>
    <xf borderId="147" fillId="7" fontId="12" numFmtId="0" xfId="0" applyAlignment="1" applyBorder="1" applyFont="1">
      <alignment horizontal="center" readingOrder="0" vertical="center"/>
    </xf>
    <xf borderId="101" fillId="6" fontId="17" numFmtId="0" xfId="0" applyAlignment="1" applyBorder="1" applyFont="1">
      <alignment horizontal="center" readingOrder="0" vertical="center"/>
    </xf>
    <xf borderId="45" fillId="6" fontId="12" numFmtId="0" xfId="0" applyAlignment="1" applyBorder="1" applyFont="1">
      <alignment horizontal="center" readingOrder="0"/>
    </xf>
    <xf borderId="102" fillId="6" fontId="12" numFmtId="0" xfId="0" applyAlignment="1" applyBorder="1" applyFont="1">
      <alignment horizontal="center" readingOrder="0"/>
    </xf>
    <xf borderId="132" fillId="13" fontId="12" numFmtId="0" xfId="0" applyAlignment="1" applyBorder="1" applyFont="1">
      <alignment horizontal="center"/>
    </xf>
    <xf borderId="35" fillId="11" fontId="12" numFmtId="0" xfId="0" applyAlignment="1" applyBorder="1" applyFont="1">
      <alignment horizontal="center" readingOrder="0" vertical="center"/>
    </xf>
    <xf borderId="91" fillId="6" fontId="45" numFmtId="0" xfId="0" applyAlignment="1" applyBorder="1" applyFont="1">
      <alignment horizontal="center" readingOrder="0" vertical="center"/>
    </xf>
    <xf borderId="132" fillId="14" fontId="12" numFmtId="0" xfId="0" applyAlignment="1" applyBorder="1" applyFont="1">
      <alignment horizontal="center" vertical="bottom"/>
    </xf>
    <xf borderId="137" fillId="7" fontId="86" numFmtId="0" xfId="0" applyAlignment="1" applyBorder="1" applyFont="1">
      <alignment horizontal="center" shrinkToFit="0" wrapText="1"/>
    </xf>
    <xf borderId="33" fillId="12" fontId="12" numFmtId="0" xfId="0" applyAlignment="1" applyBorder="1" applyFont="1">
      <alignment horizontal="center" shrinkToFit="0" wrapText="1"/>
    </xf>
    <xf borderId="137" fillId="2" fontId="12" numFmtId="0" xfId="0" applyAlignment="1" applyBorder="1" applyFont="1">
      <alignment horizontal="center" shrinkToFit="0" wrapText="1"/>
    </xf>
    <xf borderId="106" fillId="6" fontId="36" numFmtId="0" xfId="0" applyAlignment="1" applyBorder="1" applyFont="1">
      <alignment horizontal="center" readingOrder="0"/>
    </xf>
    <xf borderId="107" fillId="6" fontId="36" numFmtId="0" xfId="0" applyAlignment="1" applyBorder="1" applyFont="1">
      <alignment horizontal="center" readingOrder="0"/>
    </xf>
    <xf borderId="36" fillId="12" fontId="12" numFmtId="0" xfId="0" applyAlignment="1" applyBorder="1" applyFont="1">
      <alignment horizontal="center" readingOrder="0" vertical="bottom"/>
    </xf>
    <xf borderId="137" fillId="2" fontId="12" numFmtId="0" xfId="0" applyAlignment="1" applyBorder="1" applyFont="1">
      <alignment horizontal="center" readingOrder="0" shrinkToFit="0" wrapText="1"/>
    </xf>
    <xf borderId="33" fillId="14" fontId="12" numFmtId="0" xfId="0" applyAlignment="1" applyBorder="1" applyFont="1">
      <alignment horizontal="center" shrinkToFit="0" wrapText="1"/>
    </xf>
    <xf borderId="148" fillId="7" fontId="12" numFmtId="0" xfId="0" applyAlignment="1" applyBorder="1" applyFont="1">
      <alignment horizontal="center" readingOrder="0" vertical="center"/>
    </xf>
    <xf borderId="54" fillId="2" fontId="58" numFmtId="0" xfId="0" applyAlignment="1" applyBorder="1" applyFont="1">
      <alignment horizontal="right" vertical="center"/>
    </xf>
    <xf borderId="119" fillId="2" fontId="12" numFmtId="0" xfId="0" applyAlignment="1" applyBorder="1" applyFont="1">
      <alignment horizontal="center" vertical="center"/>
    </xf>
    <xf borderId="54" fillId="2" fontId="64" numFmtId="0" xfId="0" applyAlignment="1" applyBorder="1" applyFont="1">
      <alignment horizontal="center" readingOrder="0" shrinkToFit="0" vertical="center" wrapText="1"/>
    </xf>
    <xf borderId="54" fillId="2" fontId="87" numFmtId="0" xfId="0" applyAlignment="1" applyBorder="1" applyFont="1">
      <alignment horizontal="right" vertical="center"/>
    </xf>
    <xf borderId="1" fillId="2" fontId="1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1" fillId="2" fontId="88" numFmtId="0" xfId="0" applyAlignment="1" applyBorder="1" applyFont="1">
      <alignment horizontal="center" readingOrder="0" vertical="center"/>
    </xf>
    <xf borderId="125" fillId="2" fontId="29" numFmtId="0" xfId="0" applyAlignment="1" applyBorder="1" applyFont="1">
      <alignment horizontal="left" readingOrder="0" vertical="center"/>
    </xf>
    <xf borderId="1" fillId="2" fontId="12" numFmtId="0" xfId="0" applyAlignment="1" applyBorder="1" applyFont="1">
      <alignment horizontal="right" vertical="center"/>
    </xf>
    <xf borderId="124" fillId="2" fontId="89" numFmtId="0" xfId="0" applyAlignment="1" applyBorder="1" applyFont="1">
      <alignment horizontal="right" readingOrder="0" vertical="center"/>
    </xf>
    <xf borderId="1" fillId="2" fontId="12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readingOrder="0" vertical="center"/>
    </xf>
    <xf borderId="124" fillId="2" fontId="12" numFmtId="0" xfId="0" applyAlignment="1" applyBorder="1" applyFont="1">
      <alignment horizontal="center" vertical="center"/>
    </xf>
    <xf borderId="15" fillId="4" fontId="7" numFmtId="0" xfId="0" applyAlignment="1" applyBorder="1" applyFont="1">
      <alignment horizontal="center" vertical="center"/>
    </xf>
    <xf borderId="22" fillId="2" fontId="90" numFmtId="0" xfId="0" applyAlignment="1" applyBorder="1" applyFont="1">
      <alignment horizontal="left" vertical="center"/>
    </xf>
    <xf borderId="20" fillId="2" fontId="14" numFmtId="0" xfId="0" applyAlignment="1" applyBorder="1" applyFont="1">
      <alignment horizontal="center" readingOrder="0" vertical="center"/>
    </xf>
    <xf borderId="17" fillId="2" fontId="14" numFmtId="0" xfId="0" applyAlignment="1" applyBorder="1" applyFont="1">
      <alignment horizontal="center" readingOrder="0" vertical="center"/>
    </xf>
    <xf borderId="27" fillId="2" fontId="14" numFmtId="0" xfId="0" applyAlignment="1" applyBorder="1" applyFont="1">
      <alignment horizontal="center" readingOrder="0" vertical="center"/>
    </xf>
    <xf borderId="54" fillId="2" fontId="14" numFmtId="0" xfId="0" applyAlignment="1" applyBorder="1" applyFont="1">
      <alignment horizontal="center"/>
    </xf>
    <xf borderId="20" fillId="2" fontId="14" numFmtId="0" xfId="0" applyAlignment="1" applyBorder="1" applyFont="1">
      <alignment horizontal="center" readingOrder="0" vertical="center"/>
    </xf>
    <xf borderId="30" fillId="6" fontId="91" numFmtId="0" xfId="0" applyAlignment="1" applyBorder="1" applyFont="1">
      <alignment readingOrder="0"/>
    </xf>
    <xf borderId="30" fillId="6" fontId="92" numFmtId="0" xfId="0" applyAlignment="1" applyBorder="1" applyFont="1">
      <alignment vertical="bottom"/>
    </xf>
    <xf borderId="17" fillId="2" fontId="13" numFmtId="165" xfId="0" applyAlignment="1" applyBorder="1" applyFont="1" applyNumberFormat="1">
      <alignment horizontal="center" readingOrder="0" vertical="center"/>
    </xf>
    <xf borderId="149" fillId="7" fontId="12" numFmtId="0" xfId="0" applyAlignment="1" applyBorder="1" applyFont="1">
      <alignment horizontal="center" readingOrder="0" vertical="center"/>
    </xf>
    <xf borderId="30" fillId="6" fontId="93" numFmtId="0" xfId="0" applyAlignment="1" applyBorder="1" applyFont="1">
      <alignment readingOrder="0" vertical="bottom"/>
    </xf>
    <xf borderId="35" fillId="14" fontId="12" numFmtId="0" xfId="0" applyAlignment="1" applyBorder="1" applyFont="1">
      <alignment horizontal="center"/>
    </xf>
    <xf borderId="46" fillId="6" fontId="94" numFmtId="0" xfId="0" applyAlignment="1" applyBorder="1" applyFont="1">
      <alignment vertical="bottom"/>
    </xf>
    <xf borderId="45" fillId="6" fontId="12" numFmtId="0" xfId="0" applyAlignment="1" applyBorder="1" applyFont="1">
      <alignment horizontal="center" vertical="bottom"/>
    </xf>
    <xf borderId="46" fillId="6" fontId="12" numFmtId="0" xfId="0" applyAlignment="1" applyBorder="1" applyFont="1">
      <alignment horizontal="center" vertical="bottom"/>
    </xf>
    <xf borderId="35" fillId="12" fontId="12" numFmtId="0" xfId="0" applyAlignment="1" applyBorder="1" applyFont="1">
      <alignment horizontal="center"/>
    </xf>
    <xf borderId="0" fillId="5" fontId="24" numFmtId="0" xfId="0" applyAlignment="1" applyFont="1">
      <alignment readingOrder="0" vertical="center"/>
    </xf>
    <xf borderId="30" fillId="6" fontId="95" numFmtId="0" xfId="0" applyAlignment="1" applyBorder="1" applyFont="1">
      <alignment vertical="bottom"/>
    </xf>
    <xf borderId="32" fillId="6" fontId="12" numFmtId="0" xfId="0" applyAlignment="1" applyBorder="1" applyFont="1">
      <alignment horizontal="center" vertical="bottom"/>
    </xf>
    <xf borderId="30" fillId="6" fontId="12" numFmtId="0" xfId="0" applyAlignment="1" applyBorder="1" applyFont="1">
      <alignment horizontal="center" vertical="bottom"/>
    </xf>
    <xf borderId="81" fillId="6" fontId="96" numFmtId="0" xfId="0" applyAlignment="1" applyBorder="1" applyFont="1">
      <alignment vertical="bottom"/>
    </xf>
    <xf borderId="81" fillId="6" fontId="97" numFmtId="0" xfId="0" applyAlignment="1" applyBorder="1" applyFont="1">
      <alignment readingOrder="0" vertical="bottom"/>
    </xf>
    <xf borderId="35" fillId="14" fontId="12" numFmtId="0" xfId="0" applyAlignment="1" applyBorder="1" applyFont="1">
      <alignment horizontal="center" readingOrder="0"/>
    </xf>
    <xf borderId="81" fillId="6" fontId="98" numFmtId="0" xfId="0" applyAlignment="1" applyBorder="1" applyFont="1">
      <alignment readingOrder="0" vertical="bottom"/>
    </xf>
    <xf borderId="150" fillId="6" fontId="99" numFmtId="0" xfId="0" applyAlignment="1" applyBorder="1" applyFont="1">
      <alignment readingOrder="0" vertical="bottom"/>
    </xf>
    <xf borderId="17" fillId="16" fontId="100" numFmtId="0" xfId="0" applyAlignment="1" applyBorder="1" applyFill="1" applyFont="1">
      <alignment horizontal="center" readingOrder="0" vertical="center"/>
    </xf>
    <xf borderId="150" fillId="6" fontId="101" numFmtId="0" xfId="0" applyAlignment="1" applyBorder="1" applyFont="1">
      <alignment vertical="bottom"/>
    </xf>
    <xf borderId="35" fillId="2" fontId="12" numFmtId="0" xfId="0" applyAlignment="1" applyBorder="1" applyFont="1">
      <alignment horizontal="center"/>
    </xf>
    <xf borderId="17" fillId="17" fontId="102" numFmtId="0" xfId="0" applyAlignment="1" applyBorder="1" applyFill="1" applyFont="1">
      <alignment horizontal="center" readingOrder="0" vertical="center"/>
    </xf>
    <xf borderId="17" fillId="18" fontId="103" numFmtId="0" xfId="0" applyAlignment="1" applyBorder="1" applyFill="1" applyFont="1">
      <alignment horizontal="center" readingOrder="0" vertical="center"/>
    </xf>
    <xf borderId="150" fillId="6" fontId="104" numFmtId="0" xfId="0" applyAlignment="1" applyBorder="1" applyFont="1">
      <alignment readingOrder="0" vertical="bottom"/>
    </xf>
    <xf borderId="52" fillId="7" fontId="12" numFmtId="0" xfId="0" applyAlignment="1" applyBorder="1" applyFont="1">
      <alignment horizontal="center" readingOrder="0" vertical="center"/>
    </xf>
    <xf borderId="49" fillId="14" fontId="12" numFmtId="0" xfId="0" applyAlignment="1" applyBorder="1" applyFont="1">
      <alignment horizontal="center"/>
    </xf>
    <xf borderId="151" fillId="7" fontId="12" numFmtId="0" xfId="0" applyAlignment="1" applyBorder="1" applyFont="1">
      <alignment horizontal="center" readingOrder="0" vertical="center"/>
    </xf>
    <xf borderId="58" fillId="4" fontId="9" numFmtId="0" xfId="0" applyAlignment="1" applyBorder="1" applyFont="1">
      <alignment vertical="center"/>
    </xf>
    <xf borderId="56" fillId="2" fontId="90" numFmtId="0" xfId="0" applyAlignment="1" applyBorder="1" applyFont="1">
      <alignment horizontal="left" vertical="center"/>
    </xf>
    <xf borderId="58" fillId="2" fontId="14" numFmtId="0" xfId="0" applyAlignment="1" applyBorder="1" applyFont="1">
      <alignment horizontal="center" readingOrder="0" vertical="center"/>
    </xf>
    <xf borderId="46" fillId="6" fontId="31" numFmtId="0" xfId="0" applyAlignment="1" applyBorder="1" applyFont="1">
      <alignment vertical="bottom"/>
    </xf>
    <xf borderId="30" fillId="6" fontId="31" numFmtId="0" xfId="0" applyAlignment="1" applyBorder="1" applyFont="1">
      <alignment vertical="bottom"/>
    </xf>
    <xf borderId="46" fillId="6" fontId="92" numFmtId="0" xfId="0" applyAlignment="1" applyBorder="1" applyFont="1">
      <alignment readingOrder="0" vertical="bottom"/>
    </xf>
    <xf borderId="35" fillId="13" fontId="12" numFmtId="0" xfId="0" applyAlignment="1" applyBorder="1" applyFont="1">
      <alignment horizontal="center"/>
    </xf>
    <xf borderId="81" fillId="6" fontId="105" numFmtId="0" xfId="0" applyAlignment="1" applyBorder="1" applyFont="1">
      <alignment readingOrder="0"/>
    </xf>
    <xf borderId="30" fillId="6" fontId="92" numFmtId="0" xfId="0" applyAlignment="1" applyBorder="1" applyFont="1">
      <alignment readingOrder="0"/>
    </xf>
    <xf borderId="35" fillId="7" fontId="12" numFmtId="0" xfId="0" applyAlignment="1" applyBorder="1" applyFont="1">
      <alignment horizontal="center"/>
    </xf>
    <xf borderId="0" fillId="10" fontId="24" numFmtId="0" xfId="0" applyAlignment="1" applyFont="1">
      <alignment readingOrder="0" vertical="center"/>
    </xf>
    <xf borderId="35" fillId="15" fontId="12" numFmtId="0" xfId="0" applyAlignment="1" applyBorder="1" applyFont="1">
      <alignment horizontal="center"/>
    </xf>
    <xf borderId="17" fillId="19" fontId="106" numFmtId="0" xfId="0" applyAlignment="1" applyBorder="1" applyFill="1" applyFont="1">
      <alignment horizontal="center" readingOrder="0" vertical="center"/>
    </xf>
    <xf borderId="100" fillId="6" fontId="12" numFmtId="0" xfId="0" applyAlignment="1" applyBorder="1" applyFont="1">
      <alignment horizontal="center" readingOrder="0"/>
    </xf>
    <xf borderId="17" fillId="4" fontId="13" numFmtId="165" xfId="0" applyAlignment="1" applyBorder="1" applyFont="1" applyNumberFormat="1">
      <alignment horizontal="center" readingOrder="0" vertical="center"/>
    </xf>
    <xf borderId="49" fillId="4" fontId="31" numFmtId="0" xfId="0" applyBorder="1" applyFont="1"/>
    <xf borderId="7" fillId="5" fontId="15" numFmtId="0" xfId="0" applyAlignment="1" applyBorder="1" applyFont="1">
      <alignment readingOrder="0" vertical="center"/>
    </xf>
    <xf borderId="30" fillId="6" fontId="92" numFmtId="0" xfId="0" applyAlignment="1" applyBorder="1" applyFont="1">
      <alignment horizontal="left" readingOrder="0" vertical="center"/>
    </xf>
    <xf borderId="152" fillId="7" fontId="12" numFmtId="0" xfId="0" applyAlignment="1" applyBorder="1" applyFont="1">
      <alignment horizontal="center" readingOrder="0" vertical="center"/>
    </xf>
    <xf borderId="35" fillId="14" fontId="12" numFmtId="0" xfId="0" applyAlignment="1" applyBorder="1" applyFont="1">
      <alignment horizontal="center" vertical="bottom"/>
    </xf>
    <xf borderId="153" fillId="0" fontId="3" numFmtId="0" xfId="0" applyBorder="1" applyFont="1"/>
    <xf borderId="7" fillId="8" fontId="9" numFmtId="0" xfId="0" applyAlignment="1" applyBorder="1" applyFont="1">
      <alignment readingOrder="0" vertical="center"/>
    </xf>
    <xf borderId="154" fillId="6" fontId="107" numFmtId="0" xfId="0" applyAlignment="1" applyBorder="1" applyFont="1">
      <alignment readingOrder="0"/>
    </xf>
    <xf borderId="65" fillId="6" fontId="92" numFmtId="0" xfId="0" applyAlignment="1" applyBorder="1" applyFont="1">
      <alignment horizontal="left" readingOrder="0" vertical="center"/>
    </xf>
    <xf borderId="35" fillId="12" fontId="12" numFmtId="0" xfId="0" applyAlignment="1" applyBorder="1" applyFont="1">
      <alignment horizontal="center" vertical="bottom"/>
    </xf>
    <xf borderId="155" fillId="6" fontId="108" numFmtId="0" xfId="0" applyAlignment="1" applyBorder="1" applyFont="1">
      <alignment readingOrder="0"/>
    </xf>
    <xf borderId="15" fillId="6" fontId="92" numFmtId="0" xfId="0" applyAlignment="1" applyBorder="1" applyFont="1">
      <alignment horizontal="left" readingOrder="0" vertical="center"/>
    </xf>
    <xf borderId="7" fillId="9" fontId="9" numFmtId="0" xfId="0" applyAlignment="1" applyBorder="1" applyFont="1">
      <alignment readingOrder="0" vertical="center"/>
    </xf>
    <xf borderId="65" fillId="6" fontId="109" numFmtId="0" xfId="0" applyAlignment="1" applyBorder="1" applyFont="1">
      <alignment readingOrder="0"/>
    </xf>
    <xf borderId="17" fillId="2" fontId="13" numFmtId="166" xfId="0" applyAlignment="1" applyBorder="1" applyFont="1" applyNumberFormat="1">
      <alignment horizontal="center" readingOrder="0" vertical="center"/>
    </xf>
    <xf borderId="156" fillId="6" fontId="110" numFmtId="0" xfId="0" applyAlignment="1" applyBorder="1" applyFont="1">
      <alignment readingOrder="0"/>
    </xf>
    <xf borderId="156" fillId="6" fontId="92" numFmtId="0" xfId="0" applyAlignment="1" applyBorder="1" applyFont="1">
      <alignment horizontal="left" readingOrder="0" vertical="center"/>
    </xf>
    <xf borderId="157" fillId="6" fontId="12" numFmtId="0" xfId="0" applyAlignment="1" applyBorder="1" applyFont="1">
      <alignment horizontal="center" readingOrder="0"/>
    </xf>
    <xf borderId="158" fillId="6" fontId="12" numFmtId="0" xfId="0" applyAlignment="1" applyBorder="1" applyFont="1">
      <alignment horizontal="center" readingOrder="0"/>
    </xf>
    <xf borderId="159" fillId="6" fontId="12" numFmtId="0" xfId="0" applyAlignment="1" applyBorder="1" applyFont="1">
      <alignment horizontal="center" readingOrder="0"/>
    </xf>
    <xf borderId="15" fillId="6" fontId="111" numFmtId="0" xfId="0" applyAlignment="1" applyBorder="1" applyFont="1">
      <alignment readingOrder="0"/>
    </xf>
    <xf borderId="160" fillId="7" fontId="12" numFmtId="0" xfId="0" applyAlignment="1" applyBorder="1" applyFont="1">
      <alignment horizontal="center" readingOrder="0" vertical="center"/>
    </xf>
    <xf borderId="54" fillId="4" fontId="30" numFmtId="0" xfId="0" applyAlignment="1" applyBorder="1" applyFont="1">
      <alignment horizontal="center" vertical="center"/>
    </xf>
    <xf borderId="59" fillId="4" fontId="30" numFmtId="0" xfId="0" applyAlignment="1" applyBorder="1" applyFont="1">
      <alignment horizontal="center" vertical="center"/>
    </xf>
    <xf borderId="58" fillId="4" fontId="30" numFmtId="0" xfId="0" applyAlignment="1" applyBorder="1" applyFont="1">
      <alignment horizontal="center" vertical="center"/>
    </xf>
    <xf borderId="161" fillId="6" fontId="112" numFmtId="0" xfId="0" applyAlignment="1" applyBorder="1" applyFont="1">
      <alignment readingOrder="0"/>
    </xf>
    <xf borderId="20" fillId="6" fontId="92" numFmtId="0" xfId="0" applyAlignment="1" applyBorder="1" applyFont="1">
      <alignment horizontal="left" readingOrder="0" vertical="center"/>
    </xf>
    <xf borderId="35" fillId="2" fontId="12" numFmtId="0" xfId="0" applyAlignment="1" applyBorder="1" applyFont="1">
      <alignment horizontal="center" vertical="bottom"/>
    </xf>
    <xf borderId="35" fillId="13" fontId="12" numFmtId="0" xfId="0" applyAlignment="1" applyBorder="1" applyFont="1">
      <alignment horizontal="center" vertical="bottom"/>
    </xf>
    <xf borderId="162" fillId="6" fontId="113" numFmtId="0" xfId="0" applyAlignment="1" applyBorder="1" applyFont="1">
      <alignment readingOrder="0"/>
    </xf>
    <xf borderId="35" fillId="7" fontId="12" numFmtId="0" xfId="0" applyAlignment="1" applyBorder="1" applyFont="1">
      <alignment horizontal="center" readingOrder="0" vertical="bottom"/>
    </xf>
    <xf borderId="17" fillId="20" fontId="114" numFmtId="0" xfId="0" applyAlignment="1" applyBorder="1" applyFill="1" applyFont="1">
      <alignment horizontal="center" readingOrder="0" vertical="center"/>
    </xf>
    <xf borderId="163" fillId="7" fontId="12" numFmtId="0" xfId="0" applyAlignment="1" applyBorder="1" applyFont="1">
      <alignment horizontal="center" readingOrder="0" vertical="center"/>
    </xf>
    <xf borderId="164" fillId="8" fontId="9" numFmtId="0" xfId="0" applyAlignment="1" applyBorder="1" applyFont="1">
      <alignment readingOrder="0" vertical="center"/>
    </xf>
    <xf borderId="35" fillId="15" fontId="12" numFmtId="0" xfId="0" applyAlignment="1" applyBorder="1" applyFont="1">
      <alignment horizontal="center" vertical="bottom"/>
    </xf>
    <xf borderId="8" fillId="4" fontId="30" numFmtId="0" xfId="0" applyAlignment="1" applyBorder="1" applyFont="1">
      <alignment horizontal="center" readingOrder="0" vertical="center"/>
    </xf>
    <xf borderId="7" fillId="5" fontId="12" numFmtId="0" xfId="0" applyBorder="1" applyFont="1"/>
    <xf borderId="48" fillId="2" fontId="12" numFmtId="0" xfId="0" applyAlignment="1" applyBorder="1" applyFont="1">
      <alignment horizontal="center" vertical="bottom"/>
    </xf>
    <xf borderId="165" fillId="7" fontId="12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vertical="center"/>
    </xf>
    <xf borderId="30" fillId="6" fontId="12" numFmtId="0" xfId="0" applyAlignment="1" applyBorder="1" applyFont="1">
      <alignment readingOrder="0"/>
    </xf>
    <xf borderId="81" fillId="6" fontId="12" numFmtId="0" xfId="0" applyAlignment="1" applyBorder="1" applyFont="1">
      <alignment readingOrder="0"/>
    </xf>
    <xf borderId="47" fillId="6" fontId="12" numFmtId="0" xfId="0" applyAlignment="1" applyBorder="1" applyFont="1">
      <alignment horizontal="center" readingOrder="0"/>
    </xf>
    <xf borderId="0" fillId="6" fontId="12" numFmtId="0" xfId="0" applyAlignment="1" applyFont="1">
      <alignment horizontal="center" readingOrder="0"/>
    </xf>
    <xf borderId="81" fillId="6" fontId="12" numFmtId="0" xfId="0" applyAlignment="1" applyBorder="1" applyFont="1">
      <alignment readingOrder="0"/>
    </xf>
    <xf borderId="154" fillId="6" fontId="12" numFmtId="0" xfId="0" applyAlignment="1" applyBorder="1" applyFont="1">
      <alignment readingOrder="0"/>
    </xf>
    <xf borderId="155" fillId="6" fontId="12" numFmtId="0" xfId="0" applyAlignment="1" applyBorder="1" applyFont="1">
      <alignment readingOrder="0"/>
    </xf>
    <xf borderId="65" fillId="6" fontId="12" numFmtId="0" xfId="0" applyAlignment="1" applyBorder="1" applyFont="1">
      <alignment readingOrder="0"/>
    </xf>
    <xf borderId="156" fillId="6" fontId="12" numFmtId="0" xfId="0" applyAlignment="1" applyBorder="1" applyFont="1">
      <alignment readingOrder="0"/>
    </xf>
    <xf borderId="15" fillId="6" fontId="12" numFmtId="0" xfId="0" applyAlignment="1" applyBorder="1" applyFont="1">
      <alignment readingOrder="0"/>
    </xf>
    <xf borderId="48" fillId="7" fontId="12" numFmtId="0" xfId="0" applyAlignment="1" applyBorder="1" applyFont="1">
      <alignment horizontal="center" readingOrder="0"/>
    </xf>
    <xf borderId="161" fillId="6" fontId="12" numFmtId="0" xfId="0" applyAlignment="1" applyBorder="1" applyFont="1">
      <alignment readingOrder="0"/>
    </xf>
    <xf borderId="162" fillId="6" fontId="12" numFmtId="0" xfId="0" applyAlignment="1" applyBorder="1" applyFont="1">
      <alignment readingOrder="0"/>
    </xf>
    <xf borderId="58" fillId="6" fontId="92" numFmtId="0" xfId="0" applyAlignment="1" applyBorder="1" applyFont="1">
      <alignment horizontal="left" readingOrder="0" vertical="center"/>
    </xf>
    <xf borderId="49" fillId="7" fontId="12" numFmtId="0" xfId="0" applyAlignment="1" applyBorder="1" applyFont="1">
      <alignment horizontal="center" readingOrder="0"/>
    </xf>
    <xf borderId="120" fillId="2" fontId="115" numFmtId="0" xfId="0" applyAlignment="1" applyBorder="1" applyFont="1">
      <alignment horizontal="center" readingOrder="0" vertical="center"/>
    </xf>
    <xf borderId="3" fillId="2" fontId="29" numFmtId="0" xfId="0" applyAlignment="1" applyBorder="1" applyFont="1">
      <alignment horizontal="left" readingOrder="0" vertical="center"/>
    </xf>
    <xf borderId="120" fillId="2" fontId="12" numFmtId="0" xfId="0" applyAlignment="1" applyBorder="1" applyFont="1">
      <alignment horizontal="right" vertical="center"/>
    </xf>
    <xf borderId="2" fillId="2" fontId="116" numFmtId="0" xfId="0" applyAlignment="1" applyBorder="1" applyFont="1">
      <alignment horizontal="right" readingOrder="0" vertical="center"/>
    </xf>
    <xf borderId="120" fillId="2" fontId="12" numFmtId="0" xfId="0" applyAlignment="1" applyBorder="1" applyFont="1">
      <alignment horizontal="center" vertical="center"/>
    </xf>
    <xf borderId="120" fillId="2" fontId="9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20" fillId="2" fontId="4" numFmtId="0" xfId="0" applyAlignment="1" applyBorder="1" applyFont="1">
      <alignment horizontal="center" readingOrder="0" vertical="center"/>
    </xf>
    <xf borderId="124" fillId="2" fontId="1" numFmtId="0" xfId="0" applyAlignment="1" applyBorder="1" applyFont="1">
      <alignment vertical="center"/>
    </xf>
    <xf borderId="166" fillId="0" fontId="3" numFmtId="0" xfId="0" applyBorder="1" applyFont="1"/>
    <xf borderId="17" fillId="4" fontId="6" numFmtId="0" xfId="0" applyAlignment="1" applyBorder="1" applyFont="1">
      <alignment readingOrder="0" vertical="center"/>
    </xf>
    <xf borderId="20" fillId="4" fontId="7" numFmtId="0" xfId="0" applyAlignment="1" applyBorder="1" applyFont="1">
      <alignment horizontal="center" vertical="center"/>
    </xf>
    <xf borderId="17" fillId="4" fontId="7" numFmtId="0" xfId="0" applyAlignment="1" applyBorder="1" applyFont="1">
      <alignment horizontal="center" vertical="center"/>
    </xf>
    <xf borderId="27" fillId="4" fontId="7" numFmtId="0" xfId="0" applyAlignment="1" applyBorder="1" applyFont="1">
      <alignment horizontal="center" vertical="center"/>
    </xf>
    <xf borderId="54" fillId="4" fontId="9" numFmtId="0" xfId="0" applyAlignment="1" applyBorder="1" applyFont="1">
      <alignment vertical="center"/>
    </xf>
    <xf borderId="167" fillId="2" fontId="90" numFmtId="0" xfId="0" applyAlignment="1" applyBorder="1" applyFont="1">
      <alignment horizontal="left" vertical="center"/>
    </xf>
    <xf borderId="54" fillId="2" fontId="9" numFmtId="0" xfId="0" applyAlignment="1" applyBorder="1" applyFont="1">
      <alignment horizontal="center" readingOrder="0" vertical="center"/>
    </xf>
    <xf borderId="68" fillId="2" fontId="14" numFmtId="0" xfId="0" applyAlignment="1" applyBorder="1" applyFont="1">
      <alignment horizontal="center" readingOrder="0" vertical="center"/>
    </xf>
    <xf borderId="128" fillId="5" fontId="24" numFmtId="0" xfId="0" applyAlignment="1" applyBorder="1" applyFont="1">
      <alignment readingOrder="0" vertical="center"/>
    </xf>
    <xf borderId="154" fillId="6" fontId="12" numFmtId="0" xfId="0" applyAlignment="1" applyBorder="1" applyFont="1">
      <alignment readingOrder="0" vertical="center"/>
    </xf>
    <xf borderId="54" fillId="11" fontId="12" numFmtId="0" xfId="0" applyAlignment="1" applyBorder="1" applyFont="1">
      <alignment horizontal="center" readingOrder="0"/>
    </xf>
    <xf borderId="150" fillId="6" fontId="12" numFmtId="0" xfId="0" applyAlignment="1" applyBorder="1" applyFont="1">
      <alignment readingOrder="0" vertical="bottom"/>
    </xf>
    <xf borderId="46" fillId="6" fontId="31" numFmtId="0" xfId="0" applyBorder="1" applyFont="1"/>
    <xf borderId="47" fillId="6" fontId="12" numFmtId="0" xfId="0" applyAlignment="1" applyBorder="1" applyFont="1">
      <alignment horizontal="center" readingOrder="0" vertical="bottom"/>
    </xf>
    <xf borderId="81" fillId="6" fontId="12" numFmtId="0" xfId="0" applyAlignment="1" applyBorder="1" applyFont="1">
      <alignment readingOrder="0" vertical="bottom"/>
    </xf>
    <xf borderId="13" fillId="6" fontId="92" numFmtId="0" xfId="0" applyAlignment="1" applyBorder="1" applyFont="1">
      <alignment horizontal="left" readingOrder="0" vertical="center"/>
    </xf>
    <xf borderId="168" fillId="6" fontId="92" numFmtId="0" xfId="0" applyAlignment="1" applyBorder="1" applyFont="1">
      <alignment horizontal="left" readingOrder="0" vertical="center"/>
    </xf>
    <xf borderId="54" fillId="2" fontId="117" numFmtId="0" xfId="0" applyAlignment="1" applyBorder="1" applyFont="1">
      <alignment horizontal="center" vertical="bottom"/>
    </xf>
    <xf borderId="169" fillId="8" fontId="22" numFmtId="0" xfId="0" applyAlignment="1" applyBorder="1" applyFont="1">
      <alignment readingOrder="0" vertical="center"/>
    </xf>
    <xf borderId="170" fillId="0" fontId="3" numFmtId="0" xfId="0" applyBorder="1" applyFont="1"/>
    <xf borderId="128" fillId="8" fontId="22" numFmtId="0" xfId="0" applyAlignment="1" applyBorder="1" applyFont="1">
      <alignment readingOrder="0" vertical="center"/>
    </xf>
    <xf borderId="128" fillId="9" fontId="118" numFmtId="0" xfId="0" applyAlignment="1" applyBorder="1" applyFont="1">
      <alignment readingOrder="0" vertical="center"/>
    </xf>
    <xf borderId="100" fillId="6" fontId="12" numFmtId="0" xfId="0" applyAlignment="1" applyBorder="1" applyFont="1">
      <alignment readingOrder="0"/>
    </xf>
    <xf borderId="128" fillId="10" fontId="119" numFmtId="0" xfId="0" applyAlignment="1" applyBorder="1" applyFont="1">
      <alignment readingOrder="0" vertical="center"/>
    </xf>
    <xf borderId="7" fillId="2" fontId="14" numFmtId="0" xfId="0" applyAlignment="1" applyBorder="1" applyFont="1">
      <alignment horizontal="center" readingOrder="0" vertical="center"/>
    </xf>
    <xf borderId="55" fillId="2" fontId="14" numFmtId="0" xfId="0" applyAlignment="1" applyBorder="1" applyFont="1">
      <alignment horizontal="center" readingOrder="0" vertical="center"/>
    </xf>
    <xf borderId="126" fillId="5" fontId="15" numFmtId="0" xfId="0" applyAlignment="1" applyBorder="1" applyFont="1">
      <alignment readingOrder="0" vertical="center"/>
    </xf>
    <xf borderId="171" fillId="0" fontId="3" numFmtId="0" xfId="0" applyBorder="1" applyFont="1"/>
    <xf borderId="126" fillId="8" fontId="9" numFmtId="0" xfId="0" applyAlignment="1" applyBorder="1" applyFont="1">
      <alignment readingOrder="0" vertical="center"/>
    </xf>
    <xf borderId="126" fillId="9" fontId="9" numFmtId="0" xfId="0" applyAlignment="1" applyBorder="1" applyFont="1">
      <alignment readingOrder="0" vertical="center"/>
    </xf>
    <xf borderId="126" fillId="10" fontId="9" numFmtId="0" xfId="0" applyAlignment="1" applyBorder="1" applyFont="1">
      <alignment readingOrder="0" vertical="center"/>
    </xf>
    <xf borderId="5" fillId="4" fontId="9" numFmtId="0" xfId="0" applyAlignment="1" applyBorder="1" applyFont="1">
      <alignment vertical="center"/>
    </xf>
    <xf borderId="128" fillId="8" fontId="9" numFmtId="0" xfId="0" applyAlignment="1" applyBorder="1" applyFont="1">
      <alignment readingOrder="0" vertical="center"/>
    </xf>
    <xf borderId="53" fillId="2" fontId="14" numFmtId="0" xfId="0" applyAlignment="1" applyBorder="1" applyFont="1">
      <alignment horizontal="center" readingOrder="0" vertical="center"/>
    </xf>
    <xf borderId="172" fillId="8" fontId="9" numFmtId="0" xfId="0" applyAlignment="1" applyBorder="1" applyFont="1">
      <alignment readingOrder="0" vertical="center"/>
    </xf>
    <xf borderId="126" fillId="5" fontId="12" numFmtId="0" xfId="0" applyBorder="1" applyFont="1"/>
    <xf borderId="128" fillId="8" fontId="12" numFmtId="0" xfId="0" applyBorder="1" applyFont="1"/>
    <xf borderId="173" fillId="7" fontId="12" numFmtId="0" xfId="0" applyAlignment="1" applyBorder="1" applyFont="1">
      <alignment horizontal="center" readingOrder="0" vertical="center"/>
    </xf>
    <xf borderId="174" fillId="7" fontId="12" numFmtId="0" xfId="0" applyAlignment="1" applyBorder="1" applyFont="1">
      <alignment horizontal="center" readingOrder="0" vertical="center"/>
    </xf>
    <xf borderId="174" fillId="7" fontId="12" numFmtId="0" xfId="0" applyAlignment="1" applyBorder="1" applyFont="1">
      <alignment horizontal="center" readingOrder="0"/>
    </xf>
    <xf borderId="175" fillId="7" fontId="12" numFmtId="0" xfId="0" applyAlignment="1" applyBorder="1" applyFont="1">
      <alignment horizontal="center" readingOrder="0" vertical="center"/>
    </xf>
    <xf borderId="11" fillId="2" fontId="12" numFmtId="0" xfId="0" applyAlignment="1" applyBorder="1" applyFont="1">
      <alignment horizontal="center" vertical="center"/>
    </xf>
    <xf borderId="59" fillId="2" fontId="14" numFmtId="0" xfId="0" applyAlignment="1" applyBorder="1" applyFont="1">
      <alignment horizontal="center" readingOrder="0" vertical="center"/>
    </xf>
    <xf borderId="2" fillId="2" fontId="62" numFmtId="0" xfId="0" applyBorder="1" applyFont="1"/>
    <xf borderId="59" fillId="2" fontId="64" numFmtId="2" xfId="0" applyAlignment="1" applyBorder="1" applyFont="1" applyNumberFormat="1">
      <alignment horizontal="center" vertical="center"/>
    </xf>
    <xf borderId="54" fillId="12" fontId="12" numFmtId="0" xfId="0" applyAlignment="1" applyBorder="1" applyFont="1">
      <alignment horizontal="center"/>
    </xf>
    <xf borderId="54" fillId="14" fontId="12" numFmtId="0" xfId="0" applyAlignment="1" applyBorder="1" applyFont="1">
      <alignment horizontal="center"/>
    </xf>
    <xf borderId="54" fillId="13" fontId="12" numFmtId="0" xfId="0" applyAlignment="1" applyBorder="1" applyFont="1">
      <alignment horizontal="center"/>
    </xf>
    <xf borderId="54" fillId="2" fontId="12" numFmtId="0" xfId="0" applyAlignment="1" applyBorder="1" applyFont="1">
      <alignment horizontal="center"/>
    </xf>
    <xf borderId="54" fillId="15" fontId="12" numFmtId="0" xfId="0" applyAlignment="1" applyBorder="1" applyFont="1">
      <alignment horizontal="center"/>
    </xf>
    <xf borderId="54" fillId="13" fontId="12" numFmtId="0" xfId="0" applyAlignment="1" applyBorder="1" applyFont="1">
      <alignment horizontal="center" readingOrder="0"/>
    </xf>
    <xf borderId="54" fillId="12" fontId="12" numFmtId="0" xfId="0" applyAlignment="1" applyBorder="1" applyFont="1">
      <alignment horizontal="center" readingOrder="0"/>
    </xf>
    <xf borderId="54" fillId="14" fontId="12" numFmtId="0" xfId="0" applyAlignment="1" applyBorder="1" applyFont="1">
      <alignment horizontal="center" readingOrder="0"/>
    </xf>
    <xf borderId="120" fillId="2" fontId="5" numFmtId="0" xfId="0" applyAlignment="1" applyBorder="1" applyFont="1">
      <alignment horizontal="center" readingOrder="0" vertical="center"/>
    </xf>
    <xf borderId="57" fillId="2" fontId="9" numFmtId="0" xfId="0" applyAlignment="1" applyBorder="1" applyFont="1">
      <alignment horizontal="center" readingOrder="0" vertical="center"/>
    </xf>
    <xf borderId="176" fillId="6" fontId="120" numFmtId="0" xfId="0" applyAlignment="1" applyBorder="1" applyFont="1">
      <alignment horizontal="center" readingOrder="0" vertical="center"/>
    </xf>
    <xf borderId="177" fillId="6" fontId="121" numFmtId="0" xfId="0" applyAlignment="1" applyBorder="1" applyFont="1">
      <alignment horizontal="center" readingOrder="0" vertical="center"/>
    </xf>
    <xf borderId="178" fillId="6" fontId="122" numFmtId="0" xfId="0" applyAlignment="1" applyBorder="1" applyFont="1">
      <alignment horizontal="center" readingOrder="0"/>
    </xf>
    <xf borderId="179" fillId="6" fontId="123" numFmtId="0" xfId="0" applyAlignment="1" applyBorder="1" applyFont="1">
      <alignment horizontal="center" readingOrder="0"/>
    </xf>
    <xf borderId="30" fillId="6" fontId="31" numFmtId="0" xfId="0" applyBorder="1" applyFont="1"/>
    <xf borderId="0" fillId="6" fontId="12" numFmtId="0" xfId="0" applyAlignment="1" applyFont="1">
      <alignment readingOrder="0"/>
    </xf>
    <xf borderId="14" fillId="6" fontId="124" numFmtId="0" xfId="0" applyAlignment="1" applyBorder="1" applyFont="1">
      <alignment horizontal="center" readingOrder="0" vertical="center"/>
    </xf>
    <xf borderId="47" fillId="6" fontId="12" numFmtId="0" xfId="0" applyAlignment="1" applyBorder="1" applyFont="1">
      <alignment readingOrder="0"/>
    </xf>
    <xf borderId="180" fillId="6" fontId="92" numFmtId="0" xfId="0" applyAlignment="1" applyBorder="1" applyFont="1">
      <alignment horizontal="left" readingOrder="0" vertical="center"/>
    </xf>
    <xf borderId="178" fillId="6" fontId="125" numFmtId="0" xfId="0" applyAlignment="1" applyBorder="1" applyFont="1">
      <alignment horizontal="center" readingOrder="0" vertical="center"/>
    </xf>
    <xf borderId="181" fillId="6" fontId="126" numFmtId="0" xfId="0" applyAlignment="1" applyBorder="1" applyFont="1">
      <alignment horizontal="center" readingOrder="0" vertical="center"/>
    </xf>
    <xf borderId="54" fillId="2" fontId="14" numFmtId="0" xfId="0" applyAlignment="1" applyBorder="1" applyFont="1">
      <alignment horizontal="center" vertical="bottom"/>
    </xf>
    <xf borderId="54" fillId="2" fontId="12" numFmtId="0" xfId="0" applyAlignment="1" applyBorder="1" applyFont="1">
      <alignment horizontal="center" vertical="bottom"/>
    </xf>
    <xf borderId="54" fillId="14" fontId="12" numFmtId="0" xfId="0" applyAlignment="1" applyBorder="1" applyFont="1">
      <alignment horizontal="center" vertical="bottom"/>
    </xf>
    <xf borderId="182" fillId="6" fontId="127" numFmtId="0" xfId="0" applyAlignment="1" applyBorder="1" applyFont="1">
      <alignment horizontal="center" readingOrder="0" vertical="center"/>
    </xf>
    <xf borderId="54" fillId="12" fontId="12" numFmtId="0" xfId="0" applyAlignment="1" applyBorder="1" applyFont="1">
      <alignment horizontal="center" vertical="bottom"/>
    </xf>
    <xf borderId="183" fillId="6" fontId="128" numFmtId="0" xfId="0" applyAlignment="1" applyBorder="1" applyFont="1">
      <alignment horizontal="center" readingOrder="0" vertical="center"/>
    </xf>
    <xf borderId="54" fillId="13" fontId="12" numFmtId="0" xfId="0" applyAlignment="1" applyBorder="1" applyFont="1">
      <alignment horizontal="center" vertical="bottom"/>
    </xf>
    <xf borderId="20" fillId="6" fontId="12" numFmtId="0" xfId="0" applyAlignment="1" applyBorder="1" applyFont="1">
      <alignment readingOrder="0"/>
    </xf>
    <xf borderId="184" fillId="6" fontId="129" numFmtId="0" xfId="0" applyAlignment="1" applyBorder="1" applyFont="1">
      <alignment horizontal="center" readingOrder="0" vertical="center"/>
    </xf>
    <xf borderId="54" fillId="15" fontId="12" numFmtId="0" xfId="0" applyAlignment="1" applyBorder="1" applyFont="1">
      <alignment horizontal="center" vertical="bottom"/>
    </xf>
    <xf borderId="185" fillId="0" fontId="3" numFmtId="0" xfId="0" applyBorder="1" applyFont="1"/>
    <xf borderId="54" fillId="4" fontId="31" numFmtId="0" xfId="0" applyAlignment="1" applyBorder="1" applyFont="1">
      <alignment vertical="bottom"/>
    </xf>
    <xf borderId="186" fillId="2" fontId="9" numFmtId="0" xfId="0" applyAlignment="1" applyBorder="1" applyFont="1">
      <alignment horizontal="center" readingOrder="0" vertical="center"/>
    </xf>
    <xf borderId="44" fillId="6" fontId="130" numFmtId="0" xfId="0" applyAlignment="1" applyBorder="1" applyFont="1">
      <alignment horizontal="center" readingOrder="0" vertical="center"/>
    </xf>
    <xf borderId="187" fillId="7" fontId="12" numFmtId="0" xfId="0" applyAlignment="1" applyBorder="1" applyFont="1">
      <alignment horizontal="center" readingOrder="0" vertical="center"/>
    </xf>
    <xf borderId="159" fillId="6" fontId="131" numFmtId="0" xfId="0" applyAlignment="1" applyBorder="1" applyFont="1">
      <alignment horizontal="center" readingOrder="0" vertical="center"/>
    </xf>
    <xf borderId="188" fillId="7" fontId="12" numFmtId="0" xfId="0" applyAlignment="1" applyBorder="1" applyFont="1">
      <alignment horizontal="center" readingOrder="0" vertical="center"/>
    </xf>
    <xf borderId="59" fillId="2" fontId="64" numFmtId="0" xfId="0" applyAlignment="1" applyBorder="1" applyFont="1">
      <alignment horizontal="center" readingOrder="0" vertical="center"/>
    </xf>
    <xf borderId="59" fillId="2" fontId="66" numFmtId="0" xfId="0" applyAlignment="1" applyBorder="1" applyFont="1">
      <alignment horizontal="center" readingOrder="0" vertical="center"/>
    </xf>
    <xf borderId="120" fillId="2" fontId="5" numFmtId="0" xfId="0" applyAlignment="1" applyBorder="1" applyFont="1">
      <alignment horizontal="right" readingOrder="0" vertical="center"/>
    </xf>
    <xf borderId="3" fillId="2" fontId="132" numFmtId="0" xfId="0" applyAlignment="1" applyBorder="1" applyFont="1">
      <alignment horizontal="left" readingOrder="0" vertical="center"/>
    </xf>
    <xf borderId="120" fillId="2" fontId="133" numFmtId="0" xfId="0" applyAlignment="1" applyBorder="1" applyFont="1">
      <alignment readingOrder="0" vertical="center"/>
    </xf>
    <xf borderId="120" fillId="2" fontId="12" numFmtId="0" xfId="0" applyAlignment="1" applyBorder="1" applyFont="1">
      <alignment horizontal="center" readingOrder="0" vertical="center"/>
    </xf>
    <xf borderId="120" fillId="2" fontId="134" numFmtId="0" xfId="0" applyAlignment="1" applyBorder="1" applyFont="1">
      <alignment horizontal="right" readingOrder="0" vertical="center"/>
    </xf>
    <xf borderId="120" fillId="2" fontId="135" numFmtId="0" xfId="0" applyAlignment="1" applyBorder="1" applyFont="1">
      <alignment readingOrder="0" vertical="center"/>
    </xf>
    <xf borderId="120" fillId="2" fontId="136" numFmtId="0" xfId="0" applyAlignment="1" applyBorder="1" applyFont="1">
      <alignment readingOrder="0" vertical="center"/>
    </xf>
    <xf borderId="120" fillId="2" fontId="133" numFmtId="0" xfId="0" applyAlignment="1" applyBorder="1" applyFont="1">
      <alignment horizontal="right" readingOrder="0" vertical="center"/>
    </xf>
    <xf borderId="166" fillId="2" fontId="1" numFmtId="0" xfId="0" applyAlignment="1" applyBorder="1" applyFont="1">
      <alignment readingOrder="0" vertical="center"/>
    </xf>
    <xf borderId="55" fillId="2" fontId="13" numFmtId="0" xfId="0" applyAlignment="1" applyBorder="1" applyFont="1">
      <alignment horizontal="right" vertical="center"/>
    </xf>
    <xf borderId="56" fillId="2" fontId="9" numFmtId="0" xfId="0" applyAlignment="1" applyBorder="1" applyFont="1">
      <alignment horizontal="center" vertical="center"/>
    </xf>
    <xf borderId="84" fillId="2" fontId="14" numFmtId="0" xfId="0" applyAlignment="1" applyBorder="1" applyFont="1">
      <alignment horizontal="center" readingOrder="0" vertical="center"/>
    </xf>
    <xf borderId="56" fillId="2" fontId="14" numFmtId="0" xfId="0" applyAlignment="1" applyBorder="1" applyFont="1">
      <alignment horizontal="center" readingOrder="0" vertical="center"/>
    </xf>
    <xf borderId="56" fillId="2" fontId="14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readingOrder="0" vertical="center"/>
    </xf>
    <xf borderId="77" fillId="6" fontId="12" numFmtId="0" xfId="0" applyAlignment="1" applyBorder="1" applyFont="1">
      <alignment readingOrder="0" vertical="center"/>
    </xf>
    <xf borderId="77" fillId="6" fontId="29" numFmtId="0" xfId="0" applyAlignment="1" applyBorder="1" applyFont="1">
      <alignment horizontal="right" readingOrder="0" vertical="center"/>
    </xf>
    <xf borderId="77" fillId="6" fontId="92" numFmtId="0" xfId="0" applyAlignment="1" applyBorder="1" applyFont="1">
      <alignment horizontal="left" readingOrder="0" vertical="center"/>
    </xf>
    <xf borderId="77" fillId="6" fontId="137" numFmtId="0" xfId="0" applyAlignment="1" applyBorder="1" applyFont="1">
      <alignment horizontal="center" readingOrder="0" vertical="center"/>
    </xf>
    <xf borderId="189" fillId="0" fontId="12" numFmtId="0" xfId="0" applyAlignment="1" applyBorder="1" applyFont="1">
      <alignment horizontal="center" readingOrder="0" vertical="center"/>
    </xf>
    <xf borderId="43" fillId="6" fontId="12" numFmtId="0" xfId="0" applyAlignment="1" applyBorder="1" applyFont="1">
      <alignment readingOrder="0"/>
    </xf>
    <xf borderId="43" fillId="6" fontId="29" numFmtId="0" xfId="0" applyAlignment="1" applyBorder="1" applyFont="1">
      <alignment horizontal="right" readingOrder="0" vertical="center"/>
    </xf>
    <xf borderId="43" fillId="6" fontId="92" numFmtId="0" xfId="0" applyAlignment="1" applyBorder="1" applyFont="1">
      <alignment horizontal="left" readingOrder="0" vertical="center"/>
    </xf>
    <xf borderId="43" fillId="6" fontId="138" numFmtId="0" xfId="0" applyAlignment="1" applyBorder="1" applyFont="1">
      <alignment horizontal="center" readingOrder="0" vertical="center"/>
    </xf>
    <xf borderId="190" fillId="0" fontId="12" numFmtId="0" xfId="0" applyAlignment="1" applyBorder="1" applyFont="1">
      <alignment horizontal="center" readingOrder="0" vertical="center"/>
    </xf>
    <xf borderId="54" fillId="2" fontId="12" numFmtId="0" xfId="0" applyAlignment="1" applyBorder="1" applyFont="1">
      <alignment horizontal="center" readingOrder="0"/>
    </xf>
    <xf borderId="2" fillId="2" fontId="1" numFmtId="0" xfId="0" applyAlignment="1" applyBorder="1" applyFont="1">
      <alignment vertical="center"/>
    </xf>
    <xf borderId="102" fillId="6" fontId="12" numFmtId="0" xfId="0" applyAlignment="1" applyBorder="1" applyFont="1">
      <alignment vertical="bottom"/>
    </xf>
    <xf borderId="45" fillId="6" fontId="31" numFmtId="0" xfId="0" applyBorder="1" applyFont="1"/>
    <xf borderId="45" fillId="6" fontId="139" numFmtId="0" xfId="0" applyAlignment="1" applyBorder="1" applyFont="1">
      <alignment horizontal="center"/>
    </xf>
    <xf borderId="43" fillId="6" fontId="12" numFmtId="0" xfId="0" applyAlignment="1" applyBorder="1" applyFont="1">
      <alignment vertical="bottom"/>
    </xf>
    <xf borderId="32" fillId="6" fontId="31" numFmtId="0" xfId="0" applyBorder="1" applyFont="1"/>
    <xf borderId="32" fillId="6" fontId="140" numFmtId="0" xfId="0" applyAlignment="1" applyBorder="1" applyFont="1">
      <alignment horizontal="center"/>
    </xf>
    <xf borderId="32" fillId="6" fontId="141" numFmtId="0" xfId="0" applyAlignment="1" applyBorder="1" applyFont="1">
      <alignment horizontal="center" readingOrder="0"/>
    </xf>
    <xf borderId="0" fillId="6" fontId="29" numFmtId="0" xfId="0" applyAlignment="1" applyFont="1">
      <alignment horizontal="right" readingOrder="0" vertical="center"/>
    </xf>
    <xf borderId="0" fillId="6" fontId="92" numFmtId="0" xfId="0" applyAlignment="1" applyFont="1">
      <alignment horizontal="left" readingOrder="0" vertical="center"/>
    </xf>
    <xf borderId="0" fillId="6" fontId="14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54" fillId="2" fontId="14" numFmtId="0" xfId="0" applyAlignment="1" applyBorder="1" applyFont="1">
      <alignment horizontal="center"/>
    </xf>
    <xf borderId="158" fillId="6" fontId="12" numFmtId="0" xfId="0" applyAlignment="1" applyBorder="1" applyFont="1">
      <alignment readingOrder="0"/>
    </xf>
    <xf borderId="158" fillId="6" fontId="29" numFmtId="0" xfId="0" applyAlignment="1" applyBorder="1" applyFont="1">
      <alignment horizontal="right" readingOrder="0" vertical="center"/>
    </xf>
    <xf borderId="158" fillId="6" fontId="92" numFmtId="0" xfId="0" applyAlignment="1" applyBorder="1" applyFont="1">
      <alignment horizontal="left" readingOrder="0" vertical="center"/>
    </xf>
    <xf borderId="158" fillId="6" fontId="143" numFmtId="0" xfId="0" applyAlignment="1" applyBorder="1" applyFont="1">
      <alignment horizontal="center" readingOrder="0" vertical="center"/>
    </xf>
    <xf borderId="32" fillId="6" fontId="12" numFmtId="0" xfId="0" applyAlignment="1" applyBorder="1" applyFont="1">
      <alignment readingOrder="0"/>
    </xf>
    <xf borderId="191" fillId="0" fontId="3" numFmtId="0" xfId="0" applyBorder="1" applyFont="1"/>
    <xf borderId="157" fillId="6" fontId="12" numFmtId="0" xfId="0" applyAlignment="1" applyBorder="1" applyFont="1">
      <alignment readingOrder="0"/>
    </xf>
    <xf borderId="54" fillId="0" fontId="12" numFmtId="0" xfId="0" applyAlignment="1" applyBorder="1" applyFont="1">
      <alignment horizontal="center"/>
    </xf>
    <xf borderId="56" fillId="2" fontId="12" numFmtId="0" xfId="0" applyAlignment="1" applyBorder="1" applyFont="1">
      <alignment horizontal="center" readingOrder="0" vertical="center"/>
    </xf>
    <xf borderId="192" fillId="0" fontId="12" numFmtId="0" xfId="0" applyAlignment="1" applyBorder="1" applyFont="1">
      <alignment horizontal="center" readingOrder="0" vertical="center"/>
    </xf>
    <xf borderId="0" fillId="2" fontId="58" numFmtId="0" xfId="0" applyAlignment="1" applyFont="1">
      <alignment readingOrder="0" textRotation="90" vertical="center"/>
    </xf>
    <xf borderId="193" fillId="2" fontId="6" numFmtId="0" xfId="0" applyAlignment="1" applyBorder="1" applyFont="1">
      <alignment vertical="center"/>
    </xf>
    <xf borderId="193" fillId="2" fontId="72" numFmtId="0" xfId="0" applyAlignment="1" applyBorder="1" applyFont="1">
      <alignment horizontal="left" vertical="center"/>
    </xf>
    <xf borderId="84" fillId="2" fontId="6" numFmtId="0" xfId="0" applyAlignment="1" applyBorder="1" applyFont="1">
      <alignment horizontal="left" vertical="center"/>
    </xf>
    <xf borderId="84" fillId="2" fontId="61" numFmtId="0" xfId="0" applyAlignment="1" applyBorder="1" applyFont="1">
      <alignment horizontal="center" vertical="center"/>
    </xf>
    <xf borderId="84" fillId="2" fontId="12" numFmtId="0" xfId="0" applyAlignment="1" applyBorder="1" applyFont="1">
      <alignment horizontal="center" vertical="center"/>
    </xf>
    <xf borderId="84" fillId="2" fontId="14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vertical="center"/>
    </xf>
    <xf borderId="121" fillId="2" fontId="72" numFmtId="0" xfId="0" applyAlignment="1" applyBorder="1" applyFont="1">
      <alignment horizontal="left" vertical="center"/>
    </xf>
    <xf borderId="121" fillId="2" fontId="6" numFmtId="0" xfId="0" applyAlignment="1" applyBorder="1" applyFont="1">
      <alignment horizontal="left" vertical="center"/>
    </xf>
    <xf borderId="121" fillId="2" fontId="6" numFmtId="0" xfId="0" applyAlignment="1" applyBorder="1" applyFont="1">
      <alignment horizontal="center" vertical="center"/>
    </xf>
    <xf borderId="121" fillId="2" fontId="64" numFmtId="0" xfId="0" applyAlignment="1" applyBorder="1" applyFont="1">
      <alignment horizontal="center" readingOrder="0" vertical="center"/>
    </xf>
    <xf borderId="121" fillId="2" fontId="64" numFmtId="0" xfId="0" applyAlignment="1" applyBorder="1" applyFont="1">
      <alignment horizontal="center" vertical="center"/>
    </xf>
    <xf borderId="121" fillId="2" fontId="64" numFmtId="2" xfId="0" applyAlignment="1" applyBorder="1" applyFont="1" applyNumberFormat="1">
      <alignment horizontal="center" vertical="center"/>
    </xf>
    <xf borderId="16" fillId="2" fontId="72" numFmtId="0" xfId="0" applyAlignment="1" applyBorder="1" applyFont="1">
      <alignment horizontal="left" vertical="center"/>
    </xf>
    <xf borderId="16" fillId="2" fontId="6" numFmtId="0" xfId="0" applyAlignment="1" applyBorder="1" applyFont="1">
      <alignment horizontal="left" vertical="center"/>
    </xf>
    <xf borderId="16" fillId="2" fontId="61" numFmtId="0" xfId="0" applyAlignment="1" applyBorder="1" applyFont="1">
      <alignment horizontal="center" vertical="center"/>
    </xf>
    <xf borderId="16" fillId="2" fontId="14" numFmtId="0" xfId="0" applyAlignment="1" applyBorder="1" applyFont="1">
      <alignment horizontal="center" readingOrder="0" vertical="center"/>
    </xf>
    <xf borderId="16" fillId="2" fontId="14" numFmtId="0" xfId="0" applyAlignment="1" applyBorder="1" applyFont="1">
      <alignment horizontal="center" readingOrder="0" vertical="center"/>
    </xf>
    <xf borderId="7" fillId="2" fontId="72" numFmtId="0" xfId="0" applyAlignment="1" applyBorder="1" applyFont="1">
      <alignment horizontal="left" vertical="center"/>
    </xf>
    <xf borderId="7" fillId="0" fontId="3" numFmtId="0" xfId="0" applyBorder="1" applyFont="1"/>
    <xf borderId="193" fillId="0" fontId="3" numFmtId="0" xfId="0" applyBorder="1" applyFont="1"/>
    <xf borderId="194" fillId="2" fontId="64" numFmtId="0" xfId="0" applyAlignment="1" applyBorder="1" applyFont="1">
      <alignment horizontal="center" readingOrder="0" vertical="center"/>
    </xf>
    <xf borderId="121" fillId="2" fontId="66" numFmtId="0" xfId="0" applyAlignment="1" applyBorder="1" applyFont="1">
      <alignment horizontal="center" readingOrder="0" vertical="center"/>
    </xf>
    <xf borderId="121" fillId="2" fontId="87" numFmtId="0" xfId="0" applyAlignment="1" applyBorder="1" applyFont="1">
      <alignment horizontal="right" vertical="center"/>
    </xf>
    <xf borderId="3" fillId="2" fontId="144" numFmtId="0" xfId="0" applyAlignment="1" applyBorder="1" applyFont="1">
      <alignment horizontal="left" readingOrder="0" vertical="center"/>
    </xf>
    <xf borderId="2" fillId="2" fontId="145" numFmtId="0" xfId="0" applyAlignment="1" applyBorder="1" applyFont="1">
      <alignment horizontal="right" readingOrder="0" vertical="center"/>
    </xf>
    <xf borderId="121" fillId="0" fontId="3" numFmtId="0" xfId="0" applyBorder="1" applyFont="1"/>
    <xf borderId="120" fillId="2" fontId="146" numFmtId="0" xfId="0" applyAlignment="1" applyBorder="1" applyFont="1">
      <alignment readingOrder="0" vertical="center"/>
    </xf>
    <xf borderId="3" fillId="2" fontId="133" numFmtId="0" xfId="0" applyAlignment="1" applyBorder="1" applyFont="1">
      <alignment readingOrder="0" vertical="center"/>
    </xf>
    <xf borderId="121" fillId="2" fontId="133" numFmtId="0" xfId="0" applyAlignment="1" applyBorder="1" applyFont="1">
      <alignment readingOrder="0" vertical="center"/>
    </xf>
    <xf borderId="190" fillId="0" fontId="12" numFmtId="0" xfId="0" applyAlignment="1" applyBorder="1" applyFont="1">
      <alignment horizontal="center" readingOrder="0" shrinkToFit="0" vertical="center" wrapText="0"/>
    </xf>
    <xf borderId="195" fillId="0" fontId="12" numFmtId="0" xfId="0" applyAlignment="1" applyBorder="1" applyFont="1">
      <alignment horizontal="center" readingOrder="0" vertical="center"/>
    </xf>
    <xf borderId="196" fillId="0" fontId="12" numFmtId="0" xfId="0" applyAlignment="1" applyBorder="1" applyFont="1">
      <alignment horizontal="center" readingOrder="0" vertical="center"/>
    </xf>
    <xf borderId="197" fillId="0" fontId="12" numFmtId="0" xfId="0" applyAlignment="1" applyBorder="1" applyFont="1">
      <alignment horizontal="center" readingOrder="0" vertical="center"/>
    </xf>
    <xf borderId="198" fillId="0" fontId="12" numFmtId="0" xfId="0" applyAlignment="1" applyBorder="1" applyFont="1">
      <alignment horizontal="center" readingOrder="0" vertical="center"/>
    </xf>
    <xf borderId="199" fillId="0" fontId="12" numFmtId="0" xfId="0" applyAlignment="1" applyBorder="1" applyFont="1">
      <alignment horizontal="center" readingOrder="0" vertical="center"/>
    </xf>
    <xf borderId="200" fillId="0" fontId="12" numFmtId="0" xfId="0" applyAlignment="1" applyBorder="1" applyFont="1">
      <alignment horizontal="center" readingOrder="0" vertical="center"/>
    </xf>
    <xf borderId="2" fillId="2" fontId="147" numFmtId="0" xfId="0" applyAlignment="1" applyBorder="1" applyFont="1">
      <alignment readingOrder="0" vertical="center"/>
    </xf>
    <xf borderId="2" fillId="2" fontId="133" numFmtId="0" xfId="0" applyAlignment="1" applyBorder="1" applyFont="1">
      <alignment readingOrder="0" vertical="center"/>
    </xf>
    <xf borderId="120" fillId="2" fontId="148" numFmtId="0" xfId="0" applyAlignment="1" applyBorder="1" applyFont="1">
      <alignment readingOrder="0" vertical="center"/>
    </xf>
    <xf borderId="120" fillId="2" fontId="149" numFmtId="0" xfId="0" applyAlignment="1" applyBorder="1" applyFont="1">
      <alignment readingOrder="0" vertical="center"/>
    </xf>
    <xf borderId="121" fillId="2" fontId="9" numFmtId="0" xfId="0" applyAlignment="1" applyBorder="1" applyFont="1">
      <alignment vertical="center"/>
    </xf>
    <xf borderId="55" fillId="2" fontId="90" numFmtId="0" xfId="0" applyAlignment="1" applyBorder="1" applyFont="1">
      <alignment horizontal="left" vertical="center"/>
    </xf>
    <xf borderId="56" fillId="2" fontId="9" numFmtId="0" xfId="0" applyAlignment="1" applyBorder="1" applyFont="1">
      <alignment horizontal="left" vertical="center"/>
    </xf>
    <xf borderId="11" fillId="2" fontId="150" numFmtId="0" xfId="0" applyAlignment="1" applyBorder="1" applyFont="1">
      <alignment horizontal="center" readingOrder="0" vertical="center"/>
    </xf>
    <xf borderId="77" fillId="6" fontId="12" numFmtId="0" xfId="0" applyAlignment="1" applyBorder="1" applyFont="1">
      <alignment horizontal="left" readingOrder="0" vertical="center"/>
    </xf>
    <xf borderId="77" fillId="6" fontId="151" numFmtId="0" xfId="0" applyAlignment="1" applyBorder="1" applyFont="1">
      <alignment horizontal="center" readingOrder="0" vertical="center"/>
    </xf>
    <xf borderId="43" fillId="6" fontId="12" numFmtId="0" xfId="0" applyAlignment="1" applyBorder="1" applyFont="1">
      <alignment horizontal="left" readingOrder="0" vertical="center"/>
    </xf>
    <xf borderId="43" fillId="6" fontId="152" numFmtId="0" xfId="0" applyAlignment="1" applyBorder="1" applyFont="1">
      <alignment horizontal="center" readingOrder="0" vertical="center"/>
    </xf>
    <xf borderId="158" fillId="6" fontId="12" numFmtId="0" xfId="0" applyAlignment="1" applyBorder="1" applyFont="1">
      <alignment horizontal="left" readingOrder="0" vertical="center"/>
    </xf>
    <xf borderId="158" fillId="6" fontId="153" numFmtId="0" xfId="0" applyAlignment="1" applyBorder="1" applyFont="1">
      <alignment horizontal="center" readingOrder="0" vertical="center"/>
    </xf>
    <xf borderId="43" fillId="6" fontId="154" numFmtId="0" xfId="0" applyAlignment="1" applyBorder="1" applyFont="1">
      <alignment horizontal="center" vertical="center"/>
    </xf>
    <xf borderId="169" fillId="5" fontId="15" numFmtId="0" xfId="0" applyAlignment="1" applyBorder="1" applyFont="1">
      <alignment readingOrder="0" vertical="center"/>
    </xf>
    <xf borderId="172" fillId="9" fontId="9" numFmtId="0" xfId="0" applyAlignment="1" applyBorder="1" applyFont="1">
      <alignment readingOrder="0" vertical="center"/>
    </xf>
    <xf borderId="172" fillId="10" fontId="9" numFmtId="0" xfId="0" applyAlignment="1" applyBorder="1" applyFont="1">
      <alignment readingOrder="0" vertical="center"/>
    </xf>
    <xf borderId="43" fillId="6" fontId="155" numFmtId="0" xfId="0" applyAlignment="1" applyBorder="1" applyFont="1">
      <alignment horizontal="left" readingOrder="0" vertical="center"/>
    </xf>
    <xf borderId="0" fillId="2" fontId="156" numFmtId="0" xfId="0" applyAlignment="1" applyFont="1">
      <alignment horizontal="center" readingOrder="0"/>
    </xf>
    <xf borderId="126" fillId="21" fontId="12" numFmtId="0" xfId="0" applyAlignment="1" applyBorder="1" applyFill="1" applyFont="1">
      <alignment readingOrder="0" vertical="center"/>
    </xf>
    <xf borderId="201" fillId="0" fontId="1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128" fillId="9" fontId="12" numFmtId="0" xfId="0" applyBorder="1" applyFont="1"/>
    <xf borderId="128" fillId="10" fontId="12" numFmtId="0" xfId="0" applyAlignment="1" applyBorder="1" applyFont="1">
      <alignment horizontal="center" vertical="center"/>
    </xf>
    <xf borderId="202" fillId="0" fontId="12" numFmtId="0" xfId="0" applyAlignment="1" applyBorder="1" applyFont="1">
      <alignment horizontal="center" readingOrder="0" vertical="center"/>
    </xf>
    <xf borderId="121" fillId="2" fontId="157" numFmtId="0" xfId="0" applyBorder="1" applyFont="1"/>
    <xf borderId="118" fillId="2" fontId="157" numFmtId="0" xfId="0" applyBorder="1" applyFont="1"/>
    <xf borderId="0" fillId="0" fontId="157" numFmtId="0" xfId="0" applyFont="1"/>
    <xf borderId="43" fillId="6" fontId="9" numFmtId="0" xfId="0" applyAlignment="1" applyBorder="1" applyFont="1">
      <alignment horizontal="center" readingOrder="0" vertical="center"/>
    </xf>
    <xf borderId="117" fillId="2" fontId="157" numFmtId="0" xfId="0" applyBorder="1" applyFont="1"/>
    <xf borderId="87" fillId="6" fontId="12" numFmtId="0" xfId="0" applyAlignment="1" applyBorder="1" applyFont="1">
      <alignment readingOrder="0"/>
    </xf>
    <xf borderId="88" fillId="6" fontId="92" numFmtId="0" xfId="0" applyAlignment="1" applyBorder="1" applyFont="1">
      <alignment horizontal="left" readingOrder="0" vertical="center"/>
    </xf>
    <xf borderId="88" fillId="6" fontId="12" numFmtId="0" xfId="0" applyAlignment="1" applyBorder="1" applyFont="1">
      <alignment horizontal="left" readingOrder="0" vertical="center"/>
    </xf>
    <xf borderId="88" fillId="6" fontId="158" numFmtId="0" xfId="0" applyAlignment="1" applyBorder="1" applyFont="1">
      <alignment horizontal="center" readingOrder="0" vertical="center"/>
    </xf>
    <xf borderId="203" fillId="0" fontId="12" numFmtId="0" xfId="0" applyAlignment="1" applyBorder="1" applyFont="1">
      <alignment horizontal="center" readingOrder="0" vertical="center"/>
    </xf>
    <xf borderId="204" fillId="0" fontId="12" numFmtId="0" xfId="0" applyAlignment="1" applyBorder="1" applyFont="1">
      <alignment horizontal="center" readingOrder="0" vertical="center"/>
    </xf>
    <xf borderId="118" fillId="2" fontId="6" numFmtId="0" xfId="0" applyAlignment="1" applyBorder="1" applyFont="1">
      <alignment vertical="center"/>
    </xf>
    <xf borderId="118" fillId="2" fontId="72" numFmtId="0" xfId="0" applyAlignment="1" applyBorder="1" applyFont="1">
      <alignment horizontal="left" vertical="center"/>
    </xf>
    <xf borderId="118" fillId="2" fontId="6" numFmtId="0" xfId="0" applyAlignment="1" applyBorder="1" applyFont="1">
      <alignment horizontal="left" vertical="center"/>
    </xf>
    <xf borderId="124" fillId="2" fontId="4" numFmtId="0" xfId="0" applyAlignment="1" applyBorder="1" applyFont="1">
      <alignment horizontal="center" readingOrder="0" vertical="center"/>
    </xf>
    <xf borderId="124" fillId="2" fontId="159" numFmtId="0" xfId="0" applyAlignment="1" applyBorder="1" applyFont="1">
      <alignment horizontal="center" vertical="center"/>
    </xf>
    <xf borderId="120" fillId="2" fontId="160" numFmtId="0" xfId="0" applyAlignment="1" applyBorder="1" applyFont="1">
      <alignment horizontal="center" readingOrder="0" vertical="center"/>
    </xf>
    <xf borderId="121" fillId="2" fontId="9" numFmtId="0" xfId="0" applyAlignment="1" applyBorder="1" applyFont="1">
      <alignment horizontal="center" vertical="center"/>
    </xf>
    <xf borderId="124" fillId="2" fontId="92" numFmtId="0" xfId="0" applyAlignment="1" applyBorder="1" applyFont="1">
      <alignment readingOrder="0" vertical="center"/>
    </xf>
    <xf borderId="1" fillId="2" fontId="9" numFmtId="0" xfId="0" applyAlignment="1" applyBorder="1" applyFont="1">
      <alignment horizontal="center" readingOrder="0" vertical="center"/>
    </xf>
    <xf borderId="2" fillId="2" fontId="6" numFmtId="0" xfId="0" applyAlignment="1" applyBorder="1" applyFont="1">
      <alignment readingOrder="0" vertical="center"/>
    </xf>
    <xf borderId="54" fillId="4" fontId="6" numFmtId="0" xfId="0" applyAlignment="1" applyBorder="1" applyFont="1">
      <alignment readingOrder="0" vertical="center"/>
    </xf>
    <xf borderId="54" fillId="4" fontId="7" numFmtId="0" xfId="0" applyAlignment="1" applyBorder="1" applyFont="1">
      <alignment horizontal="center" vertical="center"/>
    </xf>
    <xf borderId="205" fillId="4" fontId="7" numFmtId="0" xfId="0" applyAlignment="1" applyBorder="1" applyFont="1">
      <alignment horizontal="center" vertical="center"/>
    </xf>
    <xf borderId="9" fillId="2" fontId="161" numFmtId="0" xfId="0" applyAlignment="1" applyBorder="1" applyFont="1">
      <alignment horizontal="center" vertical="center"/>
    </xf>
    <xf borderId="120" fillId="2" fontId="161" numFmtId="167" xfId="0" applyAlignment="1" applyBorder="1" applyFont="1" applyNumberFormat="1">
      <alignment horizontal="center" vertical="center"/>
    </xf>
    <xf borderId="2" fillId="2" fontId="9" numFmtId="0" xfId="0" applyAlignment="1" applyBorder="1" applyFont="1">
      <alignment readingOrder="0" vertical="center"/>
    </xf>
    <xf borderId="16" fillId="2" fontId="9" numFmtId="0" xfId="0" applyAlignment="1" applyBorder="1" applyFont="1">
      <alignment vertical="center"/>
    </xf>
    <xf borderId="10" fillId="2" fontId="9" numFmtId="0" xfId="0" applyAlignment="1" applyBorder="1" applyFont="1">
      <alignment vertical="center"/>
    </xf>
    <xf borderId="10" fillId="2" fontId="12" numFmtId="0" xfId="0" applyAlignment="1" applyBorder="1" applyFont="1">
      <alignment horizontal="center" vertical="center"/>
    </xf>
    <xf borderId="0" fillId="2" fontId="9" numFmtId="0" xfId="0" applyAlignment="1" applyFont="1">
      <alignment horizontal="center" readingOrder="0" vertical="center"/>
    </xf>
    <xf borderId="206" fillId="2" fontId="9" numFmtId="0" xfId="0" applyAlignment="1" applyBorder="1" applyFont="1">
      <alignment horizontal="center" readingOrder="0" vertical="center"/>
    </xf>
    <xf borderId="23" fillId="0" fontId="3" numFmtId="0" xfId="0" applyBorder="1" applyFont="1"/>
    <xf borderId="25" fillId="2" fontId="161" numFmtId="167" xfId="0" applyAlignment="1" applyBorder="1" applyFont="1" applyNumberFormat="1">
      <alignment horizontal="center" readingOrder="0" vertical="center"/>
    </xf>
    <xf borderId="126" fillId="5" fontId="24" numFmtId="0" xfId="0" applyAlignment="1" applyBorder="1" applyFont="1">
      <alignment readingOrder="0" vertical="center"/>
    </xf>
    <xf borderId="77" fillId="6" fontId="12" numFmtId="0" xfId="0" applyAlignment="1" applyBorder="1" applyFont="1">
      <alignment readingOrder="0"/>
    </xf>
    <xf borderId="77" fillId="6" fontId="9" numFmtId="0" xfId="0" applyBorder="1" applyFont="1"/>
    <xf borderId="77" fillId="6" fontId="162" numFmtId="0" xfId="0" applyAlignment="1" applyBorder="1" applyFont="1">
      <alignment horizontal="center" vertical="center"/>
    </xf>
    <xf borderId="207" fillId="0" fontId="12" numFmtId="0" xfId="0" applyAlignment="1" applyBorder="1" applyFont="1">
      <alignment horizontal="center" readingOrder="0" vertical="center"/>
    </xf>
    <xf borderId="208" fillId="0" fontId="12" numFmtId="0" xfId="0" applyAlignment="1" applyBorder="1" applyFont="1">
      <alignment horizontal="center" vertical="center"/>
    </xf>
    <xf borderId="209" fillId="0" fontId="12" numFmtId="2" xfId="0" applyAlignment="1" applyBorder="1" applyFont="1" applyNumberFormat="1">
      <alignment horizontal="center" vertical="center"/>
    </xf>
    <xf borderId="118" fillId="2" fontId="163" numFmtId="0" xfId="0" applyAlignment="1" applyBorder="1" applyFont="1">
      <alignment horizontal="center" vertical="center"/>
    </xf>
    <xf borderId="67" fillId="6" fontId="12" numFmtId="0" xfId="0" applyAlignment="1" applyBorder="1" applyFont="1">
      <alignment readingOrder="0" vertical="center"/>
    </xf>
    <xf borderId="67" fillId="6" fontId="9" numFmtId="0" xfId="0" applyAlignment="1" applyBorder="1" applyFont="1">
      <alignment readingOrder="0" vertical="center"/>
    </xf>
    <xf borderId="67" fillId="6" fontId="164" numFmtId="0" xfId="0" applyAlignment="1" applyBorder="1" applyFont="1">
      <alignment horizontal="center" vertical="center"/>
    </xf>
    <xf borderId="210" fillId="0" fontId="12" numFmtId="0" xfId="0" applyAlignment="1" applyBorder="1" applyFont="1">
      <alignment horizontal="center" readingOrder="0" vertical="center"/>
    </xf>
    <xf borderId="208" fillId="0" fontId="12" numFmtId="0" xfId="0" applyAlignment="1" applyBorder="1" applyFont="1">
      <alignment horizontal="center" vertical="center"/>
    </xf>
    <xf borderId="211" fillId="0" fontId="12" numFmtId="2" xfId="0" applyAlignment="1" applyBorder="1" applyFont="1" applyNumberFormat="1">
      <alignment horizontal="center" vertical="center"/>
    </xf>
    <xf borderId="121" fillId="2" fontId="165" numFmtId="0" xfId="0" applyAlignment="1" applyBorder="1" applyFont="1">
      <alignment horizontal="center" vertical="center"/>
    </xf>
    <xf borderId="77" fillId="6" fontId="9" numFmtId="0" xfId="0" applyAlignment="1" applyBorder="1" applyFont="1">
      <alignment readingOrder="0"/>
    </xf>
    <xf borderId="102" fillId="6" fontId="12" numFmtId="0" xfId="0" applyAlignment="1" applyBorder="1" applyFont="1">
      <alignment readingOrder="0"/>
    </xf>
    <xf borderId="102" fillId="6" fontId="9" numFmtId="0" xfId="0" applyAlignment="1" applyBorder="1" applyFont="1">
      <alignment readingOrder="0"/>
    </xf>
    <xf borderId="102" fillId="6" fontId="12" numFmtId="0" xfId="0" applyAlignment="1" applyBorder="1" applyFont="1">
      <alignment horizontal="center" readingOrder="0" vertical="center"/>
    </xf>
    <xf borderId="102" fillId="6" fontId="166" numFmtId="0" xfId="0" applyAlignment="1" applyBorder="1" applyFont="1">
      <alignment horizontal="center" vertical="center"/>
    </xf>
    <xf borderId="212" fillId="6" fontId="12" numFmtId="0" xfId="0" applyAlignment="1" applyBorder="1" applyFont="1">
      <alignment readingOrder="0"/>
    </xf>
    <xf borderId="212" fillId="6" fontId="9" numFmtId="0" xfId="0" applyAlignment="1" applyBorder="1" applyFont="1">
      <alignment readingOrder="0"/>
    </xf>
    <xf borderId="212" fillId="6" fontId="12" numFmtId="0" xfId="0" applyAlignment="1" applyBorder="1" applyFont="1">
      <alignment horizontal="center" readingOrder="0" vertical="center"/>
    </xf>
    <xf borderId="212" fillId="6" fontId="167" numFmtId="0" xfId="0" applyAlignment="1" applyBorder="1" applyFont="1">
      <alignment horizontal="center" vertical="center"/>
    </xf>
    <xf borderId="43" fillId="6" fontId="9" numFmtId="0" xfId="0" applyAlignment="1" applyBorder="1" applyFont="1">
      <alignment readingOrder="0"/>
    </xf>
    <xf borderId="212" fillId="6" fontId="9" numFmtId="0" xfId="0" applyBorder="1" applyFont="1"/>
    <xf borderId="102" fillId="6" fontId="9" numFmtId="0" xfId="0" applyBorder="1" applyFont="1"/>
    <xf borderId="212" fillId="6" fontId="12" numFmtId="0" xfId="0" applyAlignment="1" applyBorder="1" applyFont="1">
      <alignment readingOrder="0" vertical="center"/>
    </xf>
    <xf borderId="212" fillId="6" fontId="9" numFmtId="0" xfId="0" applyAlignment="1" applyBorder="1" applyFont="1">
      <alignment readingOrder="0" vertical="center"/>
    </xf>
    <xf borderId="213" fillId="6" fontId="12" numFmtId="0" xfId="0" applyAlignment="1" applyBorder="1" applyFont="1">
      <alignment readingOrder="0"/>
    </xf>
    <xf borderId="213" fillId="6" fontId="9" numFmtId="0" xfId="0" applyAlignment="1" applyBorder="1" applyFont="1">
      <alignment readingOrder="0"/>
    </xf>
    <xf borderId="213" fillId="6" fontId="12" numFmtId="0" xfId="0" applyAlignment="1" applyBorder="1" applyFont="1">
      <alignment horizontal="center" readingOrder="0" vertical="center"/>
    </xf>
    <xf borderId="213" fillId="6" fontId="168" numFmtId="0" xfId="0" applyAlignment="1" applyBorder="1" applyFont="1">
      <alignment horizontal="center" vertical="center"/>
    </xf>
    <xf borderId="208" fillId="0" fontId="12" numFmtId="0" xfId="0" applyAlignment="1" applyBorder="1" applyFont="1">
      <alignment horizontal="center" readingOrder="0" vertical="center"/>
    </xf>
    <xf borderId="190" fillId="0" fontId="12" numFmtId="0" xfId="0" applyAlignment="1" applyBorder="1" applyFont="1">
      <alignment horizontal="center" readingOrder="0" vertical="center"/>
    </xf>
    <xf borderId="2" fillId="2" fontId="9" numFmtId="0" xfId="0" applyAlignment="1" applyBorder="1" applyFont="1">
      <alignment vertical="center"/>
    </xf>
    <xf borderId="43" fillId="6" fontId="12" numFmtId="0" xfId="0" applyAlignment="1" applyBorder="1" applyFont="1">
      <alignment readingOrder="0" vertical="center"/>
    </xf>
    <xf borderId="43" fillId="6" fontId="9" numFmtId="0" xfId="0" applyAlignment="1" applyBorder="1" applyFont="1">
      <alignment readingOrder="0" vertical="center"/>
    </xf>
    <xf borderId="88" fillId="6" fontId="12" numFmtId="0" xfId="0" applyAlignment="1" applyBorder="1" applyFont="1">
      <alignment readingOrder="0" vertical="center"/>
    </xf>
    <xf borderId="88" fillId="6" fontId="9" numFmtId="0" xfId="0" applyAlignment="1" applyBorder="1" applyFont="1">
      <alignment readingOrder="0" vertical="center"/>
    </xf>
    <xf borderId="88" fillId="6" fontId="12" numFmtId="0" xfId="0" applyAlignment="1" applyBorder="1" applyFont="1">
      <alignment horizontal="center" readingOrder="0" vertical="center"/>
    </xf>
    <xf borderId="88" fillId="6" fontId="169" numFmtId="0" xfId="0" applyAlignment="1" applyBorder="1" applyFont="1">
      <alignment horizontal="center" vertical="center"/>
    </xf>
    <xf borderId="198" fillId="0" fontId="12" numFmtId="0" xfId="0" applyAlignment="1" applyBorder="1" applyFont="1">
      <alignment horizontal="center" readingOrder="0" vertical="center"/>
    </xf>
    <xf borderId="214" fillId="0" fontId="12" numFmtId="0" xfId="0" applyAlignment="1" applyBorder="1" applyFont="1">
      <alignment horizontal="center" readingOrder="0" vertical="center"/>
    </xf>
    <xf borderId="215" fillId="0" fontId="12" numFmtId="0" xfId="0" applyAlignment="1" applyBorder="1" applyFont="1">
      <alignment horizontal="center" vertical="center"/>
    </xf>
    <xf borderId="216" fillId="0" fontId="12" numFmtId="2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vertical="center"/>
    </xf>
    <xf borderId="54" fillId="4" fontId="6" numFmtId="0" xfId="0" applyAlignment="1" applyBorder="1" applyFont="1">
      <alignment vertical="center"/>
    </xf>
    <xf borderId="84" fillId="2" fontId="6" numFmtId="0" xfId="0" applyAlignment="1" applyBorder="1" applyFont="1">
      <alignment vertical="center"/>
    </xf>
    <xf borderId="84" fillId="2" fontId="6" numFmtId="0" xfId="0" applyAlignment="1" applyBorder="1" applyFont="1">
      <alignment horizontal="center" vertical="center"/>
    </xf>
    <xf borderId="57" fillId="2" fontId="14" numFmtId="0" xfId="0" applyAlignment="1" applyBorder="1" applyFont="1">
      <alignment horizontal="center" readingOrder="0" vertical="center"/>
    </xf>
    <xf borderId="217" fillId="2" fontId="14" numFmtId="0" xfId="0" applyAlignment="1" applyBorder="1" applyFont="1">
      <alignment horizontal="center" readingOrder="0" vertical="center"/>
    </xf>
    <xf borderId="126" fillId="8" fontId="22" numFmtId="0" xfId="0" applyAlignment="1" applyBorder="1" applyFont="1">
      <alignment readingOrder="0" vertical="center"/>
    </xf>
    <xf borderId="77" fillId="6" fontId="12" numFmtId="0" xfId="0" applyAlignment="1" applyBorder="1" applyFont="1">
      <alignment vertical="bottom"/>
    </xf>
    <xf borderId="66" fillId="6" fontId="157" numFmtId="0" xfId="0" applyAlignment="1" applyBorder="1" applyFont="1">
      <alignment vertical="bottom"/>
    </xf>
    <xf borderId="66" fillId="6" fontId="12" numFmtId="0" xfId="0" applyAlignment="1" applyBorder="1" applyFont="1">
      <alignment horizontal="center" vertical="bottom"/>
    </xf>
    <xf borderId="66" fillId="6" fontId="170" numFmtId="0" xfId="0" applyAlignment="1" applyBorder="1" applyFont="1">
      <alignment horizontal="center"/>
    </xf>
    <xf borderId="189" fillId="0" fontId="12" numFmtId="0" xfId="0" applyAlignment="1" applyBorder="1" applyFont="1">
      <alignment horizontal="center" readingOrder="0" vertical="center"/>
    </xf>
    <xf borderId="218" fillId="0" fontId="12" numFmtId="2" xfId="0" applyAlignment="1" applyBorder="1" applyFont="1" applyNumberFormat="1">
      <alignment horizontal="center" vertical="center"/>
    </xf>
    <xf borderId="43" fillId="6" fontId="12" numFmtId="0" xfId="0" applyBorder="1" applyFont="1"/>
    <xf borderId="32" fillId="6" fontId="157" numFmtId="0" xfId="0" applyBorder="1" applyFont="1"/>
    <xf borderId="32" fillId="6" fontId="12" numFmtId="0" xfId="0" applyAlignment="1" applyBorder="1" applyFont="1">
      <alignment horizontal="center"/>
    </xf>
    <xf borderId="32" fillId="6" fontId="171" numFmtId="0" xfId="0" applyAlignment="1" applyBorder="1" applyFont="1">
      <alignment horizontal="center"/>
    </xf>
    <xf borderId="67" fillId="6" fontId="12" numFmtId="0" xfId="0" applyAlignment="1" applyBorder="1" applyFont="1">
      <alignment vertical="bottom"/>
    </xf>
    <xf borderId="62" fillId="6" fontId="157" numFmtId="0" xfId="0" applyAlignment="1" applyBorder="1" applyFont="1">
      <alignment readingOrder="0" vertical="bottom"/>
    </xf>
    <xf borderId="62" fillId="6" fontId="12" numFmtId="0" xfId="0" applyAlignment="1" applyBorder="1" applyFont="1">
      <alignment horizontal="center"/>
    </xf>
    <xf borderId="62" fillId="6" fontId="172" numFmtId="0" xfId="0" applyAlignment="1" applyBorder="1" applyFont="1">
      <alignment horizontal="center"/>
    </xf>
    <xf borderId="66" fillId="6" fontId="9" numFmtId="0" xfId="0" applyAlignment="1" applyBorder="1" applyFont="1">
      <alignment vertical="bottom"/>
    </xf>
    <xf borderId="66" fillId="6" fontId="12" numFmtId="0" xfId="0" applyAlignment="1" applyBorder="1" applyFont="1">
      <alignment horizontal="center"/>
    </xf>
    <xf borderId="32" fillId="6" fontId="157" numFmtId="0" xfId="0" applyAlignment="1" applyBorder="1" applyFont="1">
      <alignment vertical="bottom"/>
    </xf>
    <xf borderId="212" fillId="6" fontId="12" numFmtId="0" xfId="0" applyAlignment="1" applyBorder="1" applyFont="1">
      <alignment vertical="bottom"/>
    </xf>
    <xf borderId="219" fillId="6" fontId="157" numFmtId="0" xfId="0" applyAlignment="1" applyBorder="1" applyFont="1">
      <alignment vertical="bottom"/>
    </xf>
    <xf borderId="219" fillId="6" fontId="12" numFmtId="0" xfId="0" applyAlignment="1" applyBorder="1" applyFont="1">
      <alignment horizontal="center" vertical="bottom"/>
    </xf>
    <xf borderId="219" fillId="6" fontId="173" numFmtId="0" xfId="0" applyAlignment="1" applyBorder="1" applyFont="1">
      <alignment horizontal="center" vertical="bottom"/>
    </xf>
    <xf borderId="66" fillId="6" fontId="174" numFmtId="0" xfId="0" applyAlignment="1" applyBorder="1" applyFont="1">
      <alignment horizontal="center" vertical="bottom"/>
    </xf>
    <xf borderId="32" fillId="6" fontId="157" numFmtId="0" xfId="0" applyAlignment="1" applyBorder="1" applyFont="1">
      <alignment readingOrder="0" vertical="bottom"/>
    </xf>
    <xf borderId="88" fillId="6" fontId="12" numFmtId="0" xfId="0" applyAlignment="1" applyBorder="1" applyFont="1">
      <alignment vertical="bottom"/>
    </xf>
    <xf borderId="87" fillId="6" fontId="157" numFmtId="0" xfId="0" applyAlignment="1" applyBorder="1" applyFont="1">
      <alignment vertical="bottom"/>
    </xf>
    <xf borderId="87" fillId="6" fontId="12" numFmtId="0" xfId="0" applyAlignment="1" applyBorder="1" applyFont="1">
      <alignment horizontal="center" vertical="bottom"/>
    </xf>
    <xf borderId="87" fillId="6" fontId="175" numFmtId="0" xfId="0" applyAlignment="1" applyBorder="1" applyFont="1">
      <alignment horizontal="center"/>
    </xf>
    <xf borderId="77" fillId="6" fontId="12" numFmtId="0" xfId="0" applyBorder="1" applyFont="1"/>
    <xf borderId="66" fillId="6" fontId="157" numFmtId="0" xfId="0" applyBorder="1" applyFont="1"/>
    <xf borderId="88" fillId="6" fontId="12" numFmtId="0" xfId="0" applyBorder="1" applyFont="1"/>
    <xf borderId="87" fillId="6" fontId="157" numFmtId="0" xfId="0" applyBorder="1" applyFont="1"/>
    <xf borderId="87" fillId="6" fontId="12" numFmtId="0" xfId="0" applyAlignment="1" applyBorder="1" applyFont="1">
      <alignment horizontal="center"/>
    </xf>
    <xf borderId="87" fillId="6" fontId="176" numFmtId="0" xfId="0" applyAlignment="1" applyBorder="1" applyFont="1">
      <alignment horizontal="center"/>
    </xf>
    <xf borderId="66" fillId="6" fontId="157" numFmtId="0" xfId="0" applyAlignment="1" applyBorder="1" applyFont="1">
      <alignment readingOrder="0" vertical="bottom"/>
    </xf>
    <xf borderId="87" fillId="6" fontId="9" numFmtId="0" xfId="0" applyAlignment="1" applyBorder="1" applyFont="1">
      <alignment vertical="bottom"/>
    </xf>
    <xf borderId="45" fillId="6" fontId="157" numFmtId="0" xfId="0" applyAlignment="1" applyBorder="1" applyFont="1">
      <alignment vertical="bottom"/>
    </xf>
    <xf borderId="45" fillId="6" fontId="177" numFmtId="0" xfId="0" applyAlignment="1" applyBorder="1" applyFont="1">
      <alignment horizontal="center" vertical="bottom"/>
    </xf>
    <xf borderId="88" fillId="6" fontId="12" numFmtId="0" xfId="0" applyAlignment="1" applyBorder="1" applyFont="1">
      <alignment readingOrder="0" vertical="bottom"/>
    </xf>
    <xf borderId="87" fillId="6" fontId="157" numFmtId="0" xfId="0" applyAlignment="1" applyBorder="1" applyFont="1">
      <alignment vertical="bottom"/>
    </xf>
    <xf borderId="87" fillId="6" fontId="178" numFmtId="0" xfId="0" applyAlignment="1" applyBorder="1" applyFont="1">
      <alignment horizontal="center" vertical="bottom"/>
    </xf>
    <xf borderId="32" fillId="6" fontId="179" numFmtId="0" xfId="0" applyAlignment="1" applyBorder="1" applyFont="1">
      <alignment horizontal="center" vertical="bottom"/>
    </xf>
    <xf borderId="87" fillId="6" fontId="157" numFmtId="0" xfId="0" applyAlignment="1" applyBorder="1" applyFont="1">
      <alignment readingOrder="0"/>
    </xf>
    <xf borderId="220" fillId="4" fontId="12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77" fillId="6" fontId="9" numFmtId="0" xfId="0" applyAlignment="1" applyBorder="1" applyFont="1">
      <alignment readingOrder="0" vertical="center"/>
    </xf>
    <xf borderId="102" fillId="6" fontId="12" numFmtId="0" xfId="0" applyAlignment="1" applyBorder="1" applyFont="1">
      <alignment readingOrder="0" vertical="center"/>
    </xf>
    <xf borderId="102" fillId="6" fontId="9" numFmtId="0" xfId="0" applyAlignment="1" applyBorder="1" applyFont="1">
      <alignment readingOrder="0" vertical="center"/>
    </xf>
    <xf borderId="221" fillId="6" fontId="12" numFmtId="0" xfId="0" applyAlignment="1" applyBorder="1" applyFont="1">
      <alignment readingOrder="0" vertical="center"/>
    </xf>
    <xf borderId="221" fillId="6" fontId="9" numFmtId="0" xfId="0" applyAlignment="1" applyBorder="1" applyFont="1">
      <alignment readingOrder="0" vertical="center"/>
    </xf>
    <xf borderId="221" fillId="6" fontId="12" numFmtId="0" xfId="0" applyAlignment="1" applyBorder="1" applyFont="1">
      <alignment horizontal="center" readingOrder="0" vertical="center"/>
    </xf>
    <xf borderId="221" fillId="6" fontId="180" numFmtId="0" xfId="0" applyAlignment="1" applyBorder="1" applyFont="1">
      <alignment horizontal="center" vertical="center"/>
    </xf>
    <xf borderId="222" fillId="6" fontId="12" numFmtId="0" xfId="0" applyAlignment="1" applyBorder="1" applyFont="1">
      <alignment readingOrder="0" vertical="center"/>
    </xf>
    <xf borderId="222" fillId="6" fontId="9" numFmtId="0" xfId="0" applyAlignment="1" applyBorder="1" applyFont="1">
      <alignment readingOrder="0" vertical="center"/>
    </xf>
    <xf borderId="222" fillId="6" fontId="12" numFmtId="0" xfId="0" applyAlignment="1" applyBorder="1" applyFont="1">
      <alignment horizontal="center" readingOrder="0" vertical="center"/>
    </xf>
    <xf borderId="222" fillId="6" fontId="181" numFmtId="0" xfId="0" applyAlignment="1" applyBorder="1" applyFont="1">
      <alignment horizontal="center" vertical="center"/>
    </xf>
    <xf borderId="141" fillId="6" fontId="12" numFmtId="0" xfId="0" applyAlignment="1" applyBorder="1" applyFont="1">
      <alignment readingOrder="0" vertical="center"/>
    </xf>
    <xf borderId="141" fillId="6" fontId="13" numFmtId="0" xfId="0" applyAlignment="1" applyBorder="1" applyFont="1">
      <alignment readingOrder="0" vertical="center"/>
    </xf>
    <xf borderId="141" fillId="6" fontId="12" numFmtId="0" xfId="0" applyAlignment="1" applyBorder="1" applyFont="1">
      <alignment horizontal="center" readingOrder="0" vertical="center"/>
    </xf>
    <xf borderId="141" fillId="6" fontId="12" numFmtId="0" xfId="0" applyAlignment="1" applyBorder="1" applyFont="1">
      <alignment horizontal="center" vertical="center"/>
    </xf>
    <xf borderId="141" fillId="6" fontId="182" numFmtId="0" xfId="0" applyAlignment="1" applyBorder="1" applyFont="1">
      <alignment horizontal="center" vertical="center"/>
    </xf>
    <xf borderId="126" fillId="5" fontId="9" numFmtId="0" xfId="0" applyAlignment="1" applyBorder="1" applyFont="1">
      <alignment readingOrder="0" vertical="center"/>
    </xf>
    <xf borderId="215" fillId="0" fontId="12" numFmtId="0" xfId="0" applyAlignment="1" applyBorder="1" applyFont="1">
      <alignment horizontal="center" readingOrder="0" vertical="center"/>
    </xf>
    <xf borderId="223" fillId="2" fontId="14" numFmtId="0" xfId="0" applyAlignment="1" applyBorder="1" applyFont="1">
      <alignment horizontal="center" readingOrder="0" vertical="center"/>
    </xf>
    <xf borderId="66" fillId="6" fontId="12" numFmtId="0" xfId="0" applyAlignment="1" applyBorder="1" applyFont="1">
      <alignment readingOrder="0" vertical="center"/>
    </xf>
    <xf borderId="78" fillId="6" fontId="183" numFmtId="0" xfId="0" applyAlignment="1" applyBorder="1" applyFont="1">
      <alignment horizontal="center" vertical="center"/>
    </xf>
    <xf borderId="45" fillId="6" fontId="12" numFmtId="0" xfId="0" applyAlignment="1" applyBorder="1" applyFont="1">
      <alignment readingOrder="0" vertical="center"/>
    </xf>
    <xf borderId="224" fillId="6" fontId="184" numFmtId="0" xfId="0" applyAlignment="1" applyBorder="1" applyFont="1">
      <alignment horizontal="center" vertical="center"/>
    </xf>
    <xf borderId="225" fillId="6" fontId="12" numFmtId="0" xfId="0" applyAlignment="1" applyBorder="1" applyFont="1">
      <alignment readingOrder="0" vertical="center"/>
    </xf>
    <xf borderId="226" fillId="6" fontId="185" numFmtId="0" xfId="0" applyAlignment="1" applyBorder="1" applyFont="1">
      <alignment horizontal="center" vertical="center"/>
    </xf>
    <xf borderId="227" fillId="6" fontId="12" numFmtId="0" xfId="0" applyAlignment="1" applyBorder="1" applyFont="1">
      <alignment readingOrder="0" vertical="center"/>
    </xf>
    <xf borderId="228" fillId="6" fontId="186" numFmtId="0" xfId="0" applyAlignment="1" applyBorder="1" applyFont="1">
      <alignment horizontal="center" vertical="center"/>
    </xf>
    <xf borderId="128" fillId="9" fontId="9" numFmtId="0" xfId="0" applyAlignment="1" applyBorder="1" applyFont="1">
      <alignment readingOrder="0" vertical="center"/>
    </xf>
    <xf borderId="128" fillId="10" fontId="9" numFmtId="0" xfId="0" applyAlignment="1" applyBorder="1" applyFont="1">
      <alignment readingOrder="0" vertical="center"/>
    </xf>
    <xf borderId="219" fillId="6" fontId="12" numFmtId="0" xfId="0" applyAlignment="1" applyBorder="1" applyFont="1">
      <alignment readingOrder="0" vertical="center"/>
    </xf>
    <xf borderId="212" fillId="6" fontId="13" numFmtId="0" xfId="0" applyAlignment="1" applyBorder="1" applyFont="1">
      <alignment readingOrder="0" vertical="center"/>
    </xf>
    <xf borderId="212" fillId="6" fontId="12" numFmtId="0" xfId="0" applyAlignment="1" applyBorder="1" applyFont="1">
      <alignment horizontal="center" vertical="center"/>
    </xf>
    <xf borderId="229" fillId="6" fontId="187" numFmtId="0" xfId="0" applyAlignment="1" applyBorder="1" applyFont="1">
      <alignment horizontal="center" vertical="center"/>
    </xf>
    <xf borderId="117" fillId="2" fontId="9" numFmtId="0" xfId="0" applyAlignment="1" applyBorder="1" applyFont="1">
      <alignment horizontal="center" vertical="center"/>
    </xf>
    <xf borderId="117" fillId="2" fontId="12" numFmtId="0" xfId="0" applyAlignment="1" applyBorder="1" applyFont="1">
      <alignment horizontal="center" vertical="center"/>
    </xf>
    <xf borderId="166" fillId="2" fontId="9" numFmtId="0" xfId="0" applyAlignment="1" applyBorder="1" applyFont="1">
      <alignment horizontal="center" vertical="center"/>
    </xf>
    <xf borderId="117" fillId="2" fontId="9" numFmtId="167" xfId="0" applyAlignment="1" applyBorder="1" applyFont="1" applyNumberFormat="1">
      <alignment horizontal="center" vertical="center"/>
    </xf>
    <xf borderId="0" fillId="2" fontId="9" numFmtId="0" xfId="0" applyAlignment="1" applyFont="1">
      <alignment vertical="center"/>
    </xf>
    <xf borderId="0" fillId="2" fontId="9" numFmtId="0" xfId="0" applyAlignment="1" applyFont="1">
      <alignment horizontal="center" vertical="center"/>
    </xf>
    <xf borderId="0" fillId="2" fontId="9" numFmtId="2" xfId="0" applyAlignment="1" applyFont="1" applyNumberFormat="1">
      <alignment horizontal="center" vertical="center"/>
    </xf>
    <xf borderId="2" fillId="2" fontId="9" numFmtId="0" xfId="0" applyAlignment="1" applyBorder="1" applyFont="1">
      <alignment horizontal="center" vertical="center"/>
    </xf>
    <xf borderId="230" fillId="2" fontId="4" numFmtId="0" xfId="0" applyAlignment="1" applyBorder="1" applyFont="1">
      <alignment horizontal="center" readingOrder="0" vertical="center"/>
    </xf>
    <xf borderId="231" fillId="0" fontId="3" numFmtId="0" xfId="0" applyBorder="1" applyFont="1"/>
    <xf borderId="232" fillId="2" fontId="4" numFmtId="0" xfId="0" applyAlignment="1" applyBorder="1" applyFont="1">
      <alignment horizontal="center" readingOrder="0" vertical="center"/>
    </xf>
    <xf borderId="124" fillId="2" fontId="9" numFmtId="0" xfId="0" applyAlignment="1" applyBorder="1" applyFont="1">
      <alignment horizontal="center" readingOrder="0" vertical="center"/>
    </xf>
    <xf borderId="233" fillId="0" fontId="3" numFmtId="0" xfId="0" applyBorder="1" applyFont="1"/>
    <xf borderId="234" fillId="0" fontId="3" numFmtId="0" xfId="0" applyBorder="1" applyFont="1"/>
    <xf borderId="126" fillId="4" fontId="7" numFmtId="0" xfId="0" applyAlignment="1" applyBorder="1" applyFont="1">
      <alignment readingOrder="0" vertical="center"/>
    </xf>
    <xf borderId="235" fillId="2" fontId="188" numFmtId="0" xfId="0" applyAlignment="1" applyBorder="1" applyFont="1">
      <alignment horizontal="center" readingOrder="0" vertical="center"/>
    </xf>
    <xf borderId="232" fillId="2" fontId="160" numFmtId="0" xfId="0" applyAlignment="1" applyBorder="1" applyFont="1">
      <alignment horizontal="center" vertical="center"/>
    </xf>
    <xf borderId="236" fillId="2" fontId="9" numFmtId="0" xfId="0" applyAlignment="1" applyBorder="1" applyFont="1">
      <alignment vertical="center"/>
    </xf>
    <xf borderId="237" fillId="2" fontId="9" numFmtId="0" xfId="0" applyAlignment="1" applyBorder="1" applyFont="1">
      <alignment vertical="center"/>
    </xf>
    <xf borderId="237" fillId="2" fontId="12" numFmtId="0" xfId="0" applyAlignment="1" applyBorder="1" applyFont="1">
      <alignment horizontal="center" vertical="center"/>
    </xf>
    <xf borderId="238" fillId="2" fontId="9" numFmtId="0" xfId="0" applyAlignment="1" applyBorder="1" applyFont="1">
      <alignment horizontal="center" vertical="center"/>
    </xf>
    <xf borderId="239" fillId="0" fontId="3" numFmtId="0" xfId="0" applyBorder="1" applyFont="1"/>
    <xf borderId="232" fillId="2" fontId="188" numFmtId="0" xfId="0" applyAlignment="1" applyBorder="1" applyFont="1">
      <alignment horizontal="center" readingOrder="0" vertical="center"/>
    </xf>
    <xf borderId="232" fillId="2" fontId="160" numFmtId="0" xfId="0" applyAlignment="1" applyBorder="1" applyFont="1">
      <alignment horizontal="center" readingOrder="0" vertical="center"/>
    </xf>
    <xf borderId="232" fillId="2" fontId="12" numFmtId="0" xfId="0" applyAlignment="1" applyBorder="1" applyFont="1">
      <alignment horizontal="center" vertical="center"/>
    </xf>
    <xf borderId="232" fillId="2" fontId="12" numFmtId="0" xfId="0" applyAlignment="1" applyBorder="1" applyFont="1">
      <alignment horizontal="center" readingOrder="0" vertical="center"/>
    </xf>
    <xf borderId="121" fillId="2" fontId="189" numFmtId="0" xfId="0" applyAlignment="1" applyBorder="1" applyFont="1">
      <alignment vertical="center"/>
    </xf>
    <xf borderId="74" fillId="6" fontId="190" numFmtId="0" xfId="0" applyAlignment="1" applyBorder="1" applyFont="1">
      <alignment horizontal="center" vertical="center"/>
    </xf>
    <xf borderId="44" fillId="6" fontId="191" numFmtId="0" xfId="0" applyAlignment="1" applyBorder="1" applyFont="1">
      <alignment horizontal="center" vertical="center"/>
    </xf>
    <xf borderId="240" fillId="6" fontId="192" numFmtId="0" xfId="0" applyAlignment="1" applyBorder="1" applyFont="1">
      <alignment horizontal="center" vertical="center"/>
    </xf>
    <xf borderId="89" fillId="6" fontId="193" numFmtId="0" xfId="0" applyAlignment="1" applyBorder="1" applyFont="1">
      <alignment horizontal="center" vertical="center"/>
    </xf>
    <xf borderId="223" fillId="2" fontId="6" numFmtId="0" xfId="0" applyAlignment="1" applyBorder="1" applyFont="1">
      <alignment horizontal="center" vertical="center"/>
    </xf>
    <xf borderId="232" fillId="2" fontId="194" numFmtId="0" xfId="0" applyAlignment="1" applyBorder="1" applyFont="1">
      <alignment horizontal="center" readingOrder="0" vertical="center"/>
    </xf>
    <xf borderId="232" fillId="2" fontId="194" numFmtId="0" xfId="0" applyAlignment="1" applyBorder="1" applyFont="1">
      <alignment horizontal="center" vertical="center"/>
    </xf>
    <xf borderId="64" fillId="6" fontId="195" numFmtId="0" xfId="0" applyAlignment="1" applyBorder="1" applyFont="1">
      <alignment horizontal="center"/>
    </xf>
    <xf borderId="29" fillId="6" fontId="196" numFmtId="0" xfId="0" applyAlignment="1" applyBorder="1" applyFont="1">
      <alignment horizontal="center"/>
    </xf>
    <xf borderId="0" fillId="6" fontId="197" numFmtId="0" xfId="0" applyAlignment="1" applyFont="1">
      <alignment horizontal="center"/>
    </xf>
    <xf borderId="241" fillId="6" fontId="198" numFmtId="0" xfId="0" applyAlignment="1" applyBorder="1" applyFont="1">
      <alignment horizontal="center" vertical="bottom"/>
    </xf>
    <xf borderId="64" fillId="6" fontId="199" numFmtId="0" xfId="0" applyAlignment="1" applyBorder="1" applyFont="1">
      <alignment horizontal="center" vertical="bottom"/>
    </xf>
    <xf borderId="19" fillId="6" fontId="200" numFmtId="0" xfId="0" applyAlignment="1" applyBorder="1" applyFont="1">
      <alignment horizontal="center"/>
    </xf>
    <xf borderId="19" fillId="6" fontId="201" numFmtId="0" xfId="0" applyAlignment="1" applyBorder="1" applyFont="1">
      <alignment horizontal="center"/>
    </xf>
    <xf borderId="47" fillId="6" fontId="202" numFmtId="0" xfId="0" applyAlignment="1" applyBorder="1" applyFont="1">
      <alignment horizontal="center" vertical="bottom"/>
    </xf>
    <xf borderId="19" fillId="6" fontId="203" numFmtId="0" xfId="0" applyAlignment="1" applyBorder="1" applyFont="1">
      <alignment horizontal="center" vertical="bottom"/>
    </xf>
    <xf borderId="29" fillId="6" fontId="204" numFmtId="0" xfId="0" applyAlignment="1" applyBorder="1" applyFont="1">
      <alignment horizontal="center" vertical="bottom"/>
    </xf>
    <xf borderId="232" fillId="2" fontId="31" numFmtId="0" xfId="0" applyBorder="1" applyFont="1"/>
    <xf borderId="232" fillId="2" fontId="205" numFmtId="0" xfId="0" applyAlignment="1" applyBorder="1" applyFont="1">
      <alignment horizontal="center" vertical="center"/>
    </xf>
    <xf borderId="11" fillId="2" fontId="9" numFmtId="0" xfId="0" applyAlignment="1" applyBorder="1" applyFont="1">
      <alignment horizontal="center" vertical="center"/>
    </xf>
    <xf borderId="232" fillId="2" fontId="194" numFmtId="0" xfId="0" applyAlignment="1" applyBorder="1" applyFont="1">
      <alignment horizontal="center"/>
    </xf>
    <xf borderId="103" fillId="6" fontId="206" numFmtId="0" xfId="0" applyAlignment="1" applyBorder="1" applyFont="1">
      <alignment horizontal="center" vertical="center"/>
    </xf>
    <xf borderId="232" fillId="2" fontId="9" numFmtId="0" xfId="0" applyAlignment="1" applyBorder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237" fillId="2" fontId="9" numFmtId="0" xfId="0" applyAlignment="1" applyBorder="1" applyFont="1">
      <alignment horizontal="center" vertical="center"/>
    </xf>
    <xf borderId="238" fillId="2" fontId="9" numFmtId="0" xfId="0" applyAlignment="1" applyBorder="1" applyFont="1">
      <alignment horizontal="center" readingOrder="0" vertical="center"/>
    </xf>
    <xf borderId="242" fillId="0" fontId="3" numFmtId="0" xfId="0" applyBorder="1" applyFont="1"/>
    <xf borderId="236" fillId="0" fontId="3" numFmtId="0" xfId="0" applyBorder="1" applyFont="1"/>
    <xf borderId="189" fillId="0" fontId="12" numFmtId="0" xfId="0" applyAlignment="1" applyBorder="1" applyFont="1">
      <alignment horizontal="center" vertical="center"/>
    </xf>
    <xf borderId="218" fillId="0" fontId="12" numFmtId="0" xfId="0" applyAlignment="1" applyBorder="1" applyFont="1">
      <alignment horizontal="center" vertical="center"/>
    </xf>
    <xf borderId="190" fillId="0" fontId="12" numFmtId="0" xfId="0" applyAlignment="1" applyBorder="1" applyFont="1">
      <alignment horizontal="center" vertical="center"/>
    </xf>
    <xf borderId="211" fillId="0" fontId="12" numFmtId="0" xfId="0" applyAlignment="1" applyBorder="1" applyFont="1">
      <alignment horizontal="center" vertical="center"/>
    </xf>
    <xf borderId="198" fillId="0" fontId="12" numFmtId="0" xfId="0" applyAlignment="1" applyBorder="1" applyFont="1">
      <alignment horizontal="center" vertical="center"/>
    </xf>
    <xf borderId="216" fillId="0" fontId="12" numFmtId="0" xfId="0" applyAlignment="1" applyBorder="1" applyFont="1">
      <alignment horizontal="center" vertical="center"/>
    </xf>
    <xf borderId="56" fillId="2" fontId="194" numFmtId="0" xfId="0" applyAlignment="1" applyBorder="1" applyFont="1">
      <alignment horizontal="center" readingOrder="0" vertical="center"/>
    </xf>
    <xf borderId="5" fillId="4" fontId="205" numFmtId="0" xfId="0" applyAlignment="1" applyBorder="1" applyFont="1">
      <alignment horizontal="center" vertical="center"/>
    </xf>
    <xf borderId="84" fillId="2" fontId="194" numFmtId="0" xfId="0" applyAlignment="1" applyBorder="1" applyFont="1">
      <alignment horizontal="center" readingOrder="0" vertical="center"/>
    </xf>
    <xf borderId="2" fillId="2" fontId="12" numFmtId="0" xfId="0" applyAlignment="1" applyBorder="1" applyFont="1">
      <alignment readingOrder="0" vertical="center"/>
    </xf>
    <xf borderId="190" fillId="0" fontId="62" numFmtId="0" xfId="0" applyBorder="1" applyFont="1"/>
    <xf borderId="66" fillId="6" fontId="31" numFmtId="0" xfId="0" applyAlignment="1" applyBorder="1" applyFont="1">
      <alignment vertical="bottom"/>
    </xf>
    <xf borderId="62" fillId="6" fontId="31" numFmtId="0" xfId="0" applyAlignment="1" applyBorder="1" applyFont="1">
      <alignment readingOrder="0" vertical="bottom"/>
    </xf>
    <xf borderId="32" fillId="6" fontId="31" numFmtId="0" xfId="0" applyAlignment="1" applyBorder="1" applyFont="1">
      <alignment vertical="bottom"/>
    </xf>
    <xf borderId="219" fillId="6" fontId="31" numFmtId="0" xfId="0" applyAlignment="1" applyBorder="1" applyFont="1">
      <alignment vertical="bottom"/>
    </xf>
    <xf borderId="32" fillId="6" fontId="31" numFmtId="0" xfId="0" applyAlignment="1" applyBorder="1" applyFont="1">
      <alignment readingOrder="0" vertical="bottom"/>
    </xf>
    <xf borderId="87" fillId="6" fontId="31" numFmtId="0" xfId="0" applyAlignment="1" applyBorder="1" applyFont="1">
      <alignment vertical="bottom"/>
    </xf>
    <xf borderId="66" fillId="6" fontId="31" numFmtId="0" xfId="0" applyBorder="1" applyFont="1"/>
    <xf borderId="87" fillId="6" fontId="31" numFmtId="0" xfId="0" applyBorder="1" applyFont="1"/>
    <xf borderId="66" fillId="6" fontId="31" numFmtId="0" xfId="0" applyAlignment="1" applyBorder="1" applyFont="1">
      <alignment readingOrder="0" vertical="bottom"/>
    </xf>
    <xf borderId="45" fillId="6" fontId="31" numFmtId="0" xfId="0" applyAlignment="1" applyBorder="1" applyFont="1">
      <alignment vertical="bottom"/>
    </xf>
    <xf borderId="87" fillId="6" fontId="31" numFmtId="0" xfId="0" applyAlignment="1" applyBorder="1" applyFont="1">
      <alignment vertical="bottom"/>
    </xf>
    <xf borderId="87" fillId="6" fontId="31" numFmtId="0" xfId="0" applyAlignment="1" applyBorder="1" applyFon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8FE6C2"/>
          <bgColor rgb="FF8FE6C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8A34"/>
          <bgColor rgb="FFFF8A34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174</xdr:row>
      <xdr:rowOff>0</xdr:rowOff>
    </xdr:from>
    <xdr:ext cx="2667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71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71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71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234</xdr:row>
      <xdr:rowOff>0</xdr:rowOff>
    </xdr:from>
    <xdr:ext cx="2667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1809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619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2286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2667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102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126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138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150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166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117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117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117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133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133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133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149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149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149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165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165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165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181</xdr:row>
      <xdr:rowOff>0</xdr:rowOff>
    </xdr:from>
    <xdr:ext cx="1809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181</xdr:row>
      <xdr:rowOff>0</xdr:rowOff>
    </xdr:from>
    <xdr:ext cx="16192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181</xdr:row>
      <xdr:rowOff>0</xdr:rowOff>
    </xdr:from>
    <xdr:ext cx="228600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206</xdr:row>
      <xdr:rowOff>0</xdr:rowOff>
    </xdr:from>
    <xdr:ext cx="266700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rthstone.blizzard.com/fr-fr/cards/91251-death-growl?class=deathknight&amp;set=festival-of-legends" TargetMode="External"/><Relationship Id="rId42" Type="http://schemas.openxmlformats.org/officeDocument/2006/relationships/hyperlink" Target="https://hearthstone.blizzard.com/fr-fr/cards/91232-arcanite-ripper?class=deathknight&amp;set=festival-of-legends" TargetMode="External"/><Relationship Id="rId41" Type="http://schemas.openxmlformats.org/officeDocument/2006/relationships/hyperlink" Target="https://hearthstone.blizzard.com/fr-fr/cards/90484-death-metal-knight?class=deathknight&amp;set=festival-of-legends" TargetMode="External"/><Relationship Id="rId44" Type="http://schemas.openxmlformats.org/officeDocument/2006/relationships/hyperlink" Target="https://hearthstone.blizzard.com/fr-fr/cards/91493-boneshredder?class=deathknight&amp;set=festival-of-legends" TargetMode="External"/><Relationship Id="rId43" Type="http://schemas.openxmlformats.org/officeDocument/2006/relationships/hyperlink" Target="https://hearthstone.blizzard.com/fr-fr/cards/90481-screaming-banshee?class=deathknight&amp;set=festival-of-legends" TargetMode="External"/><Relationship Id="rId46" Type="http://schemas.openxmlformats.org/officeDocument/2006/relationships/hyperlink" Target="https://hearthstone.blizzard.com/fr-fr/cards/97532-climactic-necrotic-explosion?class=deathknight&amp;set=festival-of-legends" TargetMode="External"/><Relationship Id="rId45" Type="http://schemas.openxmlformats.org/officeDocument/2006/relationships/hyperlink" Target="https://hearthstone.blizzard.com/fr-fr/cards/90497-cage-head?class=deathknight&amp;set=festival-of-legends" TargetMode="External"/><Relationship Id="rId107" Type="http://schemas.openxmlformats.org/officeDocument/2006/relationships/hyperlink" Target="https://hearthstone.blizzard.com/fr-fr/cards/97363-stranglethorn-heart?class=hunter&amp;set=festival-of-legends" TargetMode="External"/><Relationship Id="rId106" Type="http://schemas.openxmlformats.org/officeDocument/2006/relationships/hyperlink" Target="https://hearthstone.blizzard.com/fr-fr/cards/91498-mister-mukla?class=hunter&amp;set=festival-of-legends" TargetMode="External"/><Relationship Id="rId105" Type="http://schemas.openxmlformats.org/officeDocument/2006/relationships/hyperlink" Target="https://hearthstone.blizzard.com/fr-fr/cards/91495-jungle-jammer?class=hunter&amp;set=festival-of-legends" TargetMode="External"/><Relationship Id="rId104" Type="http://schemas.openxmlformats.org/officeDocument/2006/relationships/hyperlink" Target="https://hearthstone.blizzard.com/fr-fr/cards/87642-harmonica-soloist?class=hunter&amp;set=festival-of-legends" TargetMode="External"/><Relationship Id="rId109" Type="http://schemas.openxmlformats.org/officeDocument/2006/relationships/hyperlink" Target="https://hearthstone.blizzard.com/fr-fr/cards/97403-fan-club?class=priest&amp;set=festival-of-legends" TargetMode="External"/><Relationship Id="rId108" Type="http://schemas.openxmlformats.org/officeDocument/2006/relationships/hyperlink" Target="https://hearthstone.blizzard.com/fr-fr/cards/90681-idols-adoration?class=priest&amp;set=festival-of-legends" TargetMode="External"/><Relationship Id="rId48" Type="http://schemas.openxmlformats.org/officeDocument/2006/relationships/hyperlink" Target="https://hearthstone.blizzard.com/fr-fr/cards/92266-verse-riff?class=warrior&amp;set=festival-of-legends" TargetMode="External"/><Relationship Id="rId47" Type="http://schemas.openxmlformats.org/officeDocument/2006/relationships/hyperlink" Target="https://hearthstone.blizzard.com/fr-fr/cards/91888-razorfen-rockstar?class=warrior&amp;set=festival-of-legends" TargetMode="External"/><Relationship Id="rId49" Type="http://schemas.openxmlformats.org/officeDocument/2006/relationships/hyperlink" Target="https://hearthstone.blizzard.com/fr-fr/cards/87682-drum-soloist?class=warrior&amp;set=festival-of-legends" TargetMode="External"/><Relationship Id="rId103" Type="http://schemas.openxmlformats.org/officeDocument/2006/relationships/hyperlink" Target="https://hearthstone.blizzard.com/fr-fr/cards/92328-banjosaur?class=hunter&amp;set=festival-of-legends" TargetMode="External"/><Relationship Id="rId102" Type="http://schemas.openxmlformats.org/officeDocument/2006/relationships/hyperlink" Target="https://hearthstone.blizzard.com/fr-fr/cards/92296-big-dreams?class=hunter&amp;set=festival-of-legends" TargetMode="External"/><Relationship Id="rId101" Type="http://schemas.openxmlformats.org/officeDocument/2006/relationships/hyperlink" Target="https://hearthstone.blizzard.com/fr-fr/cards/97362-barrel-of-monkeys?class=hunter&amp;set=festival-of-legends" TargetMode="External"/><Relationship Id="rId100" Type="http://schemas.openxmlformats.org/officeDocument/2006/relationships/hyperlink" Target="https://hearthstone.blizzard.com/fr-fr/cards/91496-arrow-smith?class=hunter&amp;set=festival-of-legends" TargetMode="External"/><Relationship Id="rId31" Type="http://schemas.openxmlformats.org/officeDocument/2006/relationships/hyperlink" Target="https://hearthstone.blizzard.com/fr-fr/cards/91872-unpopular-has-been?class=neutral&amp;rarity=epic&amp;set=festival-of-legends" TargetMode="External"/><Relationship Id="rId30" Type="http://schemas.openxmlformats.org/officeDocument/2006/relationships/hyperlink" Target="https://hearthstone.blizzard.com/fr-fr/cards/92256-cover-artist?class=neutral&amp;rarity=epic&amp;set=festival-of-legends" TargetMode="External"/><Relationship Id="rId33" Type="http://schemas.openxmlformats.org/officeDocument/2006/relationships/hyperlink" Target="https://hearthstone.blizzard.com/fr-fr/cards/90749-etc-band-manager?class=neutral&amp;rarity=legendary&amp;set=festival-of-legends" TargetMode="External"/><Relationship Id="rId32" Type="http://schemas.openxmlformats.org/officeDocument/2006/relationships/hyperlink" Target="https://hearthstone.blizzard.com/fr-fr/cards/92332-photographer-fizzle?class=neutral&amp;rarity=legendary&amp;set=festival-of-legends" TargetMode="External"/><Relationship Id="rId35" Type="http://schemas.openxmlformats.org/officeDocument/2006/relationships/hyperlink" Target="https://hearthstone.blizzard.com/fr-fr/cards/92237-tony-king-of-piracy?class=neutral&amp;rarity=legendary&amp;set=festival-of-legends" TargetMode="External"/><Relationship Id="rId34" Type="http://schemas.openxmlformats.org/officeDocument/2006/relationships/hyperlink" Target="https://hearthstone.blizzard.com/fr-fr/cards/91252-pozzik-audio-engineer?class=neutral&amp;rarity=legendary&amp;set=festival-of-legends" TargetMode="External"/><Relationship Id="rId37" Type="http://schemas.openxmlformats.org/officeDocument/2006/relationships/hyperlink" Target="https://hearthstone.blizzard.com/fr-fr/cards/90648-mosh-pit?class=deathknight&amp;set=festival-of-legends" TargetMode="External"/><Relationship Id="rId36" Type="http://schemas.openxmlformats.org/officeDocument/2006/relationships/hyperlink" Target="https://hearthstone.blizzard.com/fr-fr/cards/90543-the-one-amalgam-band?class=neutral&amp;rarity=legendary&amp;set=festival-of-legends" TargetMode="External"/><Relationship Id="rId39" Type="http://schemas.openxmlformats.org/officeDocument/2006/relationships/hyperlink" Target="https://hearthstone.blizzard.com/fr-fr/cards/97528-hardcore-cultist?class=deathknight&amp;set=festival-of-legends" TargetMode="External"/><Relationship Id="rId38" Type="http://schemas.openxmlformats.org/officeDocument/2006/relationships/hyperlink" Target="https://hearthstone.blizzard.com/fr-fr/cards/91412-harmonic-metal?class=deathknight&amp;set=festival-of-legends" TargetMode="External"/><Relationship Id="rId20" Type="http://schemas.openxmlformats.org/officeDocument/2006/relationships/hyperlink" Target="https://hearthstone.blizzard.com/fr-fr/cards/91659-concert-promo-drake?class=neutral&amp;rarity=common&amp;set=festival-of-legends" TargetMode="External"/><Relationship Id="rId22" Type="http://schemas.openxmlformats.org/officeDocument/2006/relationships/hyperlink" Target="https://hearthstone.blizzard.com/fr-fr/cards/91215-metrognome?class=neutral&amp;rarity=rare&amp;set=festival-of-legends" TargetMode="External"/><Relationship Id="rId21" Type="http://schemas.openxmlformats.org/officeDocument/2006/relationships/hyperlink" Target="https://hearthstone.blizzard.com/fr-fr/cards/91076-amplified-elekk?class=neutral&amp;rarity=common&amp;set=festival-of-legends" TargetMode="External"/><Relationship Id="rId24" Type="http://schemas.openxmlformats.org/officeDocument/2006/relationships/hyperlink" Target="https://hearthstone.blizzard.com/fr-fr/cards/91511-worgen-roadie?class=neutral&amp;rarity=rare&amp;set=festival-of-legends" TargetMode="External"/><Relationship Id="rId23" Type="http://schemas.openxmlformats.org/officeDocument/2006/relationships/hyperlink" Target="https://hearthstone.blizzard.com/fr-fr/cards/91175-static-waveform?class=neutral&amp;rarity=rare&amp;set=festival-of-legends" TargetMode="External"/><Relationship Id="rId129" Type="http://schemas.openxmlformats.org/officeDocument/2006/relationships/hyperlink" Target="https://hearthstone.blizzard.com/fr-fr/cards/91066-funkfin?class=paladin&amp;set=festival-of-legends" TargetMode="External"/><Relationship Id="rId128" Type="http://schemas.openxmlformats.org/officeDocument/2006/relationships/hyperlink" Target="https://hearthstone.blizzard.com/fr-fr/cards/90688-disco-maul?class=paladin&amp;set=festival-of-legends" TargetMode="External"/><Relationship Id="rId127" Type="http://schemas.openxmlformats.org/officeDocument/2006/relationships/hyperlink" Target="https://hearthstone.blizzard.com/fr-fr/cards/96992-dj-manastorm?class=mage&amp;set=festival-of-legends" TargetMode="External"/><Relationship Id="rId126" Type="http://schemas.openxmlformats.org/officeDocument/2006/relationships/hyperlink" Target="https://hearthstone.blizzard.com/fr-fr/cards/97361-infinitize-the-maxitude?class=mage&amp;set=festival-of-legends" TargetMode="External"/><Relationship Id="rId26" Type="http://schemas.openxmlformats.org/officeDocument/2006/relationships/hyperlink" Target="https://hearthstone.blizzard.com/fr-fr/cards/90966-mish-mash-mosher?class=neutral&amp;rarity=rare&amp;set=festival-of-legends" TargetMode="External"/><Relationship Id="rId121" Type="http://schemas.openxmlformats.org/officeDocument/2006/relationships/hyperlink" Target="https://hearthstone.blizzard.com/fr-fr/cards/90368-cosmic-keyboard?class=mage&amp;set=festival-of-legends" TargetMode="External"/><Relationship Id="rId25" Type="http://schemas.openxmlformats.org/officeDocument/2006/relationships/hyperlink" Target="https://hearthstone.blizzard.com/fr-fr/cards/92240-festival-security?class=neutral&amp;rarity=rare&amp;set=festival-of-legends" TargetMode="External"/><Relationship Id="rId120" Type="http://schemas.openxmlformats.org/officeDocument/2006/relationships/hyperlink" Target="https://hearthstone.blizzard.com/fr-fr/cards/87648-keyboard-soloist?class=mage&amp;set=festival-of-legends" TargetMode="External"/><Relationship Id="rId28" Type="http://schemas.openxmlformats.org/officeDocument/2006/relationships/hyperlink" Target="https://hearthstone.blizzard.com/fr-fr/cards/91078-audio-amplifier?class=neutral&amp;rarity=epic&amp;set=festival-of-legends" TargetMode="External"/><Relationship Id="rId27" Type="http://schemas.openxmlformats.org/officeDocument/2006/relationships/hyperlink" Target="https://hearthstone.blizzard.com/fr-fr/cards/92243-crowd-surfer?class=neutral&amp;rarity=epic&amp;set=festival-of-legends" TargetMode="External"/><Relationship Id="rId125" Type="http://schemas.openxmlformats.org/officeDocument/2006/relationships/hyperlink" Target="https://hearthstone.blizzard.com/fr-fr/cards/97360-volume-up?class=mage&amp;set=festival-of-legends" TargetMode="External"/><Relationship Id="rId29" Type="http://schemas.openxmlformats.org/officeDocument/2006/relationships/hyperlink" Target="https://hearthstone.blizzard.com/fr-fr/cards/90972-freebird?class=neutral&amp;rarity=epic&amp;set=festival-of-legends" TargetMode="External"/><Relationship Id="rId124" Type="http://schemas.openxmlformats.org/officeDocument/2006/relationships/hyperlink" Target="https://hearthstone.blizzard.com/fr-fr/cards/90671-holotechnician?class=mage&amp;set=festival-of-legends" TargetMode="External"/><Relationship Id="rId123" Type="http://schemas.openxmlformats.org/officeDocument/2006/relationships/hyperlink" Target="https://hearthstone.blizzard.com/fr-fr/cards/90534-lightshow?class=mage&amp;set=festival-of-legends" TargetMode="External"/><Relationship Id="rId122" Type="http://schemas.openxmlformats.org/officeDocument/2006/relationships/hyperlink" Target="https://hearthstone.blizzard.com/fr-fr/cards/90592-rewind?class=mage&amp;set=festival-of-legends" TargetMode="External"/><Relationship Id="rId95" Type="http://schemas.openxmlformats.org/officeDocument/2006/relationships/hyperlink" Target="https://hearthstone.blizzard.com/fr-fr/cards/94381-timber-tambourine?class=druid&amp;set=festival-of-legends" TargetMode="External"/><Relationship Id="rId94" Type="http://schemas.openxmlformats.org/officeDocument/2006/relationships/hyperlink" Target="https://hearthstone.blizzard.com/fr-fr/cards/94218-free-spirit?class=druid&amp;set=festival-of-legends" TargetMode="External"/><Relationship Id="rId97" Type="http://schemas.openxmlformats.org/officeDocument/2006/relationships/hyperlink" Target="https://hearthstone.blizzard.com/fr-fr/cards/94250-zok-fogsnout?class=druid&amp;set=festival-of-legends" TargetMode="External"/><Relationship Id="rId96" Type="http://schemas.openxmlformats.org/officeDocument/2006/relationships/hyperlink" Target="https://hearthstone.blizzard.com/fr-fr/cards/94251-rhythm-and-roots?class=druid&amp;set=festival-of-legends" TargetMode="External"/><Relationship Id="rId11" Type="http://schemas.openxmlformats.org/officeDocument/2006/relationships/hyperlink" Target="https://hearthstone.blizzard.com/fr-fr/cards/92250-rowdy-fan?class=neutral&amp;rarity=common&amp;set=festival-of-legends" TargetMode="External"/><Relationship Id="rId99" Type="http://schemas.openxmlformats.org/officeDocument/2006/relationships/hyperlink" Target="https://hearthstone.blizzard.com/fr-fr/cards/96996-bunch-of-bananas?class=hunter&amp;set=festival-of-legends" TargetMode="External"/><Relationship Id="rId10" Type="http://schemas.openxmlformats.org/officeDocument/2006/relationships/hyperlink" Target="https://hearthstone.blizzard.com/fr-fr/cards/92246-stereo-totem?class=neutral&amp;rarity=common&amp;set=festival-of-legends" TargetMode="External"/><Relationship Id="rId98" Type="http://schemas.openxmlformats.org/officeDocument/2006/relationships/hyperlink" Target="https://hearthstone.blizzard.com/fr-fr/cards/91494-thornmantle-musician?class=hunter&amp;set=festival-of-legends" TargetMode="External"/><Relationship Id="rId13" Type="http://schemas.openxmlformats.org/officeDocument/2006/relationships/hyperlink" Target="https://hearthstone.blizzard.com/fr-fr/cards/91885-cowbell-soloist?class=neutral&amp;rarity=common&amp;set=festival-of-legends" TargetMode="External"/><Relationship Id="rId12" Type="http://schemas.openxmlformats.org/officeDocument/2006/relationships/hyperlink" Target="https://hearthstone.blizzard.com/fr-fr/cards/90700-paparazzi?class=neutral&amp;rarity=common&amp;set=festival-of-legends" TargetMode="External"/><Relationship Id="rId91" Type="http://schemas.openxmlformats.org/officeDocument/2006/relationships/hyperlink" Target="https://hearthstone.blizzard.com/fr-fr/cards/94249-groovy-cat?class=druid&amp;set=festival-of-legends" TargetMode="External"/><Relationship Id="rId90" Type="http://schemas.openxmlformats.org/officeDocument/2006/relationships/hyperlink" Target="https://hearthstone.blizzard.com/fr-fr/cards/94225-spread-the-word?class=druid&amp;set=festival-of-legends" TargetMode="External"/><Relationship Id="rId93" Type="http://schemas.openxmlformats.org/officeDocument/2006/relationships/hyperlink" Target="https://hearthstone.blizzard.com/fr-fr/cards/94201-drum-circle?class=druid&amp;set=festival-of-legends" TargetMode="External"/><Relationship Id="rId92" Type="http://schemas.openxmlformats.org/officeDocument/2006/relationships/hyperlink" Target="https://hearthstone.blizzard.com/fr-fr/cards/94205-summer-flowerchild?class=druid&amp;set=festival-of-legends" TargetMode="External"/><Relationship Id="rId118" Type="http://schemas.openxmlformats.org/officeDocument/2006/relationships/hyperlink" Target="https://hearthstone.blizzard.com/fr-fr/cards/90738-synthesize?class=mage&amp;set=festival-of-legends" TargetMode="External"/><Relationship Id="rId117" Type="http://schemas.openxmlformats.org/officeDocument/2006/relationships/hyperlink" Target="https://hearthstone.blizzard.com/fr-fr/cards/90956-heartbreaker-hedanis?class=priest&amp;set=festival-of-legends" TargetMode="External"/><Relationship Id="rId116" Type="http://schemas.openxmlformats.org/officeDocument/2006/relationships/hyperlink" Target="https://hearthstone.blizzard.com/fr-fr/cards/90959-love-everlasting?class=priest&amp;set=festival-of-legends" TargetMode="External"/><Relationship Id="rId115" Type="http://schemas.openxmlformats.org/officeDocument/2006/relationships/hyperlink" Target="https://hearthstone.blizzard.com/fr-fr/cards/90687-fight-over-me?class=priest&amp;set=festival-of-legends" TargetMode="External"/><Relationship Id="rId119" Type="http://schemas.openxmlformats.org/officeDocument/2006/relationships/hyperlink" Target="https://hearthstone.blizzard.com/fr-fr/cards/90856-audio-splitter?class=mage&amp;set=festival-of-legends" TargetMode="External"/><Relationship Id="rId15" Type="http://schemas.openxmlformats.org/officeDocument/2006/relationships/hyperlink" Target="https://hearthstone.blizzard.com/fr-fr/cards/92252-obsessive-fan?class=neutral&amp;rarity=common&amp;set=festival-of-legends" TargetMode="External"/><Relationship Id="rId110" Type="http://schemas.openxmlformats.org/officeDocument/2006/relationships/hyperlink" Target="https://hearthstone.blizzard.com/fr-fr/cards/91067-power-chord-synchronize?class=priest&amp;set=festival-of-legends" TargetMode="External"/><Relationship Id="rId14" Type="http://schemas.openxmlformats.org/officeDocument/2006/relationships/hyperlink" Target="https://hearthstone.blizzard.com/fr-fr/cards/90968-outfit-tailor?class=neutral&amp;rarity=common&amp;set=festival-of-legends" TargetMode="External"/><Relationship Id="rId17" Type="http://schemas.openxmlformats.org/officeDocument/2006/relationships/hyperlink" Target="https://hearthstone.blizzard.com/fr-fr/cards/92235-pyrotechnician?class=neutral&amp;rarity=common&amp;set=festival-of-legends" TargetMode="External"/><Relationship Id="rId16" Type="http://schemas.openxmlformats.org/officeDocument/2006/relationships/hyperlink" Target="https://hearthstone.blizzard.com/fr-fr/cards/92242-candleraiser?class=neutral&amp;rarity=common&amp;set=festival-of-legends" TargetMode="External"/><Relationship Id="rId19" Type="http://schemas.openxmlformats.org/officeDocument/2006/relationships/hyperlink" Target="https://hearthstone.blizzard.com/fr-fr/cards/91080-ghost-writer?class=neutral&amp;rarity=common&amp;set=festival-of-legends" TargetMode="External"/><Relationship Id="rId114" Type="http://schemas.openxmlformats.org/officeDocument/2006/relationships/hyperlink" Target="https://hearthstone.blizzard.com/fr-fr/cards/91079-heartthrob?class=priest&amp;set=festival-of-legends" TargetMode="External"/><Relationship Id="rId18" Type="http://schemas.openxmlformats.org/officeDocument/2006/relationships/hyperlink" Target="https://hearthstone.blizzard.com/fr-fr/cards/92258-merch-seller?class=neutral&amp;rarity=common&amp;set=festival-of-legends" TargetMode="External"/><Relationship Id="rId113" Type="http://schemas.openxmlformats.org/officeDocument/2006/relationships/hyperlink" Target="https://hearthstone.blizzard.com/fr-fr/cards/90683-harmonic-pop?class=priest&amp;set=festival-of-legends" TargetMode="External"/><Relationship Id="rId112" Type="http://schemas.openxmlformats.org/officeDocument/2006/relationships/hyperlink" Target="https://hearthstone.blizzard.com/fr-fr/cards/90366-shadow-chord-distort?class=priest&amp;set=festival-of-legends" TargetMode="External"/><Relationship Id="rId111" Type="http://schemas.openxmlformats.org/officeDocument/2006/relationships/hyperlink" Target="https://hearthstone.blizzard.com/fr-fr/cards/90952-dreamboat?class=priest&amp;set=festival-of-legends" TargetMode="External"/><Relationship Id="rId84" Type="http://schemas.openxmlformats.org/officeDocument/2006/relationships/hyperlink" Target="https://hearthstone.blizzard.com/fr-fr/cards/90591-breakdance?class=rogue&amp;set=festival-of-legends" TargetMode="External"/><Relationship Id="rId83" Type="http://schemas.openxmlformats.org/officeDocument/2006/relationships/hyperlink" Target="https://hearthstone.blizzard.com/fr-fr/cards/90572-rhyme-spinner?class=rogue&amp;set=festival-of-legends" TargetMode="External"/><Relationship Id="rId86" Type="http://schemas.openxmlformats.org/officeDocument/2006/relationships/hyperlink" Target="https://hearthstone.blizzard.com/fr-fr/cards/90606-bounce-around-ft-garona?class=rogue&amp;set=festival-of-legends" TargetMode="External"/><Relationship Id="rId85" Type="http://schemas.openxmlformats.org/officeDocument/2006/relationships/hyperlink" Target="https://hearthstone.blizzard.com/fr-fr/cards/90356-record-scratcher?class=rogue&amp;set=festival-of-legends" TargetMode="External"/><Relationship Id="rId88" Type="http://schemas.openxmlformats.org/officeDocument/2006/relationships/hyperlink" Target="https://hearthstone.blizzard.com/fr-fr/cards/94204-peaceful-piper?class=druid&amp;set=festival-of-legends" TargetMode="External"/><Relationship Id="rId87" Type="http://schemas.openxmlformats.org/officeDocument/2006/relationships/hyperlink" Target="https://hearthstone.blizzard.com/fr-fr/cards/90603-mc-blingtron?class=rogue&amp;set=festival-of-legends" TargetMode="External"/><Relationship Id="rId89" Type="http://schemas.openxmlformats.org/officeDocument/2006/relationships/hyperlink" Target="https://hearthstone.blizzard.com/fr-fr/cards/94210-harmonic-mood?class=druid&amp;set=festival-of-legends" TargetMode="External"/><Relationship Id="rId80" Type="http://schemas.openxmlformats.org/officeDocument/2006/relationships/hyperlink" Target="https://hearthstone.blizzard.com/fr-fr/cards/90586-mic-drop?class=rogue&amp;set=festival-of-legends" TargetMode="External"/><Relationship Id="rId82" Type="http://schemas.openxmlformats.org/officeDocument/2006/relationships/hyperlink" Target="https://hearthstone.blizzard.com/fr-fr/cards/90561-beatboxer?class=rogue&amp;set=festival-of-legends" TargetMode="External"/><Relationship Id="rId81" Type="http://schemas.openxmlformats.org/officeDocument/2006/relationships/hyperlink" Target="https://hearthstone.blizzard.com/fr-fr/cards/88403-harmonic-hip-hop?class=rogue&amp;set=festival-of-legends" TargetMode="External"/><Relationship Id="rId1" Type="http://schemas.openxmlformats.org/officeDocument/2006/relationships/hyperlink" Target="https://urlz.fr/iOAv" TargetMode="External"/><Relationship Id="rId2" Type="http://schemas.openxmlformats.org/officeDocument/2006/relationships/hyperlink" Target="https://hearthstone.blizzard.com/fr-fr/cards/91986-air-guitarist?class=neutral&amp;rarity=common&amp;set=festival-of-legends" TargetMode="External"/><Relationship Id="rId3" Type="http://schemas.openxmlformats.org/officeDocument/2006/relationships/hyperlink" Target="https://hearthstone.blizzard.com/fr-fr/cards/92254-annoying-fan?class=neutral&amp;rarity=common&amp;set=festival-of-legends" TargetMode="External"/><Relationship Id="rId4" Type="http://schemas.openxmlformats.org/officeDocument/2006/relationships/hyperlink" Target="https://hearthstone.blizzard.com/fr-fr/cards/92249-frequency-oscillator?class=neutral&amp;rarity=common&amp;set=festival-of-legends" TargetMode="External"/><Relationship Id="rId148" Type="http://schemas.openxmlformats.org/officeDocument/2006/relationships/drawing" Target="../drawings/drawing1.xml"/><Relationship Id="rId9" Type="http://schemas.openxmlformats.org/officeDocument/2006/relationships/hyperlink" Target="https://hearthstone.blizzard.com/fr-fr/cards/88982-rolling-stone?class=neutral&amp;rarity=common&amp;set=festival-of-legends" TargetMode="External"/><Relationship Id="rId143" Type="http://schemas.openxmlformats.org/officeDocument/2006/relationships/hyperlink" Target="https://hearthstone.blizzard.com/fr-fr/cards/90532-glaivetar?class=demonhunter&amp;set=festival-of-legends" TargetMode="External"/><Relationship Id="rId142" Type="http://schemas.openxmlformats.org/officeDocument/2006/relationships/hyperlink" Target="https://hearthstone.blizzard.com/fr-fr/cards/97003-rush-the-stage?class=demonhunter&amp;set=festival-of-legends" TargetMode="External"/><Relationship Id="rId141" Type="http://schemas.openxmlformats.org/officeDocument/2006/relationships/hyperlink" Target="https://hearthstone.blizzard.com/fr-fr/cards/90608-snakebite?class=demonhunter&amp;set=festival-of-legends" TargetMode="External"/><Relationship Id="rId140" Type="http://schemas.openxmlformats.org/officeDocument/2006/relationships/hyperlink" Target="https://hearthstone.blizzard.com/fr-fr/cards/87639-guitar-soloist?class=demonhunter&amp;set=festival-of-legends" TargetMode="External"/><Relationship Id="rId5" Type="http://schemas.openxmlformats.org/officeDocument/2006/relationships/hyperlink" Target="https://hearthstone.blizzard.com/fr-fr/cards/91874-party-animal?class=neutral&amp;rarity=common&amp;set=festival-of-legends" TargetMode="External"/><Relationship Id="rId147" Type="http://schemas.openxmlformats.org/officeDocument/2006/relationships/hyperlink" Target="https://hearthstone.blizzard.com/fr-fr/cards/90615-going-down-swinging?class=demonhunter&amp;set=festival-of-legends" TargetMode="External"/><Relationship Id="rId6" Type="http://schemas.openxmlformats.org/officeDocument/2006/relationships/hyperlink" Target="https://hearthstone.blizzard.com/fr-fr/cards/91989-hipster?class=neutral&amp;rarity=common&amp;set=festival-of-legends" TargetMode="External"/><Relationship Id="rId146" Type="http://schemas.openxmlformats.org/officeDocument/2006/relationships/hyperlink" Target="https://hearthstone.blizzard.com/fr-fr/cards/96999-halveria-darkraven?class=demonhunter&amp;set=festival-of-legends" TargetMode="External"/><Relationship Id="rId7" Type="http://schemas.openxmlformats.org/officeDocument/2006/relationships/hyperlink" Target="https://hearthstone.blizzard.com/fr-fr/cards/90699-audio-medic?class=neutral&amp;rarity=common&amp;set=festival-of-legends" TargetMode="External"/><Relationship Id="rId145" Type="http://schemas.openxmlformats.org/officeDocument/2006/relationships/hyperlink" Target="https://hearthstone.blizzard.com/fr-fr/cards/90441-instrument-smasher?class=demonhunter&amp;set=festival-of-legends" TargetMode="External"/><Relationship Id="rId8" Type="http://schemas.openxmlformats.org/officeDocument/2006/relationships/hyperlink" Target="https://hearthstone.blizzard.com/fr-fr/cards/90808-instrument-tech?class=neutral&amp;rarity=common&amp;set=festival-of-legends" TargetMode="External"/><Relationship Id="rId144" Type="http://schemas.openxmlformats.org/officeDocument/2006/relationships/hyperlink" Target="https://hearthstone.blizzard.com/fr-fr/cards/96997-eye-of-shadow?class=demonhunter&amp;set=festival-of-legends" TargetMode="External"/><Relationship Id="rId73" Type="http://schemas.openxmlformats.org/officeDocument/2006/relationships/hyperlink" Target="https://hearthstone.blizzard.com/fr-fr/cards/92222-altered-chord?class=shaman&amp;set=festival-of-legends" TargetMode="External"/><Relationship Id="rId72" Type="http://schemas.openxmlformats.org/officeDocument/2006/relationships/hyperlink" Target="https://hearthstone.blizzard.com/fr-fr/cards/92225-brass-elemental?class=shaman&amp;set=festival-of-legends" TargetMode="External"/><Relationship Id="rId75" Type="http://schemas.openxmlformats.org/officeDocument/2006/relationships/hyperlink" Target="https://hearthstone.blizzard.com/fr-fr/cards/92227-saxophone-soloist?class=shaman&amp;set=festival-of-legends" TargetMode="External"/><Relationship Id="rId74" Type="http://schemas.openxmlformats.org/officeDocument/2006/relationships/hyperlink" Target="https://hearthstone.blizzard.com/fr-fr/cards/92276-melomania?class=shaman&amp;set=festival-of-legends" TargetMode="External"/><Relationship Id="rId77" Type="http://schemas.openxmlformats.org/officeDocument/2006/relationships/hyperlink" Target="https://hearthstone.blizzard.com/fr-fr/cards/92338-inzah?class=shaman&amp;set=festival-of-legends" TargetMode="External"/><Relationship Id="rId76" Type="http://schemas.openxmlformats.org/officeDocument/2006/relationships/hyperlink" Target="https://hearthstone.blizzard.com/fr-fr/cards/92232-jive-insect?class=shaman&amp;set=festival-of-legends" TargetMode="External"/><Relationship Id="rId79" Type="http://schemas.openxmlformats.org/officeDocument/2006/relationships/hyperlink" Target="https://hearthstone.blizzard.com/fr-fr/cards/90600-disc-jockey?class=rogue&amp;set=festival-of-legends" TargetMode="External"/><Relationship Id="rId78" Type="http://schemas.openxmlformats.org/officeDocument/2006/relationships/hyperlink" Target="https://hearthstone.blizzard.com/fr-fr/cards/90583-mixtape?class=rogue&amp;set=festival-of-legends" TargetMode="External"/><Relationship Id="rId71" Type="http://schemas.openxmlformats.org/officeDocument/2006/relationships/hyperlink" Target="https://hearthstone.blizzard.com/fr-fr/cards/90781-jazz-bass?class=shaman&amp;set=festival-of-legends" TargetMode="External"/><Relationship Id="rId70" Type="http://schemas.openxmlformats.org/officeDocument/2006/relationships/hyperlink" Target="https://hearthstone.blizzard.com/fr-fr/cards/92335-pack-the-house?class=shaman&amp;set=festival-of-legends" TargetMode="External"/><Relationship Id="rId139" Type="http://schemas.openxmlformats.org/officeDocument/2006/relationships/hyperlink" Target="https://hearthstone.blizzard.com/fr-fr/cards/90612-security?class=demonhunter&amp;set=festival-of-legends" TargetMode="External"/><Relationship Id="rId138" Type="http://schemas.openxmlformats.org/officeDocument/2006/relationships/hyperlink" Target="https://hearthstone.blizzard.com/fr-fr/cards/96946-taste-of-chaos?class=demonhunter&amp;set=festival-of-legends" TargetMode="External"/><Relationship Id="rId137" Type="http://schemas.openxmlformats.org/officeDocument/2006/relationships/hyperlink" Target="https://hearthstone.blizzard.com/fr-fr/cards/90944-kangor-dancing-king?class=paladin&amp;set=festival-of-legends" TargetMode="External"/><Relationship Id="rId132" Type="http://schemas.openxmlformats.org/officeDocument/2006/relationships/hyperlink" Target="https://hearthstone.blizzard.com/fr-fr/cards/88580-harmonic-disco?class=paladin&amp;set=festival-of-legends" TargetMode="External"/><Relationship Id="rId131" Type="http://schemas.openxmlformats.org/officeDocument/2006/relationships/hyperlink" Target="https://hearthstone.blizzard.com/fr-fr/cards/90698-jitterbug?class=paladin&amp;set=festival-of-legends" TargetMode="External"/><Relationship Id="rId130" Type="http://schemas.openxmlformats.org/officeDocument/2006/relationships/hyperlink" Target="https://hearthstone.blizzard.com/fr-fr/cards/90689-boogie-down?class=paladin&amp;set=festival-of-legends" TargetMode="External"/><Relationship Id="rId136" Type="http://schemas.openxmlformats.org/officeDocument/2006/relationships/hyperlink" Target="https://hearthstone.blizzard.com/fr-fr/cards/90945-starlight-groove?class=paladin&amp;set=festival-of-legends" TargetMode="External"/><Relationship Id="rId135" Type="http://schemas.openxmlformats.org/officeDocument/2006/relationships/hyperlink" Target="https://hearthstone.blizzard.com/fr-fr/cards/90695-annoy-o-troupe?class=paladin&amp;set=festival-of-legends" TargetMode="External"/><Relationship Id="rId134" Type="http://schemas.openxmlformats.org/officeDocument/2006/relationships/hyperlink" Target="https://hearthstone.blizzard.com/fr-fr/cards/90694-spotlight?class=paladin&amp;set=festival-of-legends" TargetMode="External"/><Relationship Id="rId133" Type="http://schemas.openxmlformats.org/officeDocument/2006/relationships/hyperlink" Target="https://hearthstone.blizzard.com/fr-fr/cards/90941-lead-dancer?class=paladin&amp;set=festival-of-legends" TargetMode="External"/><Relationship Id="rId62" Type="http://schemas.openxmlformats.org/officeDocument/2006/relationships/hyperlink" Target="https://hearthstone.blizzard.com/fr-fr/cards/90993-dirge-of-despair?class=warlock&amp;set=festival-of-legends" TargetMode="External"/><Relationship Id="rId61" Type="http://schemas.openxmlformats.org/officeDocument/2006/relationships/hyperlink" Target="https://hearthstone.blizzard.com/fr-fr/cards/90994-demonic-dynamics?class=warlock&amp;set=festival-of-legends" TargetMode="External"/><Relationship Id="rId64" Type="http://schemas.openxmlformats.org/officeDocument/2006/relationships/hyperlink" Target="https://hearthstone.blizzard.com/fr-fr/cards/90461-crazed-conductor?class=warlock&amp;set=festival-of-legends" TargetMode="External"/><Relationship Id="rId63" Type="http://schemas.openxmlformats.org/officeDocument/2006/relationships/hyperlink" Target="https://hearthstone.blizzard.com/fr-fr/cards/90996-felstring-harp?class=warlock&amp;set=festival-of-legends" TargetMode="External"/><Relationship Id="rId66" Type="http://schemas.openxmlformats.org/officeDocument/2006/relationships/hyperlink" Target="https://clips.twitch.tv/ObliqueCrackySnailEleGiggle-vuvprUweQWA0QoPf" TargetMode="External"/><Relationship Id="rId65" Type="http://schemas.openxmlformats.org/officeDocument/2006/relationships/hyperlink" Target="https://hearthstone.blizzard.com/fr-fr/cards/90463-rin-orchestrator-of-doom?class=warlock&amp;set=festival-of-legends" TargetMode="External"/><Relationship Id="rId68" Type="http://schemas.openxmlformats.org/officeDocument/2006/relationships/hyperlink" Target="https://hearthstone.blizzard.com/fr-fr/cards/92228-flowrider?class=shaman&amp;set=festival-of-legends" TargetMode="External"/><Relationship Id="rId67" Type="http://schemas.openxmlformats.org/officeDocument/2006/relationships/hyperlink" Target="https://hearthstone.blizzard.com/fr-fr/cards/91001-symphony-of-sins?class=warlock&amp;set=festival-of-legends" TargetMode="External"/><Relationship Id="rId60" Type="http://schemas.openxmlformats.org/officeDocument/2006/relationships/hyperlink" Target="https://hearthstone.blizzard.com/fr-fr/cards/90440-crescendo?class=warlock&amp;set=festival-of-legends" TargetMode="External"/><Relationship Id="rId69" Type="http://schemas.openxmlformats.org/officeDocument/2006/relationships/hyperlink" Target="https://hearthstone.blizzard.com/fr-fr/cards/92325-chill-vibes?class=shaman&amp;set=festival-of-legends" TargetMode="External"/><Relationship Id="rId51" Type="http://schemas.openxmlformats.org/officeDocument/2006/relationships/hyperlink" Target="https://hearthstone.blizzard.com/fr-fr/cards/90541-power-slider?class=warrior&amp;set=festival-of-legends" TargetMode="External"/><Relationship Id="rId50" Type="http://schemas.openxmlformats.org/officeDocument/2006/relationships/hyperlink" Target="https://hearthstone.blizzard.com/fr-fr/cards/92267-chorus-riff?class=warrior&amp;set=festival-of-legends" TargetMode="External"/><Relationship Id="rId53" Type="http://schemas.openxmlformats.org/officeDocument/2006/relationships/hyperlink" Target="https://hearthstone.blizzard.com/fr-fr/cards/92340-roaring-applause?class=warrior&amp;set=festival-of-legends" TargetMode="External"/><Relationship Id="rId52" Type="http://schemas.openxmlformats.org/officeDocument/2006/relationships/hyperlink" Target="https://hearthstone.blizzard.com/fr-fr/cards/90359-kodohide-drumkit?class=warrior&amp;set=festival-of-legends" TargetMode="External"/><Relationship Id="rId55" Type="http://schemas.openxmlformats.org/officeDocument/2006/relationships/hyperlink" Target="https://hearthstone.blizzard.com/fr-fr/cards/94248-rock-master-voone?class=warrior&amp;set=festival-of-legends" TargetMode="External"/><Relationship Id="rId54" Type="http://schemas.openxmlformats.org/officeDocument/2006/relationships/hyperlink" Target="https://hearthstone.blizzard.com/fr-fr/cards/92268-bridge-riff?class=warrior&amp;set=festival-of-legends" TargetMode="External"/><Relationship Id="rId57" Type="http://schemas.openxmlformats.org/officeDocument/2006/relationships/hyperlink" Target="https://hearthstone.blizzard.com/fr-fr/cards/90854-void-virtuoso?class=warlock&amp;set=festival-of-legends" TargetMode="External"/><Relationship Id="rId56" Type="http://schemas.openxmlformats.org/officeDocument/2006/relationships/hyperlink" Target="https://hearthstone.blizzard.com/fr-fr/cards/90678-blackrock-n-roll?class=warrior&amp;set=festival-of-legends" TargetMode="External"/><Relationship Id="rId59" Type="http://schemas.openxmlformats.org/officeDocument/2006/relationships/hyperlink" Target="https://hearthstone.blizzard.com/fr-fr/cards/87681-opera-soloist?class=warlock&amp;set=festival-of-legends" TargetMode="External"/><Relationship Id="rId58" Type="http://schemas.openxmlformats.org/officeDocument/2006/relationships/hyperlink" Target="https://hearthstone.blizzard.com/fr-fr/cards/90439-baritone-imp?class=warlock&amp;set=festival-of-legend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QE87n6" TargetMode="External"/><Relationship Id="rId2" Type="http://schemas.openxmlformats.org/officeDocument/2006/relationships/hyperlink" Target="https://twitter.com/Dakhoss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LlJCbu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LlJCbu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LlJCbu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hearthstone.blizzard.com/fr-fr/cards/82067-bone-breaker?class=deathknight&amp;set=standard" TargetMode="External"/><Relationship Id="rId190" Type="http://schemas.openxmlformats.org/officeDocument/2006/relationships/hyperlink" Target="https://hearthstone.blizzard.com/fr-fr/cards/84391-flight-of-the-bronze?class=paladin&amp;set=march-of-the-lich-king" TargetMode="External"/><Relationship Id="rId42" Type="http://schemas.openxmlformats.org/officeDocument/2006/relationships/hyperlink" Target="https://hearthstone.blizzard.com/fr-fr/cards/80818-body-bagger?class=deathknight&amp;set=standard" TargetMode="External"/><Relationship Id="rId41" Type="http://schemas.openxmlformats.org/officeDocument/2006/relationships/hyperlink" Target="https://hearthstone.blizzard.com/fr-fr/cards/78332-heart-strike?class=deathknight&amp;set=standard" TargetMode="External"/><Relationship Id="rId44" Type="http://schemas.openxmlformats.org/officeDocument/2006/relationships/hyperlink" Target="https://hearthstone.blizzard.com/fr-fr/cards/80083-necrotic-mortician?class=deathknight&amp;set=standard" TargetMode="External"/><Relationship Id="rId194" Type="http://schemas.openxmlformats.org/officeDocument/2006/relationships/hyperlink" Target="https://hearthstone.blizzard.com/fr-fr/cards/84740-blood-matriarch-liadrin?set=march-of-the-lich-king" TargetMode="External"/><Relationship Id="rId43" Type="http://schemas.openxmlformats.org/officeDocument/2006/relationships/hyperlink" Target="https://hearthstone.blizzard.com/fr-fr/cards/78334-icy-touch?set=path-of-arthas&amp;sort=manaCost%3Aasc%2Cname%3Aasc%2Cclasses%3Aasc%2CgroupByClass%3Aasc" TargetMode="External"/><Relationship Id="rId193" Type="http://schemas.openxmlformats.org/officeDocument/2006/relationships/hyperlink" Target="https://hearthstone.blizzard.com/fr-fr/cards/84923-blood-crusader?class=paladin&amp;set=march-of-the-lich-king" TargetMode="External"/><Relationship Id="rId46" Type="http://schemas.openxmlformats.org/officeDocument/2006/relationships/hyperlink" Target="https://hearthstone.blizzard.com/fr-fr/cards/78320-plague-strike?class=deathknight&amp;set=standard" TargetMode="External"/><Relationship Id="rId192" Type="http://schemas.openxmlformats.org/officeDocument/2006/relationships/hyperlink" Target="https://hearthstone.blizzard.com/fr-fr/cards/83089-timewarden?class=paladin&amp;set=march-of-the-lich-king" TargetMode="External"/><Relationship Id="rId45" Type="http://schemas.openxmlformats.org/officeDocument/2006/relationships/hyperlink" Target="https://hearthstone.blizzard.com/fr-fr/cards/78325-frost-strike?class=deathknight&amp;set=standard" TargetMode="External"/><Relationship Id="rId191" Type="http://schemas.openxmlformats.org/officeDocument/2006/relationships/hyperlink" Target="https://hearthstone.blizzard.com/fr-fr/cards/84395-for-quelthalas?set=march-of-the-lich-king" TargetMode="External"/><Relationship Id="rId48" Type="http://schemas.openxmlformats.org/officeDocument/2006/relationships/hyperlink" Target="https://hearthstone.blizzard.com/fr-fr/cards/78353-battlefield-necromancer?class=deathknight&amp;set=standard" TargetMode="External"/><Relationship Id="rId187" Type="http://schemas.openxmlformats.org/officeDocument/2006/relationships/hyperlink" Target="https://hearthstone.blizzard.com/fr-fr/cards/84739-seal-of-blood?class=paladin&amp;set=march-of-the-lich-king" TargetMode="External"/><Relationship Id="rId47" Type="http://schemas.openxmlformats.org/officeDocument/2006/relationships/hyperlink" Target="https://hearthstone.blizzard.com/fr-fr/cards/81972-harbinger-of-winter?class=deathknight&amp;set=standard" TargetMode="External"/><Relationship Id="rId186" Type="http://schemas.openxmlformats.org/officeDocument/2006/relationships/hyperlink" Target="https://hearthstone.blizzard.com/fr-fr/cards/84749-feast-and-famine?class=paladin&amp;set=march-of-the-lich-king" TargetMode="External"/><Relationship Id="rId185" Type="http://schemas.openxmlformats.org/officeDocument/2006/relationships/hyperlink" Target="https://hearthstone.blizzard.com/fr-fr/cards/84003-grand-magister-rommath?class=mage&amp;set=march-of-the-lich-king" TargetMode="External"/><Relationship Id="rId49" Type="http://schemas.openxmlformats.org/officeDocument/2006/relationships/hyperlink" Target="https://hearthstone.blizzard.com/fr-fr/cards/78349-dark-transformation?class=deathknight&amp;set=standard" TargetMode="External"/><Relationship Id="rId184" Type="http://schemas.openxmlformats.org/officeDocument/2006/relationships/hyperlink" Target="https://hearthstone.blizzard.com/fr-fr/cards/84390-vexallus?class=mage&amp;set=march-of-the-lich-king" TargetMode="External"/><Relationship Id="rId189" Type="http://schemas.openxmlformats.org/officeDocument/2006/relationships/hyperlink" Target="https://hearthstone.blizzard.com/fr-fr/cards/84737-sanguine-soldier?class=paladin&amp;set=march-of-the-lich-king" TargetMode="External"/><Relationship Id="rId188" Type="http://schemas.openxmlformats.org/officeDocument/2006/relationships/hyperlink" Target="https://hearthstone.blizzard.com/fr-fr/cards/84388-daring-drake?class=paladin&amp;set=march-of-the-lich-king" TargetMode="External"/><Relationship Id="rId31" Type="http://schemas.openxmlformats.org/officeDocument/2006/relationships/hyperlink" Target="https://hearthstone.blizzard.com/fr-fr/cards/84856-plaguespreader?class=neutral&amp;rarity=epic&amp;set=march-of-the-lich-king" TargetMode="External"/><Relationship Id="rId30" Type="http://schemas.openxmlformats.org/officeDocument/2006/relationships/hyperlink" Target="https://hearthstone.blizzard.com/fr-fr/cards/93434-sanctum-spellbender?class=neutral&amp;rarity=epic&amp;set=march-of-the-lich-king" TargetMode="External"/><Relationship Id="rId33" Type="http://schemas.openxmlformats.org/officeDocument/2006/relationships/hyperlink" Target="https://hearthstone.blizzard.com/fr-fr/cards/86317-bonelord-frostwhisper?class=neutral&amp;rarity=legendary&amp;set=march-of-the-lich-king" TargetMode="External"/><Relationship Id="rId183" Type="http://schemas.openxmlformats.org/officeDocument/2006/relationships/hyperlink" Target="https://hearthstone.blizzard.com/fr-fr/cards/84736-energy-shaper?class=mage&amp;set=march-of-the-lich-king" TargetMode="External"/><Relationship Id="rId32" Type="http://schemas.openxmlformats.org/officeDocument/2006/relationships/hyperlink" Target="https://hearthstone.blizzard.com/fr-fr/cards/86626-astalor-bloodsworn?class=neutral&amp;rarity=legendary&amp;set=march-of-the-lich-king" TargetMode="External"/><Relationship Id="rId182" Type="http://schemas.openxmlformats.org/officeDocument/2006/relationships/hyperlink" Target="https://hearthstone.blizzard.com/fr-fr/cards/85034-prismatic-elemental?class=mage&amp;set=march-of-the-lich-king" TargetMode="External"/><Relationship Id="rId35" Type="http://schemas.openxmlformats.org/officeDocument/2006/relationships/hyperlink" Target="https://hearthstone.blizzard.com/fr-fr/cards/86367-invincible?set=march-of-the-lich-king" TargetMode="External"/><Relationship Id="rId181" Type="http://schemas.openxmlformats.org/officeDocument/2006/relationships/hyperlink" Target="https://hearthstone.blizzard.com/fr-fr/cards/84428-arcane-defenders?class=mage&amp;set=march-of-the-lich-king" TargetMode="External"/><Relationship Id="rId34" Type="http://schemas.openxmlformats.org/officeDocument/2006/relationships/hyperlink" Target="https://hearthstone.blizzard.com/fr-fr/cards/86383-lorthemar-theron?set=march-of-the-lich-king" TargetMode="External"/><Relationship Id="rId180" Type="http://schemas.openxmlformats.org/officeDocument/2006/relationships/hyperlink" Target="https://hearthstone.blizzard.com/fr-fr/cards/84421-arcsplitter?class=mage&amp;set=march-of-the-lich-king" TargetMode="External"/><Relationship Id="rId37" Type="http://schemas.openxmlformats.org/officeDocument/2006/relationships/hyperlink" Target="https://hearthstone.blizzard.com/fr-fr/cards/78338-horn-of-winter?class=deathknight&amp;set=standard" TargetMode="External"/><Relationship Id="rId176" Type="http://schemas.openxmlformats.org/officeDocument/2006/relationships/hyperlink" Target="https://hearthstone.blizzard.com/fr-fr/cards/85035-arcane-wyrm?class=mage&amp;set=march-of-the-lich-king" TargetMode="External"/><Relationship Id="rId36" Type="http://schemas.openxmlformats.org/officeDocument/2006/relationships/hyperlink" Target="https://hearthstone.blizzard.com/fr-fr/cards/86228-the-sunwell?set=march-of-the-lich-king" TargetMode="External"/><Relationship Id="rId175" Type="http://schemas.openxmlformats.org/officeDocument/2006/relationships/hyperlink" Target="https://hearthstone.blizzard.com/fr-fr/cards/84207-sister-svalna?class=priest&amp;set=march-of-the-lich-king" TargetMode="External"/><Relationship Id="rId39" Type="http://schemas.openxmlformats.org/officeDocument/2006/relationships/hyperlink" Target="https://hearthstone.blizzard.com/fr-fr/cards/80014-ymirjar-frostbreaker?class=deathknight&amp;set=standard" TargetMode="External"/><Relationship Id="rId174" Type="http://schemas.openxmlformats.org/officeDocument/2006/relationships/hyperlink" Target="https://hearthstone.blizzard.com/fr-fr/cards/84857-high-cultist-basaleph?class=priest&amp;set=march-of-the-lich-king" TargetMode="External"/><Relationship Id="rId38" Type="http://schemas.openxmlformats.org/officeDocument/2006/relationships/hyperlink" Target="https://hearthstone.blizzard.com/fr-fr/cards/86190-skeletal-sidekick?class=deathknight&amp;set=standard" TargetMode="External"/><Relationship Id="rId173" Type="http://schemas.openxmlformats.org/officeDocument/2006/relationships/hyperlink" Target="https://hearthstone.blizzard.com/fr-fr/cards/84586-grave-digging?class=priest&amp;set=march-of-the-lich-king" TargetMode="External"/><Relationship Id="rId179" Type="http://schemas.openxmlformats.org/officeDocument/2006/relationships/hyperlink" Target="https://hearthstone.blizzard.com/fr-fr/cards/84752-vast-wisdom?class=mage&amp;set=march-of-the-lich-king" TargetMode="External"/><Relationship Id="rId178" Type="http://schemas.openxmlformats.org/officeDocument/2006/relationships/hyperlink" Target="https://hearthstone.blizzard.com/fr-fr/cards/84426-magisters-apprentice?class=mage&amp;set=march-of-the-lich-king" TargetMode="External"/><Relationship Id="rId177" Type="http://schemas.openxmlformats.org/officeDocument/2006/relationships/hyperlink" Target="https://hearthstone.blizzard.com/fr-fr/cards/86274-arcane-bolt?class=mage&amp;set=march-of-the-lich-king" TargetMode="External"/><Relationship Id="rId20" Type="http://schemas.openxmlformats.org/officeDocument/2006/relationships/hyperlink" Target="https://hearthstone.blizzard.com/fr-fr/cards/78329-shatterskin-gargoyle?class=neutral&amp;rarity=common&amp;set=march-of-the-lich-king" TargetMode="External"/><Relationship Id="rId22" Type="http://schemas.openxmlformats.org/officeDocument/2006/relationships/hyperlink" Target="https://hearthstone.blizzard.com/fr-fr/cards/85604-coroner?class=neutral&amp;rarity=rare&amp;set=march-of-the-lich-king" TargetMode="External"/><Relationship Id="rId21" Type="http://schemas.openxmlformats.org/officeDocument/2006/relationships/hyperlink" Target="https://hearthstone.blizzard.com/fr-fr/cards/85651-banshee?class=neutral&amp;rarity=rare&amp;set=march-of-the-lich-king" TargetMode="External"/><Relationship Id="rId24" Type="http://schemas.openxmlformats.org/officeDocument/2006/relationships/hyperlink" Target="https://hearthstone.blizzard.com/fr-fr/cards/85597-translocation-instructor?class=neutral&amp;rarity=rare&amp;set=march-of-the-lich-king" TargetMode="External"/><Relationship Id="rId23" Type="http://schemas.openxmlformats.org/officeDocument/2006/relationships/hyperlink" Target="https://hearthstone.blizzard.com/fr-fr/cards/85048-infectious-ghoul?class=neutral&amp;rarity=rare&amp;set=march-of-the-lich-king" TargetMode="External"/><Relationship Id="rId26" Type="http://schemas.openxmlformats.org/officeDocument/2006/relationships/hyperlink" Target="https://hearthstone.blizzard.com/fr-fr/cards/84692-flesh-behemoth?class=neutral&amp;rarity=rare&amp;set=march-of-the-lich-king" TargetMode="External"/><Relationship Id="rId25" Type="http://schemas.openxmlformats.org/officeDocument/2006/relationships/hyperlink" Target="https://hearthstone.blizzard.com/fr-fr/cards/86572-tenacious-sanlayn?class=neutral&amp;rarity=rare&amp;set=march-of-the-lich-king" TargetMode="External"/><Relationship Id="rId28" Type="http://schemas.openxmlformats.org/officeDocument/2006/relationships/hyperlink" Target="https://hearthstone.blizzard.com/fr-fr/cards/86573-crystal-broker?class=neutral&amp;rarity=epic&amp;set=march-of-the-lich-king" TargetMode="External"/><Relationship Id="rId27" Type="http://schemas.openxmlformats.org/officeDocument/2006/relationships/hyperlink" Target="https://hearthstone.blizzard.com/fr-fr/cards/85621-enchanter?class=neutral&amp;rarity=epic&amp;set=march-of-the-lich-king" TargetMode="External"/><Relationship Id="rId29" Type="http://schemas.openxmlformats.org/officeDocument/2006/relationships/hyperlink" Target="https://hearthstone.blizzard.com/fr-fr/cards/87301-hawkstrider-rancher?class=neutral&amp;rarity=epic&amp;set=march-of-the-lich-king" TargetMode="External"/><Relationship Id="rId11" Type="http://schemas.openxmlformats.org/officeDocument/2006/relationships/hyperlink" Target="https://hearthstone.blizzard.com/fr-fr/cards/84387-amber-whelp?class=neutral&amp;rarity=common&amp;set=march-of-the-lich-king" TargetMode="External"/><Relationship Id="rId10" Type="http://schemas.openxmlformats.org/officeDocument/2006/relationships/hyperlink" Target="https://hearthstone.blizzard.com/fr-fr/cards/84765-bloodied-knight?class=neutral&amp;rarity=common&amp;set=march-of-the-lich-king" TargetMode="External"/><Relationship Id="rId13" Type="http://schemas.openxmlformats.org/officeDocument/2006/relationships/hyperlink" Target="https://hearthstone.blizzard.com/fr-fr/cards/80537-scourge-rager?class=neutral&amp;rarity=common&amp;set=march-of-the-lich-king" TargetMode="External"/><Relationship Id="rId12" Type="http://schemas.openxmlformats.org/officeDocument/2006/relationships/hyperlink" Target="https://hearthstone.blizzard.com/fr-fr/cards/80087-drakkari-embalmer?class=neutral&amp;rarity=common&amp;set=march-of-the-lich-king" TargetMode="External"/><Relationship Id="rId15" Type="http://schemas.openxmlformats.org/officeDocument/2006/relationships/hyperlink" Target="https://hearthstone.blizzard.com/fr-fr/cards/82689-silvermoon-sentinel?set=march-of-the-lich-king" TargetMode="External"/><Relationship Id="rId198" Type="http://schemas.openxmlformats.org/officeDocument/2006/relationships/hyperlink" Target="https://hearthstone.blizzard.com/fr-fr/cards/84233-feldorei-warband?class=demonhunter&amp;set=march-of-the-lich-king" TargetMode="External"/><Relationship Id="rId14" Type="http://schemas.openxmlformats.org/officeDocument/2006/relationships/hyperlink" Target="https://hearthstone.blizzard.com/fr-fr/cards/86559-sunfury-clergy?set=march-of-the-lich-king" TargetMode="External"/><Relationship Id="rId197" Type="http://schemas.openxmlformats.org/officeDocument/2006/relationships/hyperlink" Target="https://hearthstone.blizzard.com/fr-fr/cards/84230-mark-of-scorn?class=demonhunter&amp;set=march-of-the-lich-king" TargetMode="External"/><Relationship Id="rId17" Type="http://schemas.openxmlformats.org/officeDocument/2006/relationships/hyperlink" Target="https://hearthstone.blizzard.com/fr-fr/cards/80019-brittleskin-zombie?class=neutral&amp;rarity=common&amp;set=march-of-the-lich-king" TargetMode="External"/><Relationship Id="rId196" Type="http://schemas.openxmlformats.org/officeDocument/2006/relationships/hyperlink" Target="https://hearthstone.blizzard.com/fr-fr/cards/84232-fierce-outsider?class=demonhunter&amp;set=march-of-the-lich-king" TargetMode="External"/><Relationship Id="rId16" Type="http://schemas.openxmlformats.org/officeDocument/2006/relationships/hyperlink" Target="https://hearthstone.blizzard.com/fr-fr/cards/85154-nerubian-vizier?class=neutral&amp;rarity=common&amp;set=march-of-the-lich-king" TargetMode="External"/><Relationship Id="rId195" Type="http://schemas.openxmlformats.org/officeDocument/2006/relationships/hyperlink" Target="https://hearthstone.blizzard.com/fr-fr/cards/84399-anachronos?class=paladin&amp;set=march-of-the-lich-king" TargetMode="External"/><Relationship Id="rId19" Type="http://schemas.openxmlformats.org/officeDocument/2006/relationships/hyperlink" Target="https://hearthstone.blizzard.com/fr-fr/cards/79790-street-sweeper?set=march-of-the-lich-king" TargetMode="External"/><Relationship Id="rId18" Type="http://schemas.openxmlformats.org/officeDocument/2006/relationships/hyperlink" Target="https://hearthstone.blizzard.com/fr-fr/cards/85640-silvermoon-armorer?class=neutral&amp;rarity=common&amp;set=march-of-the-lich-king" TargetMode="External"/><Relationship Id="rId199" Type="http://schemas.openxmlformats.org/officeDocument/2006/relationships/hyperlink" Target="https://hearthstone.blizzard.com/fr-fr/cards/84235-unleash-fel?class=demonhunter&amp;set=march-of-the-lich-king" TargetMode="External"/><Relationship Id="rId84" Type="http://schemas.openxmlformats.org/officeDocument/2006/relationships/hyperlink" Target="https://hearthstone.blizzard.com/fr-fr/cards/80822-marrow-manipulator?class=deathknight&amp;set=standard" TargetMode="External"/><Relationship Id="rId83" Type="http://schemas.openxmlformats.org/officeDocument/2006/relationships/hyperlink" Target="https://hearthstone.blizzard.com/fr-fr/cards/82116-rime-sculptor?class=deathknight&amp;set=standard" TargetMode="External"/><Relationship Id="rId86" Type="http://schemas.openxmlformats.org/officeDocument/2006/relationships/hyperlink" Target="https://hearthstone.blizzard.com/fr-fr/cards/82088-obliterate?class=deathknight&amp;set=standard" TargetMode="External"/><Relationship Id="rId85" Type="http://schemas.openxmlformats.org/officeDocument/2006/relationships/hyperlink" Target="https://hearthstone.blizzard.com/fr-fr/cards/80830-boneguard-commander?class=deathknight&amp;set=standard" TargetMode="External"/><Relationship Id="rId88" Type="http://schemas.openxmlformats.org/officeDocument/2006/relationships/hyperlink" Target="https://hearthstone.blizzard.com/fr-fr/cards/80021-repulsive-gargantuan?class=deathknight&amp;set=standard" TargetMode="External"/><Relationship Id="rId150" Type="http://schemas.openxmlformats.org/officeDocument/2006/relationships/hyperlink" Target="https://hearthstone.blizzard.com/fr-fr/cards/85051-chitinous-plating?class=druid&amp;set=march-of-the-lich-king" TargetMode="External"/><Relationship Id="rId87" Type="http://schemas.openxmlformats.org/officeDocument/2006/relationships/hyperlink" Target="https://hearthstone.blizzard.com/fr-fr/cards/80088-meat-grinder?class=deathknight&amp;set=standard" TargetMode="External"/><Relationship Id="rId89" Type="http://schemas.openxmlformats.org/officeDocument/2006/relationships/hyperlink" Target="https://hearthstone.blizzard.com/fr-fr/cards/81961-might-of-menethil?class=deathknight&amp;set=standard" TargetMode="External"/><Relationship Id="rId80" Type="http://schemas.openxmlformats.org/officeDocument/2006/relationships/hyperlink" Target="https://hearthstone.blizzard.com/fr-fr/cards/80085-tomb-guardians?class=deathknight&amp;set=standard" TargetMode="External"/><Relationship Id="rId82" Type="http://schemas.openxmlformats.org/officeDocument/2006/relationships/hyperlink" Target="https://hearthstone.blizzard.com/fr-fr/cards/80820-corpse-bride?class=deathknight&amp;set=standard" TargetMode="External"/><Relationship Id="rId81" Type="http://schemas.openxmlformats.org/officeDocument/2006/relationships/hyperlink" Target="https://hearthstone.blizzard.com/fr-fr/cards/78333-corpse-explosion?set=march-of-the-lich-king" TargetMode="External"/><Relationship Id="rId1" Type="http://schemas.openxmlformats.org/officeDocument/2006/relationships/hyperlink" Target="https://urlz.fr/iOAv" TargetMode="External"/><Relationship Id="rId2" Type="http://schemas.openxmlformats.org/officeDocument/2006/relationships/hyperlink" Target="https://hearthstone.blizzard.com/fr-fr/cards/84370-arms-dealer?class=neutral&amp;rarity=common&amp;set=march-of-the-lich-king" TargetMode="External"/><Relationship Id="rId3" Type="http://schemas.openxmlformats.org/officeDocument/2006/relationships/hyperlink" Target="https://hearthstone.blizzard.com/fr-fr/cards/85152-foul-egg?class=neutral&amp;rarity=common&amp;set=march-of-the-lich-king" TargetMode="External"/><Relationship Id="rId149" Type="http://schemas.openxmlformats.org/officeDocument/2006/relationships/hyperlink" Target="https://hearthstone.blizzard.com/fr-fr/cards/85046-crypt-keeper?class=druid&amp;set=march-of-the-lich-king" TargetMode="External"/><Relationship Id="rId4" Type="http://schemas.openxmlformats.org/officeDocument/2006/relationships/hyperlink" Target="https://hearthstone.blizzard.com/fr-fr/cards/80084-incorporeal-corporal?class=neutral&amp;rarity=common&amp;set=march-of-the-lich-king" TargetMode="External"/><Relationship Id="rId148" Type="http://schemas.openxmlformats.org/officeDocument/2006/relationships/hyperlink" Target="https://hearthstone.blizzard.com/fr-fr/cards/85047-unending-swarm?class=druid&amp;set=march-of-the-lich-king" TargetMode="External"/><Relationship Id="rId9" Type="http://schemas.openxmlformats.org/officeDocument/2006/relationships/hyperlink" Target="https://hearthstone.blizzard.com/fr-fr/cards/86557-silvermoon-arcanist?class=neutral&amp;rarity=common&amp;set=march-of-the-lich-king" TargetMode="External"/><Relationship Id="rId143" Type="http://schemas.openxmlformats.org/officeDocument/2006/relationships/hyperlink" Target="https://hearthstone.blizzard.com/fr-fr/cards/86092-shadow-of-demise?class=rogue&amp;set=march-of-the-lich-king" TargetMode="External"/><Relationship Id="rId142" Type="http://schemas.openxmlformats.org/officeDocument/2006/relationships/hyperlink" Target="https://hearthstone.blizzard.com/fr-fr/cards/84385-scourge-illusionist?class=rogue&amp;set=march-of-the-lich-king" TargetMode="External"/><Relationship Id="rId141" Type="http://schemas.openxmlformats.org/officeDocument/2006/relationships/hyperlink" Target="https://hearthstone.blizzard.com/fr-fr/cards/86119-vile-apothecary?class=rogue&amp;set=march-of-the-lich-king" TargetMode="External"/><Relationship Id="rId140" Type="http://schemas.openxmlformats.org/officeDocument/2006/relationships/hyperlink" Target="https://hearthstone.blizzard.com/fr-fr/cards/83942-noxious-infiltrator?class=rogue&amp;set=march-of-the-lich-king" TargetMode="External"/><Relationship Id="rId5" Type="http://schemas.openxmlformats.org/officeDocument/2006/relationships/hyperlink" Target="https://hearthstone.blizzard.com/fr-fr/cards/84243-umbral-geist?class=neutral&amp;rarity=common&amp;set=march-of-the-lich-king" TargetMode="External"/><Relationship Id="rId147" Type="http://schemas.openxmlformats.org/officeDocument/2006/relationships/hyperlink" Target="https://hearthstone.blizzard.com/fr-fr/cards/85649-nerubian-flyer?set=march-of-the-lich-king" TargetMode="External"/><Relationship Id="rId6" Type="http://schemas.openxmlformats.org/officeDocument/2006/relationships/hyperlink" Target="https://hearthstone.blizzard.com/fr-fr/cards/80091-bone-flinger?class=neutral&amp;rarity=common&amp;set=march-of-the-lich-king" TargetMode="External"/><Relationship Id="rId146" Type="http://schemas.openxmlformats.org/officeDocument/2006/relationships/hyperlink" Target="https://hearthstone.blizzard.com/fr-fr/cards/85041-lingering-zombie?class=druid&amp;set=march-of-the-lich-king" TargetMode="External"/><Relationship Id="rId7" Type="http://schemas.openxmlformats.org/officeDocument/2006/relationships/hyperlink" Target="https://hearthstone.blizzard.com/fr-fr/cards/90850-vrykul-necrolyte?class=neutral&amp;rarity=common&amp;set=march-of-the-lich-king" TargetMode="External"/><Relationship Id="rId145" Type="http://schemas.openxmlformats.org/officeDocument/2006/relationships/hyperlink" Target="https://hearthstone.blizzard.com/fr-fr/cards/86120-potionmaster-putricide?class=rogue&amp;set=march-of-the-lich-king" TargetMode="External"/><Relationship Id="rId8" Type="http://schemas.openxmlformats.org/officeDocument/2006/relationships/hyperlink" Target="https://hearthstone.blizzard.com/fr-fr/cards/78607-infected-peasant?set=march-of-the-lich-king" TargetMode="External"/><Relationship Id="rId144" Type="http://schemas.openxmlformats.org/officeDocument/2006/relationships/hyperlink" Target="https://clips.twitch.tv/TriangularTenaciousSquidWholeWheat-5Kccp_pasRaT4-LN" TargetMode="External"/><Relationship Id="rId73" Type="http://schemas.openxmlformats.org/officeDocument/2006/relationships/hyperlink" Target="https://hearthstone.blizzard.com/fr-fr/cards/78345-vampiric-blood?set=march-of-the-lich-king" TargetMode="External"/><Relationship Id="rId72" Type="http://schemas.openxmlformats.org/officeDocument/2006/relationships/hyperlink" Target="https://hearthstone.blizzard.com/fr-fr/cards/78649-deathchiller?class=deathknight&amp;set=standard" TargetMode="External"/><Relationship Id="rId75" Type="http://schemas.openxmlformats.org/officeDocument/2006/relationships/hyperlink" Target="https://hearthstone.blizzard.com/fr-fr/cards/78342-anti-magic-shell?class=deathknight&amp;set=standard" TargetMode="External"/><Relationship Id="rId74" Type="http://schemas.openxmlformats.org/officeDocument/2006/relationships/hyperlink" Target="https://hearthstone.blizzard.com/fr-fr/cards/80663-vicious-bloodworm?class=deathknight&amp;set=standard" TargetMode="External"/><Relationship Id="rId77" Type="http://schemas.openxmlformats.org/officeDocument/2006/relationships/hyperlink" Target="https://hearthstone.blizzard.com/fr-fr/cards/80641-graveyard-shift?class=deathknight&amp;set=standard" TargetMode="External"/><Relationship Id="rId76" Type="http://schemas.openxmlformats.org/officeDocument/2006/relationships/hyperlink" Target="https://hearthstone.blizzard.com/fr-fr/cards/86735-ymirjar-deathbringer?class=deathknight&amp;set=standard" TargetMode="External"/><Relationship Id="rId79" Type="http://schemas.openxmlformats.org/officeDocument/2006/relationships/hyperlink" Target="https://hearthstone.blizzard.com/fr-fr/cards/80649-rimefang-sword?class=deathknight&amp;set=standard" TargetMode="External"/><Relationship Id="rId78" Type="http://schemas.openxmlformats.org/officeDocument/2006/relationships/hyperlink" Target="https://hearthstone.blizzard.com/fr-fr/cards/78348-unholy-frenzy?class=deathknight&amp;set=standard" TargetMode="External"/><Relationship Id="rId71" Type="http://schemas.openxmlformats.org/officeDocument/2006/relationships/hyperlink" Target="https://hearthstone.blizzard.com/fr-fr/cards/78356-hematurge?class=deathknight&amp;set=standard" TargetMode="External"/><Relationship Id="rId70" Type="http://schemas.openxmlformats.org/officeDocument/2006/relationships/hyperlink" Target="https://hearthstone.blizzard.com/fr-fr/cards/82269-bonedigger-geist?class=deathknight&amp;set=standard" TargetMode="External"/><Relationship Id="rId139" Type="http://schemas.openxmlformats.org/officeDocument/2006/relationships/hyperlink" Target="https://hearthstone.blizzard.com/fr-fr/cards/86109-ghoulish-alchemist?class=rogue&amp;set=march-of-the-lich-king" TargetMode="External"/><Relationship Id="rId138" Type="http://schemas.openxmlformats.org/officeDocument/2006/relationships/hyperlink" Target="https://hearthstone.blizzard.com/fr-fr/cards/86111-potion-belt?class=rogue&amp;set=march-of-the-lich-king" TargetMode="External"/><Relationship Id="rId137" Type="http://schemas.openxmlformats.org/officeDocument/2006/relationships/hyperlink" Target="https://hearthstone.blizzard.com/fr-fr/cards/84383-rotten-rodent?class=rogue&amp;set=march-of-the-lich-king" TargetMode="External"/><Relationship Id="rId132" Type="http://schemas.openxmlformats.org/officeDocument/2006/relationships/hyperlink" Target="https://hearthstone.blizzard.com/fr-fr/cards/86136-blightblood-berserker?class=shaman&amp;set=march-of-the-lich-king" TargetMode="External"/><Relationship Id="rId131" Type="http://schemas.openxmlformats.org/officeDocument/2006/relationships/hyperlink" Target="https://hearthstone.blizzard.com/fr-fr/cards/84229-scourge-troll?class=shaman&amp;set=march-of-the-lich-king" TargetMode="External"/><Relationship Id="rId130" Type="http://schemas.openxmlformats.org/officeDocument/2006/relationships/hyperlink" Target="https://hearthstone.blizzard.com/fr-fr/cards/84219-from-de-other-side?class=shaman&amp;set=march-of-the-lich-king" TargetMode="External"/><Relationship Id="rId136" Type="http://schemas.openxmlformats.org/officeDocument/2006/relationships/hyperlink" Target="https://hearthstone.blizzard.com/fr-fr/cards/86209-ghostly-strike?class=rogue&amp;set=march-of-the-lich-king" TargetMode="External"/><Relationship Id="rId135" Type="http://schemas.openxmlformats.org/officeDocument/2006/relationships/hyperlink" Target="https://hearthstone.blizzard.com/fr-fr/cards/86112-concoctor?class=rogue&amp;set=march-of-the-lich-king" TargetMode="External"/><Relationship Id="rId134" Type="http://schemas.openxmlformats.org/officeDocument/2006/relationships/hyperlink" Target="https://hearthstone.blizzard.com/fr-fr/cards/84234-overlord-drakuru?class=shaman&amp;set=march-of-the-lich-king" TargetMode="External"/><Relationship Id="rId133" Type="http://schemas.openxmlformats.org/officeDocument/2006/relationships/hyperlink" Target="https://hearthstone.blizzard.com/fr-fr/cards/86132-rotgill?class=shaman&amp;set=march-of-the-lich-king" TargetMode="External"/><Relationship Id="rId62" Type="http://schemas.openxmlformats.org/officeDocument/2006/relationships/hyperlink" Target="https://hearthstone.blizzard.com/fr-fr/cards/78633-possessifier?class=deathknight&amp;set=standard" TargetMode="External"/><Relationship Id="rId61" Type="http://schemas.openxmlformats.org/officeDocument/2006/relationships/hyperlink" Target="https://hearthstone.blizzard.com/fr-fr/cards/78352-army-of-the-dead?class=deathknight&amp;set=standard" TargetMode="External"/><Relationship Id="rId64" Type="http://schemas.openxmlformats.org/officeDocument/2006/relationships/hyperlink" Target="https://hearthstone.blizzard.com/fr-fr/cards/78357-corrupted-ashbringer?class=deathknight&amp;set=standard" TargetMode="External"/><Relationship Id="rId63" Type="http://schemas.openxmlformats.org/officeDocument/2006/relationships/hyperlink" Target="https://hearthstone.blizzard.com/fr-fr/cards/80819-gnome-muncher?class=deathknight&amp;set=standard" TargetMode="External"/><Relationship Id="rId66" Type="http://schemas.openxmlformats.org/officeDocument/2006/relationships/hyperlink" Target="https://hearthstone.blizzard.com/fr-fr/cards/78335-plagued-grain?class=deathknight&amp;set=standard" TargetMode="External"/><Relationship Id="rId172" Type="http://schemas.openxmlformats.org/officeDocument/2006/relationships/hyperlink" Target="https://hearthstone.blizzard.com/fr-fr/cards/84358-haunting-nightmare?class=priest&amp;set=march-of-the-lich-king" TargetMode="External"/><Relationship Id="rId65" Type="http://schemas.openxmlformats.org/officeDocument/2006/relationships/hyperlink" Target="https://hearthstone.blizzard.com/fr-fr/cards/78641-noxious-cadaver?class=deathknight&amp;set=standard" TargetMode="External"/><Relationship Id="rId171" Type="http://schemas.openxmlformats.org/officeDocument/2006/relationships/hyperlink" Target="https://hearthstone.blizzard.com/fr-fr/cards/84206-shadow-word-undeath?class=priest&amp;set=march-of-the-lich-king" TargetMode="External"/><Relationship Id="rId68" Type="http://schemas.openxmlformats.org/officeDocument/2006/relationships/hyperlink" Target="https://hearthstone.blizzard.com/fr-fr/cards/80664-blood-tap?class=deathknight&amp;set=standard" TargetMode="External"/><Relationship Id="rId170" Type="http://schemas.openxmlformats.org/officeDocument/2006/relationships/hyperlink" Target="https://hearthstone.blizzard.com/fr-fr/cards/84133-bonecaller?class=priest&amp;set=march-of-the-lich-king" TargetMode="External"/><Relationship Id="rId67" Type="http://schemas.openxmlformats.org/officeDocument/2006/relationships/hyperlink" Target="https://hearthstone.blizzard.com/fr-fr/cards/80736-runeforging?class=deathknight&amp;set=standard" TargetMode="External"/><Relationship Id="rId60" Type="http://schemas.openxmlformats.org/officeDocument/2006/relationships/hyperlink" Target="https://hearthstone.blizzard.com/fr-fr/cards/82073-malignant-horror?set=path-of-arthas&amp;sort=manaCost%3Aasc%2Cname%3Aasc%2Cclasses%3Aasc%2CgroupByClass%3Aasc" TargetMode="External"/><Relationship Id="rId165" Type="http://schemas.openxmlformats.org/officeDocument/2006/relationships/hyperlink" Target="https://hearthstone.blizzard.com/fr-fr/cards/84400-hope-of-quelthalas?class=hunter&amp;set=march-of-the-lich-king" TargetMode="External"/><Relationship Id="rId69" Type="http://schemas.openxmlformats.org/officeDocument/2006/relationships/hyperlink" Target="https://hearthstone.blizzard.com/fr-fr/cards/79569-defrost?class=deathknight&amp;set=standard" TargetMode="External"/><Relationship Id="rId164" Type="http://schemas.openxmlformats.org/officeDocument/2006/relationships/hyperlink" Target="https://hearthstone.blizzard.com/fr-fr/cards/84272-halduron-brightwing?class=hunter&amp;set=march-of-the-lich-king" TargetMode="External"/><Relationship Id="rId163" Type="http://schemas.openxmlformats.org/officeDocument/2006/relationships/hyperlink" Target="https://hearthstone.blizzard.com/fr-fr/cards/84274-scourge-tamer?class=hunter&amp;set=march-of-the-lich-king" TargetMode="External"/><Relationship Id="rId162" Type="http://schemas.openxmlformats.org/officeDocument/2006/relationships/hyperlink" Target="https://hearthstone.blizzard.com/fr-fr/cards/84237-arcane-quiver?set=march-of-the-lich-king" TargetMode="External"/><Relationship Id="rId169" Type="http://schemas.openxmlformats.org/officeDocument/2006/relationships/hyperlink" Target="https://hearthstone.blizzard.com/fr-fr/cards/84132-animate-dead?class=priest&amp;set=march-of-the-lich-king" TargetMode="External"/><Relationship Id="rId168" Type="http://schemas.openxmlformats.org/officeDocument/2006/relationships/hyperlink" Target="https://hearthstone.blizzard.com/fr-fr/cards/90644-mind-eater?class=priest&amp;set=march-of-the-lich-king" TargetMode="External"/><Relationship Id="rId167" Type="http://schemas.openxmlformats.org/officeDocument/2006/relationships/hyperlink" Target="https://hearthstone.blizzard.com/fr-fr/cards/84204-crystalsmith-cultist?class=priest&amp;set=march-of-the-lich-king" TargetMode="External"/><Relationship Id="rId166" Type="http://schemas.openxmlformats.org/officeDocument/2006/relationships/hyperlink" Target="https://hearthstone.blizzard.com/fr-fr/cards/84361-undying-allies?class=priest&amp;set=march-of-the-lich-king" TargetMode="External"/><Relationship Id="rId51" Type="http://schemas.openxmlformats.org/officeDocument/2006/relationships/hyperlink" Target="https://hearthstone.blizzard.com/fr-fr/cards/79503-asphyxiate?class=deathknight&amp;set=standard" TargetMode="External"/><Relationship Id="rId50" Type="http://schemas.openxmlformats.org/officeDocument/2006/relationships/hyperlink" Target="https://hearthstone.blizzard.com/fr-fr/cards/80089-acolyte-of-death?set=march-of-the-lich-king" TargetMode="External"/><Relationship Id="rId53" Type="http://schemas.openxmlformats.org/officeDocument/2006/relationships/hyperlink" Target="https://hearthstone.blizzard.com/fr-fr/cards/80647-chillfallen-baron?class=deathknight&amp;set=standard" TargetMode="External"/><Relationship Id="rId52" Type="http://schemas.openxmlformats.org/officeDocument/2006/relationships/hyperlink" Target="https://hearthstone.blizzard.com/fr-fr/cards/81973-glacial-advance?class=deathknight&amp;set=standard" TargetMode="External"/><Relationship Id="rId55" Type="http://schemas.openxmlformats.org/officeDocument/2006/relationships/hyperlink" Target="https://hearthstone.blizzard.com/fr-fr/cards/81849-darkfallen-neophyte?class=deathknight&amp;set=standard" TargetMode="External"/><Relationship Id="rId161" Type="http://schemas.openxmlformats.org/officeDocument/2006/relationships/hyperlink" Target="https://hearthstone.blizzard.com/fr-fr/cards/84266-eversong-portal?class=hunter&amp;set=march-of-the-lich-king" TargetMode="External"/><Relationship Id="rId54" Type="http://schemas.openxmlformats.org/officeDocument/2006/relationships/hyperlink" Target="https://hearthstone.blizzard.com/fr-fr/cards/78314-soulbreaker?class=deathknight&amp;set=standard" TargetMode="External"/><Relationship Id="rId160" Type="http://schemas.openxmlformats.org/officeDocument/2006/relationships/hyperlink" Target="https://hearthstone.blizzard.com/fr-fr/cards/84393-silvermoon-farstrider?class=hunter&amp;set=march-of-the-lich-king" TargetMode="External"/><Relationship Id="rId57" Type="http://schemas.openxmlformats.org/officeDocument/2006/relationships/hyperlink" Target="https://hearthstone.blizzard.com/fr-fr/cards/78324-death-strike?class=deathknight&amp;rarity=common&amp;set=standard" TargetMode="External"/><Relationship Id="rId56" Type="http://schemas.openxmlformats.org/officeDocument/2006/relationships/hyperlink" Target="https://hearthstone.blizzard.com/fr-fr/cards/78317-howling-blast?class=deathknight&amp;set=standard" TargetMode="External"/><Relationship Id="rId159" Type="http://schemas.openxmlformats.org/officeDocument/2006/relationships/hyperlink" Target="https://hearthstone.blizzard.com/fr-fr/cards/84007-conjured-arrow?class=hunter&amp;set=march-of-the-lich-king" TargetMode="External"/><Relationship Id="rId59" Type="http://schemas.openxmlformats.org/officeDocument/2006/relationships/hyperlink" Target="https://hearthstone.blizzard.com/fr-fr/cards/80648-remorseless-winter?class=deathknight&amp;set=standard" TargetMode="External"/><Relationship Id="rId154" Type="http://schemas.openxmlformats.org/officeDocument/2006/relationships/hyperlink" Target="https://hearthstone.blizzard.com/fr-fr/cards/85053-elder-nadox?class=druid&amp;set=march-of-the-lich-king" TargetMode="External"/><Relationship Id="rId58" Type="http://schemas.openxmlformats.org/officeDocument/2006/relationships/hyperlink" Target="https://hearthstone.blizzard.com/fr-fr/cards/78354-nerubian-swarmguard?class=deathknight&amp;set=standard" TargetMode="External"/><Relationship Id="rId153" Type="http://schemas.openxmlformats.org/officeDocument/2006/relationships/hyperlink" Target="https://hearthstone.blizzard.com/fr-fr/cards/85052-underking?class=druid&amp;set=march-of-the-lich-king" TargetMode="External"/><Relationship Id="rId152" Type="http://schemas.openxmlformats.org/officeDocument/2006/relationships/hyperlink" Target="https://hearthstone.blizzard.com/fr-fr/cards/85050-wither?class=druid&amp;set=march-of-the-lich-king" TargetMode="External"/><Relationship Id="rId151" Type="http://schemas.openxmlformats.org/officeDocument/2006/relationships/hyperlink" Target="https://hearthstone.blizzard.com/fr-fr/cards/85049-beetlemancy?class=druid&amp;set=march-of-the-lich-king" TargetMode="External"/><Relationship Id="rId158" Type="http://schemas.openxmlformats.org/officeDocument/2006/relationships/hyperlink" Target="https://hearthstone.blizzard.com/fr-fr/cards/84398-keeneye-spotter?class=hunter&amp;set=march-of-the-lich-king" TargetMode="External"/><Relationship Id="rId157" Type="http://schemas.openxmlformats.org/officeDocument/2006/relationships/hyperlink" Target="https://hearthstone.blizzard.com/fr-fr/cards/84392-shockspitter?class=hunter&amp;set=march-of-the-lich-king" TargetMode="External"/><Relationship Id="rId156" Type="http://schemas.openxmlformats.org/officeDocument/2006/relationships/hyperlink" Target="https://hearthstone.blizzard.com/fr-fr/cards/84250-ricochet-shot?class=hunter&amp;set=march-of-the-lich-king" TargetMode="External"/><Relationship Id="rId155" Type="http://schemas.openxmlformats.org/officeDocument/2006/relationships/hyperlink" Target="https://hearthstone.blizzard.com/fr-fr/cards/85054-anubrekhan?class=druid&amp;set=march-of-the-lich-king" TargetMode="External"/><Relationship Id="rId107" Type="http://schemas.openxmlformats.org/officeDocument/2006/relationships/hyperlink" Target="https://hearthstone.blizzard.com/fr-fr/cards/84293-silverfury-stalwart?set=march-of-the-lich-king" TargetMode="External"/><Relationship Id="rId106" Type="http://schemas.openxmlformats.org/officeDocument/2006/relationships/hyperlink" Target="https://hearthstone.blizzard.com/fr-fr/cards/84623-light-of-the-phoenix?class=warrior&amp;set=march-of-the-lich-king" TargetMode="External"/><Relationship Id="rId105" Type="http://schemas.openxmlformats.org/officeDocument/2006/relationships/hyperlink" Target="https://hearthstone.blizzard.com/fr-fr/cards/84296-blazing-power?class=warrior&amp;set=march-of-the-lich-king" TargetMode="External"/><Relationship Id="rId104" Type="http://schemas.openxmlformats.org/officeDocument/2006/relationships/hyperlink" Target="https://hearthstone.blizzard.com/fr-fr/cards/80090-the-scourge?class=deathknight&amp;set=standard" TargetMode="External"/><Relationship Id="rId109" Type="http://schemas.openxmlformats.org/officeDocument/2006/relationships/hyperlink" Target="https://hearthstone.blizzard.com/fr-fr/cards/84292-last-stand?class=warrior&amp;set=march-of-the-lich-king" TargetMode="External"/><Relationship Id="rId108" Type="http://schemas.openxmlformats.org/officeDocument/2006/relationships/hyperlink" Target="https://hearthstone.blizzard.com/fr-fr/cards/86417-embers-of-strength?set=march-of-the-lich-king" TargetMode="External"/><Relationship Id="rId103" Type="http://schemas.openxmlformats.org/officeDocument/2006/relationships/hyperlink" Target="https://hearthstone.blizzard.com/fr-fr/cards/79480-lord-marrowgar?class=deathknight&amp;set=standard" TargetMode="External"/><Relationship Id="rId102" Type="http://schemas.openxmlformats.org/officeDocument/2006/relationships/hyperlink" Target="https://hearthstone.blizzard.com/fr-fr/cards/78601-patchwerk?class=deathknight&amp;set=standard" TargetMode="External"/><Relationship Id="rId101" Type="http://schemas.openxmlformats.org/officeDocument/2006/relationships/hyperlink" Target="https://hearthstone.blizzard.com/fr-fr/cards/78169-frostmourne?class=deathknight&amp;set=standard" TargetMode="External"/><Relationship Id="rId100" Type="http://schemas.openxmlformats.org/officeDocument/2006/relationships/hyperlink" Target="https://hearthstone.blizzard.com/fr-fr/cards/80644-alexandros-mograine?class=deathknight&amp;set=standard" TargetMode="External"/><Relationship Id="rId129" Type="http://schemas.openxmlformats.org/officeDocument/2006/relationships/hyperlink" Target="https://hearthstone.blizzard.com/fr-fr/cards/86150-prescience?class=shaman&amp;set=march-of-the-lich-king" TargetMode="External"/><Relationship Id="rId128" Type="http://schemas.openxmlformats.org/officeDocument/2006/relationships/hyperlink" Target="https://hearthstone.blizzard.com/fr-fr/cards/84212-shadow-suffusion?class=shaman&amp;set=march-of-the-lich-king" TargetMode="External"/><Relationship Id="rId127" Type="http://schemas.openxmlformats.org/officeDocument/2006/relationships/hyperlink" Target="https://hearthstone.blizzard.com/fr-fr/cards/86186-harkener-of-dread?class=shaman&amp;set=march-of-the-lich-king" TargetMode="External"/><Relationship Id="rId126" Type="http://schemas.openxmlformats.org/officeDocument/2006/relationships/hyperlink" Target="https://hearthstone.blizzard.com/fr-fr/cards/86147-unliving-champion?set=march-of-the-lich-king" TargetMode="External"/><Relationship Id="rId121" Type="http://schemas.openxmlformats.org/officeDocument/2006/relationships/hyperlink" Target="https://hearthstone.blizzard.com/fr-fr/cards/84288-shallow-grave?class=warlock&amp;set=march-of-the-lich-king" TargetMode="External"/><Relationship Id="rId120" Type="http://schemas.openxmlformats.org/officeDocument/2006/relationships/hyperlink" Target="https://hearthstone.blizzard.com/fr-fr/cards/84273-savage-ymirjar?class=warlock&amp;set=march-of-the-lich-king" TargetMode="External"/><Relationship Id="rId125" Type="http://schemas.openxmlformats.org/officeDocument/2006/relationships/hyperlink" Target="https://hearthstone.blizzard.com/fr-fr/cards/84209-deathweaver-aura?set=march-of-the-lich-king" TargetMode="External"/><Relationship Id="rId124" Type="http://schemas.openxmlformats.org/officeDocument/2006/relationships/hyperlink" Target="https://hearthstone.blizzard.com/fr-fr/cards/84302-darkhan-drathir?class=warlock&amp;set=march-of-the-lich-king" TargetMode="External"/><Relationship Id="rId123" Type="http://schemas.openxmlformats.org/officeDocument/2006/relationships/hyperlink" Target="https://hearthstone.blizzard.com/fr-fr/cards/84290-devourer-of-souls?class=warlock&amp;set=march-of-the-lich-king" TargetMode="External"/><Relationship Id="rId122" Type="http://schemas.openxmlformats.org/officeDocument/2006/relationships/hyperlink" Target="https://hearthstone.blizzard.com/fr-fr/cards/84357-amorphous-slime?class=warlock&amp;set=march-of-the-lich-king" TargetMode="External"/><Relationship Id="rId95" Type="http://schemas.openxmlformats.org/officeDocument/2006/relationships/hyperlink" Target="https://hearthstone.blizzard.com/fr-fr/cards/86733-blightfang?class=deathknight&amp;set=standard" TargetMode="External"/><Relationship Id="rId94" Type="http://schemas.openxmlformats.org/officeDocument/2006/relationships/hyperlink" Target="https://hearthstone.blizzard.com/fr-fr/cards/82072-stitched-giant?class=deathknight&amp;set=standard" TargetMode="External"/><Relationship Id="rId97" Type="http://schemas.openxmlformats.org/officeDocument/2006/relationships/hyperlink" Target="https://hearthstone.blizzard.com/fr-fr/cards/86731-thassarian?class=deathknight&amp;set=standard" TargetMode="External"/><Relationship Id="rId96" Type="http://schemas.openxmlformats.org/officeDocument/2006/relationships/hyperlink" Target="https://hearthstone.blizzard.com/fr-fr/cards/80708-lady-deathwhisper?class=deathknight&amp;set=standard" TargetMode="External"/><Relationship Id="rId99" Type="http://schemas.openxmlformats.org/officeDocument/2006/relationships/hyperlink" Target="https://hearthstone.blizzard.com/fr-fr/cards/86732-overseer-frigidara?class=deathknight&amp;set=standard" TargetMode="External"/><Relationship Id="rId98" Type="http://schemas.openxmlformats.org/officeDocument/2006/relationships/hyperlink" Target="https://hearthstone.blizzard.com/fr-fr/cards/78644-deathbringer-saurfang?class=deathknight&amp;set=standard" TargetMode="External"/><Relationship Id="rId91" Type="http://schemas.openxmlformats.org/officeDocument/2006/relationships/hyperlink" Target="https://hearthstone.blizzard.com/fr-fr/cards/81206-blood-boil?class=deathknight&amp;set=standard" TargetMode="External"/><Relationship Id="rId90" Type="http://schemas.openxmlformats.org/officeDocument/2006/relationships/hyperlink" Target="https://hearthstone.blizzard.com/fr-fr/cards/80645-grave-strength?class=deathknight&amp;set=standard" TargetMode="External"/><Relationship Id="rId93" Type="http://schemas.openxmlformats.org/officeDocument/2006/relationships/hyperlink" Target="https://hearthstone.blizzard.com/fr-fr/cards/81963-soulstealer?class=deathknight&amp;set=standard" TargetMode="External"/><Relationship Id="rId92" Type="http://schemas.openxmlformats.org/officeDocument/2006/relationships/hyperlink" Target="https://hearthstone.blizzard.com/fr-fr/cards/78355-frostwyrms-fury?class=deathknight&amp;set=standard" TargetMode="External"/><Relationship Id="rId118" Type="http://schemas.openxmlformats.org/officeDocument/2006/relationships/hyperlink" Target="https://hearthstone.blizzard.com/fr-fr/cards/84289-twisted-tether?class=warlock&amp;set=march-of-the-lich-king" TargetMode="External"/><Relationship Id="rId117" Type="http://schemas.openxmlformats.org/officeDocument/2006/relationships/hyperlink" Target="https://hearthstone.blizzard.com/fr-fr/cards/84238-infantry-reanimator?class=warlock&amp;set=march-of-the-lich-king" TargetMode="External"/><Relationship Id="rId116" Type="http://schemas.openxmlformats.org/officeDocument/2006/relationships/hyperlink" Target="https://hearthstone.blizzard.com/fr-fr/cards/84248-walking-dead?class=warlock&amp;set=march-of-the-lich-king" TargetMode="External"/><Relationship Id="rId115" Type="http://schemas.openxmlformats.org/officeDocument/2006/relationships/hyperlink" Target="https://hearthstone.blizzard.com/fr-fr/cards/84261-scourge-supplies?class=warlock&amp;set=march-of-the-lich-king" TargetMode="External"/><Relationship Id="rId119" Type="http://schemas.openxmlformats.org/officeDocument/2006/relationships/hyperlink" Target="https://hearthstone.blizzard.com/fr-fr/cards/84267-soul-barrage?class=warlock&amp;set=march-of-the-lich-king" TargetMode="External"/><Relationship Id="rId110" Type="http://schemas.openxmlformats.org/officeDocument/2006/relationships/hyperlink" Target="https://hearthstone.blizzard.com/fr-fr/cards/84291-sunfire-smithing?class=warrior&amp;set=march-of-the-lich-king" TargetMode="External"/><Relationship Id="rId114" Type="http://schemas.openxmlformats.org/officeDocument/2006/relationships/hyperlink" Target="https://hearthstone.blizzard.com/fr-fr/cards/93881-thoribelore?class=warrior&amp;set=march-of-the-lich-king" TargetMode="External"/><Relationship Id="rId113" Type="http://schemas.openxmlformats.org/officeDocument/2006/relationships/hyperlink" Target="https://hearthstone.blizzard.com/fr-fr/cards/84300-asvedon-the-grandshield?class=warrior&amp;set=march-of-the-lich-king" TargetMode="External"/><Relationship Id="rId112" Type="http://schemas.openxmlformats.org/officeDocument/2006/relationships/hyperlink" Target="https://hearthstone.blizzard.com/fr-fr/cards/84299-disruptive-spellbreaker?class=warrior&amp;set=march-of-the-lich-king" TargetMode="External"/><Relationship Id="rId111" Type="http://schemas.openxmlformats.org/officeDocument/2006/relationships/hyperlink" Target="https://hearthstone.blizzard.com/fr-fr/cards/84301-sunfury-champion?class=warrior&amp;set=march-of-the-lich-king" TargetMode="External"/><Relationship Id="rId206" Type="http://schemas.openxmlformats.org/officeDocument/2006/relationships/drawing" Target="../drawings/drawing2.xml"/><Relationship Id="rId205" Type="http://schemas.openxmlformats.org/officeDocument/2006/relationships/hyperlink" Target="https://hearthstone.blizzard.com/fr-fr/cards/84260-felerin-the-forgotten?class=demonhunter&amp;set=march-of-the-lich-king" TargetMode="External"/><Relationship Id="rId204" Type="http://schemas.openxmlformats.org/officeDocument/2006/relationships/hyperlink" Target="https://hearthstone.blizzard.com/fr-fr/cards/84245-souleaters-scythe?class=demonhunter&amp;set=march-of-the-lich-king" TargetMode="External"/><Relationship Id="rId203" Type="http://schemas.openxmlformats.org/officeDocument/2006/relationships/hyperlink" Target="https://hearthstone.blizzard.com/fr-fr/cards/84242-brutal-annihilan?class=demonhunter&amp;set=march-of-the-lich-king" TargetMode="External"/><Relationship Id="rId202" Type="http://schemas.openxmlformats.org/officeDocument/2006/relationships/hyperlink" Target="https://hearthstone.blizzard.com/fr-fr/cards/84239-wretched-exile?class=demonhunter&amp;set=march-of-the-lich-king" TargetMode="External"/><Relationship Id="rId201" Type="http://schemas.openxmlformats.org/officeDocument/2006/relationships/hyperlink" Target="https://hearthstone.blizzard.com/fr-fr/cards/84244-vengeful-walloper?class=demonhunter&amp;set=march-of-the-lich-king" TargetMode="External"/><Relationship Id="rId200" Type="http://schemas.openxmlformats.org/officeDocument/2006/relationships/hyperlink" Target="https://hearthstone.blizzard.com/fr-fr/cards/84240-deal-with-a-devil?set=march-of-the-lich-k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JFhsabJ-VgM?t=13168" TargetMode="External"/><Relationship Id="rId42" Type="http://schemas.openxmlformats.org/officeDocument/2006/relationships/hyperlink" Target="https://youtu.be/JFhsabJ-VgM?t=13247" TargetMode="External"/><Relationship Id="rId41" Type="http://schemas.openxmlformats.org/officeDocument/2006/relationships/hyperlink" Target="https://playhearthstone.com/fr-fr/cards/79934-kaelthas-sinstrider?class=neutral&amp;set=murder-at-castle-nathria" TargetMode="External"/><Relationship Id="rId44" Type="http://schemas.openxmlformats.org/officeDocument/2006/relationships/hyperlink" Target="https://youtu.be/JFhsabJ-VgM?t=13411" TargetMode="External"/><Relationship Id="rId43" Type="http://schemas.openxmlformats.org/officeDocument/2006/relationships/hyperlink" Target="https://playhearthstone.com/fr-fr/cards/75881-sire-denathrius?class=neutral&amp;set=murder-at-castle-nathria" TargetMode="External"/><Relationship Id="rId46" Type="http://schemas.openxmlformats.org/officeDocument/2006/relationships/hyperlink" Target="https://playhearthstone.com/fr-fr/cards/78142-anima-extractor?set=murder-at-castle-nathria&amp;sort=dateadded%3Adesc%2Cname%3Aasc%2Cclasses%3Aasc" TargetMode="External"/><Relationship Id="rId45" Type="http://schemas.openxmlformats.org/officeDocument/2006/relationships/hyperlink" Target="https://playhearthstone.com/fr-fr/cards/77311-imbued-axe?class=warrior&amp;set=murder-at-castle-nathria" TargetMode="External"/><Relationship Id="rId48" Type="http://schemas.openxmlformats.org/officeDocument/2006/relationships/hyperlink" Target="https://youtu.be/JFhsabJ-VgM?t=544" TargetMode="External"/><Relationship Id="rId47" Type="http://schemas.openxmlformats.org/officeDocument/2006/relationships/hyperlink" Target="https://playhearthstone.com/fr-fr/cards/77244-crazed-wretch?set=murder-at-castle-nathria&amp;sort=dateadded%3Adesc%2Cname%3Aasc%2Cclasses%3Aasc" TargetMode="External"/><Relationship Id="rId49" Type="http://schemas.openxmlformats.org/officeDocument/2006/relationships/hyperlink" Target="https://playhearthstone.com/fr-fr/cards/82313-sanguine-depths?class=warrior&amp;set=murder-at-castle-nathria" TargetMode="External"/><Relationship Id="rId31" Type="http://schemas.openxmlformats.org/officeDocument/2006/relationships/hyperlink" Target="https://playhearthstone.com/fr-fr/cards/78375-ashen-elemental?class=neutral&amp;set=murder-at-castle-nathria" TargetMode="External"/><Relationship Id="rId30" Type="http://schemas.openxmlformats.org/officeDocument/2006/relationships/hyperlink" Target="https://youtu.be/JFhsabJ-VgM?t=12572" TargetMode="External"/><Relationship Id="rId33" Type="http://schemas.openxmlformats.org/officeDocument/2006/relationships/hyperlink" Target="https://playhearthstone.com/fr-fr/cards/79928-sinfueled-golem?class=neutral&amp;set=murder-at-castle-nathria" TargetMode="External"/><Relationship Id="rId32" Type="http://schemas.openxmlformats.org/officeDocument/2006/relationships/hyperlink" Target="https://playhearthstone.com/fr-fr/cards/79990-demolition-renovator?class=neutral&amp;set=murder-at-castle-nathria" TargetMode="External"/><Relationship Id="rId35" Type="http://schemas.openxmlformats.org/officeDocument/2006/relationships/hyperlink" Target="https://youtu.be/JFhsabJ-VgM?t=12845" TargetMode="External"/><Relationship Id="rId34" Type="http://schemas.openxmlformats.org/officeDocument/2006/relationships/hyperlink" Target="https://playhearthstone.com/fr-fr/cards/79584-insatiable-devourer?class=neutral&amp;set=murder-at-castle-nathria" TargetMode="External"/><Relationship Id="rId37" Type="http://schemas.openxmlformats.org/officeDocument/2006/relationships/hyperlink" Target="https://playhearthstone.com/fr-fr/cards/79935-murloc-holmes?class=neutral&amp;set=murder-at-castle-nathria" TargetMode="External"/><Relationship Id="rId36" Type="http://schemas.openxmlformats.org/officeDocument/2006/relationships/hyperlink" Target="https://playhearthstone.com/fr-fr/cards/78547-party-crasher?class=neutral&amp;set=murder-at-castle-nathria" TargetMode="External"/><Relationship Id="rId39" Type="http://schemas.openxmlformats.org/officeDocument/2006/relationships/hyperlink" Target="https://playhearthstone.com/fr-fr/cards/76984-theotar-the-mad-duke?class=neutral&amp;set=murder-at-castle-nathria" TargetMode="External"/><Relationship Id="rId174" Type="http://schemas.openxmlformats.org/officeDocument/2006/relationships/drawing" Target="../drawings/drawing3.xml"/><Relationship Id="rId38" Type="http://schemas.openxmlformats.org/officeDocument/2006/relationships/hyperlink" Target="https://playhearthstone.com/fr-fr/cards/79767-prince-renathal?class=neutral&amp;set=murder-at-castle-nathria" TargetMode="External"/><Relationship Id="rId173" Type="http://schemas.openxmlformats.org/officeDocument/2006/relationships/hyperlink" Target="https://youtu.be/JFhsabJ-VgM?t=10477" TargetMode="External"/><Relationship Id="rId20" Type="http://schemas.openxmlformats.org/officeDocument/2006/relationships/hyperlink" Target="https://playhearthstone.com/fr-fr/cards/79563-masked-reveler?set=murder-at-castle-nathria&amp;sort=dateadded%3Adesc%2Cname%3Aasc%2Cclasses%3Aasc" TargetMode="External"/><Relationship Id="rId22" Type="http://schemas.openxmlformats.org/officeDocument/2006/relationships/hyperlink" Target="https://playhearthstone.com/fr-fr/cards/79557-bog-beast?class=neutral&amp;set=murder-at-castle-nathria" TargetMode="External"/><Relationship Id="rId21" Type="http://schemas.openxmlformats.org/officeDocument/2006/relationships/hyperlink" Target="https://youtu.be/JFhsabJ-VgM?t=12133" TargetMode="External"/><Relationship Id="rId24" Type="http://schemas.openxmlformats.org/officeDocument/2006/relationships/hyperlink" Target="https://playhearthstone.com/fr-fr/cards/79532-stoneborn-general?set=murder-at-castle-nathria&amp;sort=dateadded%3Adesc%2Cname%3Aasc%2Cclasses%3Aasc" TargetMode="External"/><Relationship Id="rId23" Type="http://schemas.openxmlformats.org/officeDocument/2006/relationships/hyperlink" Target="https://playhearthstone.com/fr-fr/cards/79562-red-herring?class=neutral&amp;set=murder-at-castle-nathria" TargetMode="External"/><Relationship Id="rId26" Type="http://schemas.openxmlformats.org/officeDocument/2006/relationships/hyperlink" Target="https://playhearthstone.com/fr-fr/cards/79535-invitation-courier?set=murder-at-castle-nathria&amp;sort=dateadded%3Adesc%2Cname%3Aasc%2Cclasses%3Aasc" TargetMode="External"/><Relationship Id="rId25" Type="http://schemas.openxmlformats.org/officeDocument/2006/relationships/hyperlink" Target="https://playhearthstone.com/fr-fr/cards/79581-crooked-cook?set=murder-at-castle-nathria&amp;sort=dateadded%3Adesc%2Cname%3Aasc%2Cclasses%3Aasc" TargetMode="External"/><Relationship Id="rId28" Type="http://schemas.openxmlformats.org/officeDocument/2006/relationships/hyperlink" Target="https://playhearthstone.com/fr-fr/cards/79932-famished-fool?class=neutral&amp;set=murder-at-castle-nathria" TargetMode="External"/><Relationship Id="rId27" Type="http://schemas.openxmlformats.org/officeDocument/2006/relationships/hyperlink" Target="https://playhearthstone.com/fr-fr/cards/75876-dispossessed-soul?class=neutral&amp;set=murder-at-castle-nathria" TargetMode="External"/><Relationship Id="rId29" Type="http://schemas.openxmlformats.org/officeDocument/2006/relationships/hyperlink" Target="https://playhearthstone.com/fr-fr/cards?class=neutral&amp;rarity=rare&amp;set=murder-at-castle-nathria" TargetMode="External"/><Relationship Id="rId11" Type="http://schemas.openxmlformats.org/officeDocument/2006/relationships/hyperlink" Target="https://youtu.be/JFhsabJ-VgM?t=11635" TargetMode="External"/><Relationship Id="rId10" Type="http://schemas.openxmlformats.org/officeDocument/2006/relationships/hyperlink" Target="https://hearthstone.blizzard.com/fr-fr/cards/79784-forensic-duster?manaCost=3&amp;set=murder-at-castle-nathria&amp;sort=name%3Aasc%2Cclasses%3Aasc" TargetMode="External"/><Relationship Id="rId13" Type="http://schemas.openxmlformats.org/officeDocument/2006/relationships/hyperlink" Target="https://playhearthstone.com/fr-fr/cards/79992-dinner-performer?set=murder-at-castle-nathria&amp;sort=dateadded%3Adesc%2Cname%3Aasc%2Cclasses%3Aasc" TargetMode="External"/><Relationship Id="rId12" Type="http://schemas.openxmlformats.org/officeDocument/2006/relationships/hyperlink" Target="https://playhearthstone.com/fr-fr/cards/76968-creepy-painting?set=murder-at-castle-nathria&amp;sort=dateadded%3Adesc%2Cname%3Aasc%2Cclasses%3Aasc" TargetMode="External"/><Relationship Id="rId15" Type="http://schemas.openxmlformats.org/officeDocument/2006/relationships/hyperlink" Target="https://playhearthstone.com/fr-fr/cards/75868-scuttlebutt-ghoul?set=murder-at-castle-nathria&amp;sort=dateadded%3Adesc%2Cname%3Aasc%2Cclasses%3Aasc" TargetMode="External"/><Relationship Id="rId14" Type="http://schemas.openxmlformats.org/officeDocument/2006/relationships/hyperlink" Target="https://playhearthstone.com/fr-fr/cards/79559-stoneborn-accuser?set=murder-at-castle-nathria&amp;sort=dateadded%3Adesc%2Cname%3Aasc%2Cclasses%3Aasc" TargetMode="External"/><Relationship Id="rId17" Type="http://schemas.openxmlformats.org/officeDocument/2006/relationships/hyperlink" Target="https://playhearthstone.com/fr-fr/cards/78133-muck-plumber?set=murder-at-castle-nathria&amp;sort=dateadded%3Adesc%2Cname%3Aasc%2Cclasses%3Aasc" TargetMode="External"/><Relationship Id="rId16" Type="http://schemas.openxmlformats.org/officeDocument/2006/relationships/hyperlink" Target="https://playhearthstone.com/fr-fr/cards/78155-murlocula?set=murder-at-castle-nathria" TargetMode="External"/><Relationship Id="rId19" Type="http://schemas.openxmlformats.org/officeDocument/2006/relationships/hyperlink" Target="https://playhearthstone.com/fr-fr/cards/77308-sinrunner?class=neutral&amp;set=murder-at-castle-nathria" TargetMode="External"/><Relationship Id="rId18" Type="http://schemas.openxmlformats.org/officeDocument/2006/relationships/hyperlink" Target="https://youtu.be/JFhsabJ-VgM?t=12021" TargetMode="External"/><Relationship Id="rId84" Type="http://schemas.openxmlformats.org/officeDocument/2006/relationships/hyperlink" Target="https://playhearthstone.com/fr-fr/cards/77149-private-eye?class=rogue&amp;set=murder-at-castle-nathria" TargetMode="External"/><Relationship Id="rId83" Type="http://schemas.openxmlformats.org/officeDocument/2006/relationships/hyperlink" Target="https://playhearthstone.com/fr-fr/cards/77150-sticky-situation?class=rogue&amp;set=murder-at-castle-nathria" TargetMode="External"/><Relationship Id="rId86" Type="http://schemas.openxmlformats.org/officeDocument/2006/relationships/hyperlink" Target="https://playhearthstone.com/fr-fr/cards/77557-serrated-bone-spike?class=rogue&amp;set=murder-at-castle-nathria" TargetMode="External"/><Relationship Id="rId85" Type="http://schemas.openxmlformats.org/officeDocument/2006/relationships/hyperlink" Target="https://playhearthstone.com/fr-fr/cards/77148-double-cross?set=murder-at-castle-nathria&amp;sort=dateadded%3Adesc%2Cname%3Aasc%2Cclasses%3Aasc" TargetMode="External"/><Relationship Id="rId88" Type="http://schemas.openxmlformats.org/officeDocument/2006/relationships/hyperlink" Target="https://youtu.be/JFhsabJ-VgM?t=3614" TargetMode="External"/><Relationship Id="rId150" Type="http://schemas.openxmlformats.org/officeDocument/2006/relationships/hyperlink" Target="https://playhearthstone.com/fr-fr/cards/82316-great-hall?class=paladin&amp;set=murder-at-castle-nathria" TargetMode="External"/><Relationship Id="rId87" Type="http://schemas.openxmlformats.org/officeDocument/2006/relationships/hyperlink" Target="https://playhearthstone.com/fr-fr/cards/82369-sinstone-graveyard?class=rogue&amp;set=murder-at-castle-nathria" TargetMode="External"/><Relationship Id="rId89" Type="http://schemas.openxmlformats.org/officeDocument/2006/relationships/hyperlink" Target="https://playhearthstone.com/fr-fr/cards/77556-door-of-shadows?class=rogue&amp;set=murder-at-castle-nathria" TargetMode="External"/><Relationship Id="rId80" Type="http://schemas.openxmlformats.org/officeDocument/2006/relationships/hyperlink" Target="https://playhearthstone.com/fr-fr/cards/76977-the-stonewright?class=shaman&amp;set=murder-at-castle-nathria" TargetMode="External"/><Relationship Id="rId82" Type="http://schemas.openxmlformats.org/officeDocument/2006/relationships/hyperlink" Target="https://youtu.be/JFhsabJ-VgM?t=2843" TargetMode="External"/><Relationship Id="rId81" Type="http://schemas.openxmlformats.org/officeDocument/2006/relationships/hyperlink" Target="https://playhearthstone.com/fr-fr/cards/76985-baroness-vashj?class=shaman&amp;set=murder-at-castle-nathria" TargetMode="External"/><Relationship Id="rId1" Type="http://schemas.openxmlformats.org/officeDocument/2006/relationships/hyperlink" Target="https://urlz.fr/iOAv" TargetMode="External"/><Relationship Id="rId2" Type="http://schemas.openxmlformats.org/officeDocument/2006/relationships/hyperlink" Target="https://playhearthstone.com/fr-fr/cards/78373-dredger-staff?set=murder-at-castle-nathria&amp;sort=dateadded%3Adesc%2Cname%3Aasc%2Cclasses%3Aasc" TargetMode="External"/><Relationship Id="rId3" Type="http://schemas.openxmlformats.org/officeDocument/2006/relationships/hyperlink" Target="https://playhearthstone.com/fr-fr/cards/78532-sinstone-totem?set=murder-at-castle-nathria&amp;sort=dateadded%3Adesc%2Cname%3Aasc%2Cclasses%3Aasc" TargetMode="External"/><Relationship Id="rId149" Type="http://schemas.openxmlformats.org/officeDocument/2006/relationships/hyperlink" Target="https://playhearthstone.com/fr-fr/cards/78143-sinful-sous-chef?class=paladin&amp;set=murder-at-castle-nathria" TargetMode="External"/><Relationship Id="rId4" Type="http://schemas.openxmlformats.org/officeDocument/2006/relationships/hyperlink" Target="https://playhearthstone.com/fr-fr/cards/77491-maze-guide?class=neutral&amp;set=murder-at-castle-nathria" TargetMode="External"/><Relationship Id="rId148" Type="http://schemas.openxmlformats.org/officeDocument/2006/relationships/hyperlink" Target="https://playhearthstone.com/fr-fr/cards/78156-buffet-biggun?class=paladin&amp;set=murder-at-castle-nathria" TargetMode="External"/><Relationship Id="rId9" Type="http://schemas.openxmlformats.org/officeDocument/2006/relationships/hyperlink" Target="https://playhearthstone.com/fr-fr/cards/78267-roosting-gargoyle?set=murder-at-castle-nathria&amp;sort=dateadded%3Adesc%2Cname%3Aasc%2Cclasses%3Aasc" TargetMode="External"/><Relationship Id="rId143" Type="http://schemas.openxmlformats.org/officeDocument/2006/relationships/hyperlink" Target="https://youtu.be/JFhsabJ-VgM?t=8713" TargetMode="External"/><Relationship Id="rId142" Type="http://schemas.openxmlformats.org/officeDocument/2006/relationships/hyperlink" Target="https://playhearthstone.com/fr-fr/cards/77642-solid-alibi?class=mage&amp;set=murder-at-castle-nathria" TargetMode="External"/><Relationship Id="rId141" Type="http://schemas.openxmlformats.org/officeDocument/2006/relationships/hyperlink" Target="https://playhearthstone.com/fr-fr/cards/79482-deathborne?class=mage&amp;set=murder-at-castle-nathria" TargetMode="External"/><Relationship Id="rId140" Type="http://schemas.openxmlformats.org/officeDocument/2006/relationships/hyperlink" Target="https://playhearthstone.com/fr-fr/cards/84356-nightcloak-sanctum?class=mage&amp;set=murder-at-castle-nathria" TargetMode="External"/><Relationship Id="rId5" Type="http://schemas.openxmlformats.org/officeDocument/2006/relationships/hyperlink" Target="https://playhearthstone.com/fr-fr/cards/78153-priest-of-the-deceased?class=neutral&amp;set=murder-at-castle-nathria" TargetMode="External"/><Relationship Id="rId147" Type="http://schemas.openxmlformats.org/officeDocument/2006/relationships/hyperlink" Target="https://playhearthstone.com/fr-fr/cards/78080-muckborn-servant?class=paladin&amp;set=murder-at-castle-nathria" TargetMode="External"/><Relationship Id="rId6" Type="http://schemas.openxmlformats.org/officeDocument/2006/relationships/hyperlink" Target="https://playhearthstone.com/fr-fr/cards/84169-volatile-skeleton?class=neutral&amp;set=murder-at-castle-nathria" TargetMode="External"/><Relationship Id="rId146" Type="http://schemas.openxmlformats.org/officeDocument/2006/relationships/hyperlink" Target="https://playhearthstone.com/fr-fr/cards/78397-orion-mansion-manager?class=mage&amp;set=murder-at-castle-nathria" TargetMode="External"/><Relationship Id="rId7" Type="http://schemas.openxmlformats.org/officeDocument/2006/relationships/hyperlink" Target="https://playhearthstone.com/fr-fr/cards/77714-sketchy-stranger?class=neutral&amp;set=murder-at-castle-nathria" TargetMode="External"/><Relationship Id="rId145" Type="http://schemas.openxmlformats.org/officeDocument/2006/relationships/hyperlink" Target="https://playhearthstone.com/fr-fr/cards/78394-kelthuzad-the-inevitable?class=mage&amp;set=murder-at-castle-nathria" TargetMode="External"/><Relationship Id="rId8" Type="http://schemas.openxmlformats.org/officeDocument/2006/relationships/hyperlink" Target="https://hearthstone.blizzard.com/fr-fr/cards/79486-anonymous-informant?set=murder-at-castle-nathria&amp;sort=dateadded%3Adesc%2Cname%3Aasc%2Cclasses%3Aasc" TargetMode="External"/><Relationship Id="rId144" Type="http://schemas.openxmlformats.org/officeDocument/2006/relationships/hyperlink" Target="https://playhearthstone.com/fr-fr/cards/78508-vengeful-visage?class=mage&amp;set=murder-at-castle-nathria" TargetMode="External"/><Relationship Id="rId73" Type="http://schemas.openxmlformats.org/officeDocument/2006/relationships/hyperlink" Target="https://playhearthstone.com/fr-fr/cards/77366-party-favor-totem?class=shaman&amp;set=murder-at-castle-nathria" TargetMode="External"/><Relationship Id="rId72" Type="http://schemas.openxmlformats.org/officeDocument/2006/relationships/hyperlink" Target="https://playhearthstone.com/fr-fr/cards/77428-crud-caretaker?set=murder-at-castle-nathria&amp;sort=dateadded%3Adesc%2Cname%3Aasc%2Cclasses%3Aasc" TargetMode="External"/><Relationship Id="rId75" Type="http://schemas.openxmlformats.org/officeDocument/2006/relationships/hyperlink" Target="https://youtu.be/JFhsabJ-VgM?t=2607" TargetMode="External"/><Relationship Id="rId74" Type="http://schemas.openxmlformats.org/officeDocument/2006/relationships/hyperlink" Target="https://playhearthstone.com/fr-fr/cards/76975-convincing-disguise?class=shaman&amp;set=murder-at-castle-nathria" TargetMode="External"/><Relationship Id="rId77" Type="http://schemas.openxmlformats.org/officeDocument/2006/relationships/hyperlink" Target="https://playhearthstone.com/fr-fr/cards/76982-primordial-wave?class=shaman&amp;set=murder-at-castle-nathria" TargetMode="External"/><Relationship Id="rId76" Type="http://schemas.openxmlformats.org/officeDocument/2006/relationships/hyperlink" Target="https://playhearthstone.com/fr-fr/cards/76981-muck-pools?class=shaman&amp;set=murder-at-castle-nathria" TargetMode="External"/><Relationship Id="rId79" Type="http://schemas.openxmlformats.org/officeDocument/2006/relationships/hyperlink" Target="https://playhearthstone.com/fr-fr/cards/78525-gigantotem?set=murder-at-castle-nathria&amp;sort=dateadded%3Adesc%2Cname%3Aasc%2Cclasses%3Aasc" TargetMode="External"/><Relationship Id="rId78" Type="http://schemas.openxmlformats.org/officeDocument/2006/relationships/hyperlink" Target="https://youtu.be/JFhsabJ-VgM?t=2739" TargetMode="External"/><Relationship Id="rId71" Type="http://schemas.openxmlformats.org/officeDocument/2006/relationships/hyperlink" Target="https://playhearthstone.com/fr-fr/cards/79531-criminal-lineup?set=murder-at-castle-nathria&amp;sort=dateadded%3Adesc%2Cname%3Aasc%2Cclasses%3Aasc" TargetMode="External"/><Relationship Id="rId70" Type="http://schemas.openxmlformats.org/officeDocument/2006/relationships/hyperlink" Target="https://youtu.be/JFhsabJ-VgM?t=2424" TargetMode="External"/><Relationship Id="rId139" Type="http://schemas.openxmlformats.org/officeDocument/2006/relationships/hyperlink" Target="https://youtu.be/JFhsabJ-VgM?t=8839" TargetMode="External"/><Relationship Id="rId138" Type="http://schemas.openxmlformats.org/officeDocument/2006/relationships/hyperlink" Target="https://playhearthstone.com/fr-fr/cards/75866-suspicious-alchemist?class=mage&amp;set=murder-at-castle-nathria" TargetMode="External"/><Relationship Id="rId137" Type="http://schemas.openxmlformats.org/officeDocument/2006/relationships/hyperlink" Target="https://playhearthstone.com/fr-fr/cards/78371-chatty-bartender?set=murder-at-castle-nathria&amp;sort=dateadded%3Adesc%2Cname%3Aasc%2Cclasses%3Aasc" TargetMode="External"/><Relationship Id="rId132" Type="http://schemas.openxmlformats.org/officeDocument/2006/relationships/hyperlink" Target="https://playhearthstone.com/fr-fr/cards/77306-pelagos?class=priest&amp;set=murder-at-castle-nathria" TargetMode="External"/><Relationship Id="rId131" Type="http://schemas.openxmlformats.org/officeDocument/2006/relationships/hyperlink" Target="https://playhearthstone.com/fr-fr/cards/78405-the-harvester-of-envy?class=priest&amp;set=murder-at-castle-nathria" TargetMode="External"/><Relationship Id="rId130" Type="http://schemas.openxmlformats.org/officeDocument/2006/relationships/hyperlink" Target="https://playhearthstone.com/fr-fr/cards/77298-mysterious-visitor?set=murder-at-castle-nathria&amp;sort=dateadded%3Adesc%2Cname%3Aasc%2Cclasses%3Aasc" TargetMode="External"/><Relationship Id="rId136" Type="http://schemas.openxmlformats.org/officeDocument/2006/relationships/hyperlink" Target="https://youtu.be/JFhsabJ-VgM?t=8252" TargetMode="External"/><Relationship Id="rId135" Type="http://schemas.openxmlformats.org/officeDocument/2006/relationships/hyperlink" Target="https://playhearthstone.com/fr-fr/cards/77659-cold-case?class=mage&amp;set=murder-at-castle-nathria" TargetMode="External"/><Relationship Id="rId134" Type="http://schemas.openxmlformats.org/officeDocument/2006/relationships/hyperlink" Target="https://youtu.be/JFhsabJ-VgM?t=8162" TargetMode="External"/><Relationship Id="rId133" Type="http://schemas.openxmlformats.org/officeDocument/2006/relationships/hyperlink" Target="https://playhearthstone.com/fr-fr/cards/84354-frozen-touch?class=mage&amp;set=murder-at-castle-nathria" TargetMode="External"/><Relationship Id="rId62" Type="http://schemas.openxmlformats.org/officeDocument/2006/relationships/hyperlink" Target="https://playhearthstone.com/fr-fr/cards/77056-mischievous-imp?class=warlock&amp;set=murder-at-castle-nathria" TargetMode="External"/><Relationship Id="rId61" Type="http://schemas.openxmlformats.org/officeDocument/2006/relationships/hyperlink" Target="https://playhearthstone.com/fr-fr/cards/79147-vile-library?class=warlock&amp;set=murder-at-castle-nathria" TargetMode="External"/><Relationship Id="rId64" Type="http://schemas.openxmlformats.org/officeDocument/2006/relationships/hyperlink" Target="https://playhearthstone.com/fr-fr/cards/76921-tome-tampering?class=warlock&amp;set=murder-at-castle-nathria" TargetMode="External"/><Relationship Id="rId63" Type="http://schemas.openxmlformats.org/officeDocument/2006/relationships/hyperlink" Target="https://playhearthstone.com/fr-fr/cards/76922-suffocating-shadows?set=murder-at-castle-nathria&amp;sort=dateadded%3Adesc%2Cname%3Aasc%2Cclasses%3Aasc" TargetMode="External"/><Relationship Id="rId66" Type="http://schemas.openxmlformats.org/officeDocument/2006/relationships/hyperlink" Target="https://playhearthstone.com/fr-fr/cards/79111-lady-darkvein?class=warlock&amp;set=murder-at-castle-nathria" TargetMode="External"/><Relationship Id="rId172" Type="http://schemas.openxmlformats.org/officeDocument/2006/relationships/hyperlink" Target="https://playhearthstone.com/fr-fr/cards/77482-artificer-xymox?class=demonhunter&amp;set=murder-at-castle-nathria" TargetMode="External"/><Relationship Id="rId65" Type="http://schemas.openxmlformats.org/officeDocument/2006/relationships/hyperlink" Target="https://playhearthstone.com/fr-fr/cards/77055-impending-catastrophe?class=warlock&amp;set=murder-at-castle-nathria" TargetMode="External"/><Relationship Id="rId171" Type="http://schemas.openxmlformats.org/officeDocument/2006/relationships/hyperlink" Target="https://playhearthstone.com/fr-fr/cards/78125-kryxis-the-voracious?class=demonhunter&amp;set=murder-at-castle-nathria" TargetMode="External"/><Relationship Id="rId68" Type="http://schemas.openxmlformats.org/officeDocument/2006/relationships/hyperlink" Target="https://playhearthstone.com/fr-fr/cards/78363-imp-king-rafaam?class=warlock&amp;set=murder-at-castle-nathria" TargetMode="External"/><Relationship Id="rId170" Type="http://schemas.openxmlformats.org/officeDocument/2006/relationships/hyperlink" Target="https://playhearthstone.com/fr-fr/cards/78111-sinful-brand?set=murder-at-castle-nathria&amp;sort=dateadded%3Adesc%2Cname%3Aasc%2Cclasses%3Aasc" TargetMode="External"/><Relationship Id="rId67" Type="http://schemas.openxmlformats.org/officeDocument/2006/relationships/hyperlink" Target="https://youtu.be/JFhsabJ-VgM?t=2100" TargetMode="External"/><Relationship Id="rId60" Type="http://schemas.openxmlformats.org/officeDocument/2006/relationships/hyperlink" Target="https://playhearthstone.com/fr-fr/cards/77057-flustered-librarian?class=warlock&amp;set=murder-at-castle-nathria" TargetMode="External"/><Relationship Id="rId165" Type="http://schemas.openxmlformats.org/officeDocument/2006/relationships/hyperlink" Target="https://playhearthstone.com/fr-fr/cards/77615-relic-vault?class=demonhunter&amp;set=murder-at-castle-nathria" TargetMode="External"/><Relationship Id="rId69" Type="http://schemas.openxmlformats.org/officeDocument/2006/relationships/hyperlink" Target="https://playhearthstone.com/fr-fr/cards/76970-carving-chisel?set=murder-at-castle-nathria&amp;sort=dateadded%3Adesc%2Cname%3Aasc%2Cclasses%3Aasc" TargetMode="External"/><Relationship Id="rId164" Type="http://schemas.openxmlformats.org/officeDocument/2006/relationships/hyperlink" Target="https://playhearthstone.com/fr-fr/cards/77616-relic-of-phantasms?class=demonhunter&amp;set=murder-at-castle-nathria" TargetMode="External"/><Relationship Id="rId163" Type="http://schemas.openxmlformats.org/officeDocument/2006/relationships/hyperlink" Target="https://playhearthstone.com/fr-fr/cards/78469-relic-of-extinction?class=demonhunter&amp;set=murder-at-castle-nathria" TargetMode="External"/><Relationship Id="rId162" Type="http://schemas.openxmlformats.org/officeDocument/2006/relationships/hyperlink" Target="https://playhearthstone.com/fr-fr/cards/78150-bibliomite?class=demonhunter&amp;set=murder-at-castle-nathria" TargetMode="External"/><Relationship Id="rId169" Type="http://schemas.openxmlformats.org/officeDocument/2006/relationships/hyperlink" Target="https://youtu.be/JFhsabJ-VgM?t=10284" TargetMode="External"/><Relationship Id="rId168" Type="http://schemas.openxmlformats.org/officeDocument/2006/relationships/hyperlink" Target="https://playhearthstone.com/fr-fr/cards/78122-relic-of-dimensions?class=demonhunter&amp;set=murder-at-castle-nathria" TargetMode="External"/><Relationship Id="rId167" Type="http://schemas.openxmlformats.org/officeDocument/2006/relationships/hyperlink" Target="https://playhearthstone.com/fr-fr/cards/78117-dispose-of-evidence?set=murder-at-castle-nathria&amp;sort=dateadded%3Adesc%2Cname%3Aasc%2Cclasses%3Aasc" TargetMode="External"/><Relationship Id="rId166" Type="http://schemas.openxmlformats.org/officeDocument/2006/relationships/hyperlink" Target="https://youtu.be/JFhsabJ-VgM?t=10538" TargetMode="External"/><Relationship Id="rId51" Type="http://schemas.openxmlformats.org/officeDocument/2006/relationships/hyperlink" Target="https://playhearthstone.com/fr-fr/cards/77296-conquerors-banner?set=murder-at-castle-nathria&amp;sort=dateadded%3Adesc%2Cname%3Aasc%2Cclasses%3Aasc" TargetMode="External"/><Relationship Id="rId50" Type="http://schemas.openxmlformats.org/officeDocument/2006/relationships/hyperlink" Target="https://playhearthstone.com/fr-fr/cards/75910-suspicious-pirate?class=warrior&amp;set=murder-at-castle-nathria" TargetMode="External"/><Relationship Id="rId53" Type="http://schemas.openxmlformats.org/officeDocument/2006/relationships/hyperlink" Target="https://playhearthstone.com/fr-fr/cards/78262-riot?set=murder-at-castle-nathria&amp;sort=dateadded%3Adesc%2Cname%3Aasc%2Cclasses%3Aasc" TargetMode="External"/><Relationship Id="rId52" Type="http://schemas.openxmlformats.org/officeDocument/2006/relationships/hyperlink" Target="https://playhearthstone.com/fr-fr/cards/78222-burden-of-pride?class=warrior&amp;set=murder-at-castle-nathria" TargetMode="External"/><Relationship Id="rId55" Type="http://schemas.openxmlformats.org/officeDocument/2006/relationships/hyperlink" Target="https://youtu.be/JFhsabJ-VgM?t=993" TargetMode="External"/><Relationship Id="rId161" Type="http://schemas.openxmlformats.org/officeDocument/2006/relationships/hyperlink" Target="https://youtu.be/JFhsabJ-VgM?t=10774" TargetMode="External"/><Relationship Id="rId54" Type="http://schemas.openxmlformats.org/officeDocument/2006/relationships/hyperlink" Target="https://playhearthstone.com/fr-fr/cards/77704-remornia-living-blade?class=warrior&amp;set=murder-at-castle-nathria" TargetMode="External"/><Relationship Id="rId160" Type="http://schemas.openxmlformats.org/officeDocument/2006/relationships/hyperlink" Target="https://playhearthstone.com/fr-fr/cards/78123-magnifying-glaive?class=demonhunter&amp;set=murder-at-castle-nathria" TargetMode="External"/><Relationship Id="rId57" Type="http://schemas.openxmlformats.org/officeDocument/2006/relationships/hyperlink" Target="https://youtu.be/JFhsabJ-VgM?t=1120" TargetMode="External"/><Relationship Id="rId56" Type="http://schemas.openxmlformats.org/officeDocument/2006/relationships/hyperlink" Target="https://playhearthstone.com/fr-fr/cards/77313-decimator-olgra?class=warrior&amp;set=murder-at-castle-nathria" TargetMode="External"/><Relationship Id="rId159" Type="http://schemas.openxmlformats.org/officeDocument/2006/relationships/hyperlink" Target="https://playhearthstone.com/fr-fr/cards/78086-the-countess?class=paladin&amp;set=murder-at-castle-nathria" TargetMode="External"/><Relationship Id="rId59" Type="http://schemas.openxmlformats.org/officeDocument/2006/relationships/hyperlink" Target="https://playhearthstone.com/fr-fr/cards/79108-shadow-waltz?class=warlock&amp;set=murder-at-castle-nathria" TargetMode="External"/><Relationship Id="rId154" Type="http://schemas.openxmlformats.org/officeDocument/2006/relationships/hyperlink" Target="https://playhearthstone.com/fr-fr/cards/79741-promotion?class=paladin&amp;set=murder-at-castle-nathria" TargetMode="External"/><Relationship Id="rId58" Type="http://schemas.openxmlformats.org/officeDocument/2006/relationships/hyperlink" Target="https://playhearthstone.com/fr-fr/cards/79142-shadowborn?class=warlock&amp;set=murder-at-castle-nathria" TargetMode="External"/><Relationship Id="rId153" Type="http://schemas.openxmlformats.org/officeDocument/2006/relationships/hyperlink" Target="https://playhearthstone.com/fr-fr/cards/78081-service-bell?set=murder-at-castle-nathria&amp;sort=dateadded%3Adesc%2Cname%3Aasc%2Cclasses%3Aasc" TargetMode="External"/><Relationship Id="rId152" Type="http://schemas.openxmlformats.org/officeDocument/2006/relationships/hyperlink" Target="https://playhearthstone.com/fr-fr/cards/78085-divine-toll?set=murder-at-castle-nathria&amp;sort=dateadded%3Adesc%2Cname%3Aasc%2Cclasses%3Aasc" TargetMode="External"/><Relationship Id="rId151" Type="http://schemas.openxmlformats.org/officeDocument/2006/relationships/hyperlink" Target="https://youtu.be/JFhsabJ-VgM?t=8950" TargetMode="External"/><Relationship Id="rId158" Type="http://schemas.openxmlformats.org/officeDocument/2006/relationships/hyperlink" Target="https://youtu.be/JFhsabJ-VgM?t=9296" TargetMode="External"/><Relationship Id="rId157" Type="http://schemas.openxmlformats.org/officeDocument/2006/relationships/hyperlink" Target="https://playhearthstone.com/fr-fr/cards/78146-stewart-the-steward?class=paladin&amp;set=murder-at-castle-nathria" TargetMode="External"/><Relationship Id="rId156" Type="http://schemas.openxmlformats.org/officeDocument/2006/relationships/hyperlink" Target="https://youtu.be/JFhsabJ-VgM?t=9785" TargetMode="External"/><Relationship Id="rId155" Type="http://schemas.openxmlformats.org/officeDocument/2006/relationships/hyperlink" Target="https://playhearthstone.com/fr-fr/cards/78393-elitist-snob?class=paladin&amp;set=murder-at-castle-nathria" TargetMode="External"/><Relationship Id="rId107" Type="http://schemas.openxmlformats.org/officeDocument/2006/relationships/hyperlink" Target="https://playhearthstone.com/fr-fr/cards/78268-stonebound-gargon?class=hunter&amp;set=murder-at-castle-nathria" TargetMode="External"/><Relationship Id="rId106" Type="http://schemas.openxmlformats.org/officeDocument/2006/relationships/hyperlink" Target="https://playhearthstone.com/fr-fr/cards/78273-batty-guest?class=hunter&amp;set=murder-at-castle-nathria" TargetMode="External"/><Relationship Id="rId105" Type="http://schemas.openxmlformats.org/officeDocument/2006/relationships/hyperlink" Target="https://playhearthstone.com/fr-fr/cards/78264-frenzied-fangs?class=hunter&amp;set=murder-at-castle-nathria" TargetMode="External"/><Relationship Id="rId104" Type="http://schemas.openxmlformats.org/officeDocument/2006/relationships/hyperlink" Target="https://playhearthstone.com/fr-fr/cards/77679-topior-the-shrubbagazzor?class=druid&amp;set=murder-at-castle-nathria" TargetMode="External"/><Relationship Id="rId109" Type="http://schemas.openxmlformats.org/officeDocument/2006/relationships/hyperlink" Target="https://youtu.be/JFhsabJ-VgM?t=6726" TargetMode="External"/><Relationship Id="rId108" Type="http://schemas.openxmlformats.org/officeDocument/2006/relationships/hyperlink" Target="https://playhearthstone.com/fr-fr/cards/78412-spirit-poacher?class=hunter&amp;set=murder-at-castle-nathria" TargetMode="External"/><Relationship Id="rId103" Type="http://schemas.openxmlformats.org/officeDocument/2006/relationships/hyperlink" Target="https://playhearthstone.com/fr-fr/cards/78383-sesselie-of-the-fae-court?class=druid&amp;set=murder-at-castle-nathria" TargetMode="External"/><Relationship Id="rId102" Type="http://schemas.openxmlformats.org/officeDocument/2006/relationships/hyperlink" Target="https://playhearthstone.com/fr-fr/cards/77761-widowbloom-seedsman?class=druid&amp;set=murder-at-castle-nathria" TargetMode="External"/><Relationship Id="rId101" Type="http://schemas.openxmlformats.org/officeDocument/2006/relationships/hyperlink" Target="https://playhearthstone.com/fr-fr/cards/78509-convoke-the-spirits?class=druid&amp;set=murder-at-castle-nathria" TargetMode="External"/><Relationship Id="rId100" Type="http://schemas.openxmlformats.org/officeDocument/2006/relationships/hyperlink" Target="https://playhearthstone.com/fr-fr/cards/78202-hedge-maze?class=druid&amp;set=murder-at-castle-nathria" TargetMode="External"/><Relationship Id="rId129" Type="http://schemas.openxmlformats.org/officeDocument/2006/relationships/hyperlink" Target="https://playhearthstone.com/fr-fr/cards/77300-boon-of-the-ascended?class=priest&amp;set=murder-at-castle-nathria" TargetMode="External"/><Relationship Id="rId128" Type="http://schemas.openxmlformats.org/officeDocument/2006/relationships/hyperlink" Target="https://playhearthstone.com/fr-fr/cards/75922-suspicious-usher?class=priest&amp;set=murder-at-castle-nathria" TargetMode="External"/><Relationship Id="rId127" Type="http://schemas.openxmlformats.org/officeDocument/2006/relationships/hyperlink" Target="https://playhearthstone.com/fr-fr/cards/82310-cathedral-of-atonement?class=priest&amp;set=murder-at-castle-nathria" TargetMode="External"/><Relationship Id="rId126" Type="http://schemas.openxmlformats.org/officeDocument/2006/relationships/hyperlink" Target="https://playhearthstone.com/fr-fr/cards/77370-clean-the-scene?class=priest&amp;set=murder-at-castle-nathria" TargetMode="External"/><Relationship Id="rId121" Type="http://schemas.openxmlformats.org/officeDocument/2006/relationships/hyperlink" Target="https://playhearthstone.com/fr-fr/cards/77305-the-light-it-burns?set=murder-at-castle-nathria&amp;sort=dateadded%3Adesc%2Cname%3Aasc%2Cclasses%3Aasc" TargetMode="External"/><Relationship Id="rId120" Type="http://schemas.openxmlformats.org/officeDocument/2006/relationships/hyperlink" Target="https://youtu.be/JFhsabJ-VgM?t=6903" TargetMode="External"/><Relationship Id="rId125" Type="http://schemas.openxmlformats.org/officeDocument/2006/relationships/hyperlink" Target="https://youtu.be/JFhsabJ-VgM?t=7509" TargetMode="External"/><Relationship Id="rId124" Type="http://schemas.openxmlformats.org/officeDocument/2006/relationships/hyperlink" Target="https://playhearthstone.com/fr-fr/cards/77299-partner-in-crime?set=murder-at-castle-nathria&amp;sort=dateadded%3Adesc%2Cname%3Aasc%2Cclasses%3Aasc" TargetMode="External"/><Relationship Id="rId123" Type="http://schemas.openxmlformats.org/officeDocument/2006/relationships/hyperlink" Target="https://youtu.be/JFhsabJ-VgM?t=7394" TargetMode="External"/><Relationship Id="rId122" Type="http://schemas.openxmlformats.org/officeDocument/2006/relationships/hyperlink" Target="https://playhearthstone.com/fr-fr/cards/77368-identity-theft?set=murder-at-castle-nathria&amp;sort=dateadded%3Adesc%2Cname%3Aasc%2Cclasses%3Aasc" TargetMode="External"/><Relationship Id="rId95" Type="http://schemas.openxmlformats.org/officeDocument/2006/relationships/hyperlink" Target="https://youtu.be/JFhsabJ-VgM?t=4946" TargetMode="External"/><Relationship Id="rId94" Type="http://schemas.openxmlformats.org/officeDocument/2006/relationships/hyperlink" Target="https://playhearthstone.com/fr-fr/cards/77654-planted-evidence?class=druid&amp;set=murder-at-castle-nathria" TargetMode="External"/><Relationship Id="rId97" Type="http://schemas.openxmlformats.org/officeDocument/2006/relationships/hyperlink" Target="https://playhearthstone.com/fr-fr/cards/77525-death-blossom-whomper?set=murder-at-castle-nathria&amp;sort=dateadded%3Adesc%2Cname%3Aasc%2Cclasses%3Aasc" TargetMode="External"/><Relationship Id="rId96" Type="http://schemas.openxmlformats.org/officeDocument/2006/relationships/hyperlink" Target="https://playhearthstone.com/fr-fr/cards/77490-natural-causes?class=druid&amp;set=murder-at-castle-nathria" TargetMode="External"/><Relationship Id="rId99" Type="http://schemas.openxmlformats.org/officeDocument/2006/relationships/hyperlink" Target="https://playhearthstone.com/fr-fr/cards/78261-plot-of-sin?class=druid&amp;set=murder-at-castle-nathria" TargetMode="External"/><Relationship Id="rId98" Type="http://schemas.openxmlformats.org/officeDocument/2006/relationships/hyperlink" Target="https://playhearthstone.com/fr-fr/cards/77562-nightshade-bud?class=druid&amp;set=murder-at-castle-nathria" TargetMode="External"/><Relationship Id="rId91" Type="http://schemas.openxmlformats.org/officeDocument/2006/relationships/hyperlink" Target="https://playhearthstone.com/fr-fr/cards/77151-kidnap?class=rogue&amp;set=murder-at-castle-nathria" TargetMode="External"/><Relationship Id="rId90" Type="http://schemas.openxmlformats.org/officeDocument/2006/relationships/hyperlink" Target="https://playhearthstone.com/fr-fr/cards/78275-ghastly-gravedigger?class=rogue&amp;set=murder-at-castle-nathria" TargetMode="External"/><Relationship Id="rId93" Type="http://schemas.openxmlformats.org/officeDocument/2006/relationships/hyperlink" Target="https://playhearthstone.com/fr-fr/cards/77558-necrolord-draka?class=rogue&amp;set=murder-at-castle-nathria" TargetMode="External"/><Relationship Id="rId92" Type="http://schemas.openxmlformats.org/officeDocument/2006/relationships/hyperlink" Target="https://playhearthstone.com/fr-fr/cards/77152-halkias?class=rogue&amp;set=murder-at-castle-nathria" TargetMode="External"/><Relationship Id="rId118" Type="http://schemas.openxmlformats.org/officeDocument/2006/relationships/hyperlink" Target="https://youtu.be/JFhsabJ-VgM?t=6577" TargetMode="External"/><Relationship Id="rId117" Type="http://schemas.openxmlformats.org/officeDocument/2006/relationships/hyperlink" Target="https://playhearthstone.com/fr-fr/cards/78270-huntsman-altimor?class=hunter&amp;set=murder-at-castle-nathria" TargetMode="External"/><Relationship Id="rId116" Type="http://schemas.openxmlformats.org/officeDocument/2006/relationships/hyperlink" Target="https://youtu.be/JFhsabJ-VgM?t=6810" TargetMode="External"/><Relationship Id="rId115" Type="http://schemas.openxmlformats.org/officeDocument/2006/relationships/hyperlink" Target="https://playhearthstone.com/fr-fr/cards/78416-wild-spirits?class=hunter&amp;set=murder-at-castle-nathria" TargetMode="External"/><Relationship Id="rId119" Type="http://schemas.openxmlformats.org/officeDocument/2006/relationships/hyperlink" Target="https://playhearthstone.com/fr-fr/cards/78419-aralon?class=hunter&amp;set=murder-at-castle-nathria" TargetMode="External"/><Relationship Id="rId110" Type="http://schemas.openxmlformats.org/officeDocument/2006/relationships/hyperlink" Target="https://playhearthstone.com/fr-fr/cards/78418-castle-kennels?class=hunter&amp;set=murder-at-castle-nathria" TargetMode="External"/><Relationship Id="rId114" Type="http://schemas.openxmlformats.org/officeDocument/2006/relationships/hyperlink" Target="https://playhearthstone.com/fr-fr/cards/78420-stag-charge?class=hunter&amp;set=murder-at-castle-nathria" TargetMode="External"/><Relationship Id="rId113" Type="http://schemas.openxmlformats.org/officeDocument/2006/relationships/hyperlink" Target="https://youtu.be/JFhsabJ-VgM?t=6502" TargetMode="External"/><Relationship Id="rId112" Type="http://schemas.openxmlformats.org/officeDocument/2006/relationships/hyperlink" Target="https://playhearthstone.com/fr-fr/cards/84345-collateral-damage?set=murder-at-castle-nathria&amp;sort=dateadded%3Adesc%2Cname%3Aasc%2Cclasses%3Aasc" TargetMode="External"/><Relationship Id="rId111" Type="http://schemas.openxmlformats.org/officeDocument/2006/relationships/hyperlink" Target="https://youtu.be/JFhsabJ-VgM?t=614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rlz.fr/hVyJ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playhearthstone.com/cards/72460-iceblood-garrison" TargetMode="External"/><Relationship Id="rId42" Type="http://schemas.openxmlformats.org/officeDocument/2006/relationships/hyperlink" Target="https://playhearthstone.com/cards/67193-shield-shatter" TargetMode="External"/><Relationship Id="rId41" Type="http://schemas.openxmlformats.org/officeDocument/2006/relationships/hyperlink" Target="https://playhearthstone.com/cards/70012-to-the-front" TargetMode="External"/><Relationship Id="rId44" Type="http://schemas.openxmlformats.org/officeDocument/2006/relationships/hyperlink" Target="https://playhearthstone.com/cards/68246-snowed-in" TargetMode="External"/><Relationship Id="rId43" Type="http://schemas.openxmlformats.org/officeDocument/2006/relationships/hyperlink" Target="https://playhearthstone.com/cards/67194-frozen-buckler" TargetMode="External"/><Relationship Id="rId46" Type="http://schemas.openxmlformats.org/officeDocument/2006/relationships/hyperlink" Target="https://playhearthstone.com/cards/70282-captain-galvangar" TargetMode="External"/><Relationship Id="rId45" Type="http://schemas.openxmlformats.org/officeDocument/2006/relationships/hyperlink" Target="https://playhearthstone.com/cards/66876-rokara-the-valorous" TargetMode="External"/><Relationship Id="rId48" Type="http://schemas.openxmlformats.org/officeDocument/2006/relationships/hyperlink" Target="https://playhearthstone.com/cards/67757-hollow-abomination" TargetMode="External"/><Relationship Id="rId47" Type="http://schemas.openxmlformats.org/officeDocument/2006/relationships/hyperlink" Target="https://playhearthstone.com/cards/67826-grave-defiler" TargetMode="External"/><Relationship Id="rId49" Type="http://schemas.openxmlformats.org/officeDocument/2006/relationships/hyperlink" Target="https://playhearthstone.com/cards/70118-felwalker" TargetMode="External"/><Relationship Id="rId31" Type="http://schemas.openxmlformats.org/officeDocument/2006/relationships/hyperlink" Target="https://playhearthstone.com/cards/70244-abominable-lieutenant" TargetMode="External"/><Relationship Id="rId30" Type="http://schemas.openxmlformats.org/officeDocument/2006/relationships/hyperlink" Target="https://playhearthstone.com/cards/67237-spammy-arcanist" TargetMode="External"/><Relationship Id="rId33" Type="http://schemas.openxmlformats.org/officeDocument/2006/relationships/hyperlink" Target="https://playhearthstone.com/cards/66875-drekthar" TargetMode="External"/><Relationship Id="rId32" Type="http://schemas.openxmlformats.org/officeDocument/2006/relationships/hyperlink" Target="https://playhearthstone.com/cards/70257-ivus-the-forest-lord" TargetMode="External"/><Relationship Id="rId35" Type="http://schemas.openxmlformats.org/officeDocument/2006/relationships/hyperlink" Target="https://playhearthstone.com/cards/67239-vanndar-stormpike" TargetMode="External"/><Relationship Id="rId34" Type="http://schemas.openxmlformats.org/officeDocument/2006/relationships/hyperlink" Target="https://playhearthstone.com/cards/70258-korrak-the-bloodrager" TargetMode="External"/><Relationship Id="rId37" Type="http://schemas.openxmlformats.org/officeDocument/2006/relationships/hyperlink" Target="https://playhearthstone.com/cards/68244-glory-chaser" TargetMode="External"/><Relationship Id="rId36" Type="http://schemas.openxmlformats.org/officeDocument/2006/relationships/hyperlink" Target="https://playhearthstone.com/cards/68244-glory-chaser" TargetMode="External"/><Relationship Id="rId39" Type="http://schemas.openxmlformats.org/officeDocument/2006/relationships/hyperlink" Target="https://playhearthstone.com/cards/73459-axe-berserker" TargetMode="External"/><Relationship Id="rId38" Type="http://schemas.openxmlformats.org/officeDocument/2006/relationships/hyperlink" Target="https://playhearthstone.com/cards/68255-scrapsmith" TargetMode="External"/><Relationship Id="rId20" Type="http://schemas.openxmlformats.org/officeDocument/2006/relationships/hyperlink" Target="https://playhearthstone.com/cards/67927-humongous-owl" TargetMode="External"/><Relationship Id="rId22" Type="http://schemas.openxmlformats.org/officeDocument/2006/relationships/hyperlink" Target="https://playhearthstone.com/cards/70241-irondeep-trogg" TargetMode="External"/><Relationship Id="rId21" Type="http://schemas.openxmlformats.org/officeDocument/2006/relationships/hyperlink" Target="https://playhearthstone.com/cards/70235-troll-centurion" TargetMode="External"/><Relationship Id="rId24" Type="http://schemas.openxmlformats.org/officeDocument/2006/relationships/hyperlink" Target="https://playhearthstone.com/cards/70240-kobold-taskmaster" TargetMode="External"/><Relationship Id="rId23" Type="http://schemas.openxmlformats.org/officeDocument/2006/relationships/hyperlink" Target="https://playhearthstone.com/cards/67352-snowblind-harpy" TargetMode="External"/><Relationship Id="rId26" Type="http://schemas.openxmlformats.org/officeDocument/2006/relationships/hyperlink" Target="https://playhearthstone.com/cards/70239-stormpike-marshal" TargetMode="External"/><Relationship Id="rId25" Type="http://schemas.openxmlformats.org/officeDocument/2006/relationships/hyperlink" Target="https://playhearthstone.com/cards/70238-frostwolf-warmaster" TargetMode="External"/><Relationship Id="rId28" Type="http://schemas.openxmlformats.org/officeDocument/2006/relationships/hyperlink" Target="https://playhearthstone.com/cards/70243-grimtotem-bounty-hunter" TargetMode="External"/><Relationship Id="rId27" Type="http://schemas.openxmlformats.org/officeDocument/2006/relationships/hyperlink" Target="https://playhearthstone.com/cards/66887-popsicooler" TargetMode="External"/><Relationship Id="rId29" Type="http://schemas.openxmlformats.org/officeDocument/2006/relationships/hyperlink" Target="https://playhearthstone.com/cards/70228-frozen-mammoth" TargetMode="External"/><Relationship Id="rId11" Type="http://schemas.openxmlformats.org/officeDocument/2006/relationships/hyperlink" Target="https://playhearthstone.com/cards/70226-bunker-sergeant" TargetMode="External"/><Relationship Id="rId10" Type="http://schemas.openxmlformats.org/officeDocument/2006/relationships/hyperlink" Target="https://playhearthstone.com/cards/67753-piggyback-imp" TargetMode="External"/><Relationship Id="rId13" Type="http://schemas.openxmlformats.org/officeDocument/2006/relationships/hyperlink" Target="https://playhearthstone.com/cards/70227-ice-revenant" TargetMode="External"/><Relationship Id="rId12" Type="http://schemas.openxmlformats.org/officeDocument/2006/relationships/hyperlink" Target="https://playhearthstone.com/cards/66880-herald-of-lokholar" TargetMode="External"/><Relationship Id="rId15" Type="http://schemas.openxmlformats.org/officeDocument/2006/relationships/hyperlink" Target="https://playhearthstone.com/cards/70234-knight-captain" TargetMode="External"/><Relationship Id="rId14" Type="http://schemas.openxmlformats.org/officeDocument/2006/relationships/hyperlink" Target="https://playhearthstone.com/cards/70225-tower-sergeant" TargetMode="External"/><Relationship Id="rId17" Type="http://schemas.openxmlformats.org/officeDocument/2006/relationships/hyperlink" Target="https://playhearthstone.com/cards/67217-frantic-hippogryph" TargetMode="External"/><Relationship Id="rId16" Type="http://schemas.openxmlformats.org/officeDocument/2006/relationships/hyperlink" Target="https://playhearthstone.com/cards/70231-blood-guard" TargetMode="External"/><Relationship Id="rId19" Type="http://schemas.openxmlformats.org/officeDocument/2006/relationships/hyperlink" Target="https://playhearthstone.com/cards/70236-icehoof-protector" TargetMode="External"/><Relationship Id="rId18" Type="http://schemas.openxmlformats.org/officeDocument/2006/relationships/hyperlink" Target="https://playhearthstone.com/cards/70232-legionnaire" TargetMode="External"/><Relationship Id="rId84" Type="http://schemas.openxmlformats.org/officeDocument/2006/relationships/hyperlink" Target="https://playhearthstone.com/cards/66953-wildheart-guff" TargetMode="External"/><Relationship Id="rId83" Type="http://schemas.openxmlformats.org/officeDocument/2006/relationships/hyperlink" Target="https://playhearthstone.com/cards/70247-frostsaber-matriarch" TargetMode="External"/><Relationship Id="rId86" Type="http://schemas.openxmlformats.org/officeDocument/2006/relationships/hyperlink" Target="https://playhearthstone.com/cards/67574-bloodseeker" TargetMode="External"/><Relationship Id="rId85" Type="http://schemas.openxmlformats.org/officeDocument/2006/relationships/hyperlink" Target="https://playhearthstone.com/cards/70292-wing-commander-mulverick" TargetMode="External"/><Relationship Id="rId88" Type="http://schemas.openxmlformats.org/officeDocument/2006/relationships/hyperlink" Target="https://playhearthstone.com/cards/70245-mountain-bear" TargetMode="External"/><Relationship Id="rId87" Type="http://schemas.openxmlformats.org/officeDocument/2006/relationships/hyperlink" Target="https://playhearthstone.com/cards/70105-ram-tamer" TargetMode="External"/><Relationship Id="rId89" Type="http://schemas.openxmlformats.org/officeDocument/2006/relationships/hyperlink" Target="https://playhearthstone.com/cards/71321-dun-baldar-bunker" TargetMode="External"/><Relationship Id="rId80" Type="http://schemas.openxmlformats.org/officeDocument/2006/relationships/hyperlink" Target="https://playhearthstone.com/cards/73528-frostwolf-kennels" TargetMode="External"/><Relationship Id="rId82" Type="http://schemas.openxmlformats.org/officeDocument/2006/relationships/hyperlink" Target="https://playhearthstone.com/cards/70320-capture-coldtooth-mine" TargetMode="External"/><Relationship Id="rId81" Type="http://schemas.openxmlformats.org/officeDocument/2006/relationships/hyperlink" Target="https://playhearthstone.com/cards/67207-pathmaker" TargetMode="External"/><Relationship Id="rId1" Type="http://schemas.openxmlformats.org/officeDocument/2006/relationships/hyperlink" Target="https://urlz.fr/gd4m" TargetMode="External"/><Relationship Id="rId2" Type="http://schemas.openxmlformats.org/officeDocument/2006/relationships/hyperlink" Target="https://playhearthstone.com/cards/70219-gnome-private" TargetMode="External"/><Relationship Id="rId3" Type="http://schemas.openxmlformats.org/officeDocument/2006/relationships/hyperlink" Target="https://playhearthstone.com/cards/70220-corporal" TargetMode="External"/><Relationship Id="rId4" Type="http://schemas.openxmlformats.org/officeDocument/2006/relationships/hyperlink" Target="https://playhearthstone.com/cards/67233-ram-commander" TargetMode="External"/><Relationship Id="rId9" Type="http://schemas.openxmlformats.org/officeDocument/2006/relationships/hyperlink" Target="https://playhearthstone.com/cards/79979-reflecto-engineer" TargetMode="External"/><Relationship Id="rId5" Type="http://schemas.openxmlformats.org/officeDocument/2006/relationships/hyperlink" Target="https://playhearthstone.com/cards/70400-stormpike-quartermaster" TargetMode="External"/><Relationship Id="rId6" Type="http://schemas.openxmlformats.org/officeDocument/2006/relationships/hyperlink" Target="https://playhearthstone.com/cards/67375-gankster" TargetMode="External"/><Relationship Id="rId7" Type="http://schemas.openxmlformats.org/officeDocument/2006/relationships/hyperlink" Target="https://playhearthstone.com/cards/70221-sneaky-scout" TargetMode="External"/><Relationship Id="rId8" Type="http://schemas.openxmlformats.org/officeDocument/2006/relationships/hyperlink" Target="https://playhearthstone.com/cards/70223-direwolf-commander" TargetMode="External"/><Relationship Id="rId73" Type="http://schemas.openxmlformats.org/officeDocument/2006/relationships/hyperlink" Target="https://playhearthstone.com/cards/70488-the-lobotomizer" TargetMode="External"/><Relationship Id="rId72" Type="http://schemas.openxmlformats.org/officeDocument/2006/relationships/hyperlink" Target="https://playhearthstone.com/cards/70395-wildpaw-gnoll" TargetMode="External"/><Relationship Id="rId75" Type="http://schemas.openxmlformats.org/officeDocument/2006/relationships/hyperlink" Target="https://playhearthstone.com/cards/66939-shadowcrafter-scabbs" TargetMode="External"/><Relationship Id="rId74" Type="http://schemas.openxmlformats.org/officeDocument/2006/relationships/hyperlink" Target="https://playhearthstone.com/cards/76041-forsaken-lieutenant" TargetMode="External"/><Relationship Id="rId77" Type="http://schemas.openxmlformats.org/officeDocument/2006/relationships/hyperlink" Target="https://playhearthstone.com/cards/70295-clawfury-adept" TargetMode="External"/><Relationship Id="rId76" Type="http://schemas.openxmlformats.org/officeDocument/2006/relationships/hyperlink" Target="https://playhearthstone.com/cards/70523-cerathine-fleetrunner" TargetMode="External"/><Relationship Id="rId79" Type="http://schemas.openxmlformats.org/officeDocument/2006/relationships/hyperlink" Target="https://playhearthstone.com/cards/67209-dire-frostwolf" TargetMode="External"/><Relationship Id="rId78" Type="http://schemas.openxmlformats.org/officeDocument/2006/relationships/hyperlink" Target="https://playhearthstone.com/cards/70249-heart-of-the-wild" TargetMode="External"/><Relationship Id="rId71" Type="http://schemas.openxmlformats.org/officeDocument/2006/relationships/hyperlink" Target="https://playhearthstone.com/cards/70636-contraband-stash" TargetMode="External"/><Relationship Id="rId70" Type="http://schemas.openxmlformats.org/officeDocument/2006/relationships/hyperlink" Target="https://playhearthstone.com/cards/70396-snowfall-graveyard" TargetMode="External"/><Relationship Id="rId132" Type="http://schemas.openxmlformats.org/officeDocument/2006/relationships/hyperlink" Target="https://playhearthstone.com/cards/67892-sigil-of-reckoning" TargetMode="External"/><Relationship Id="rId131" Type="http://schemas.openxmlformats.org/officeDocument/2006/relationships/hyperlink" Target="https://playhearthstone.com/cards/67887-warden-of-chains" TargetMode="External"/><Relationship Id="rId130" Type="http://schemas.openxmlformats.org/officeDocument/2006/relationships/hyperlink" Target="https://playhearthstone.com/cards/68216-flanking-maneuver" TargetMode="External"/><Relationship Id="rId135" Type="http://schemas.openxmlformats.org/officeDocument/2006/relationships/drawing" Target="../drawings/drawing5.xml"/><Relationship Id="rId134" Type="http://schemas.openxmlformats.org/officeDocument/2006/relationships/hyperlink" Target="https://playhearthstone.com/cards/68061-caria-felsoul" TargetMode="External"/><Relationship Id="rId133" Type="http://schemas.openxmlformats.org/officeDocument/2006/relationships/hyperlink" Target="https://playhearthstone.com/cards/67894-urzul-giant" TargetMode="External"/><Relationship Id="rId62" Type="http://schemas.openxmlformats.org/officeDocument/2006/relationships/hyperlink" Target="https://playhearthstone.com/cards/67192-glaciate" TargetMode="External"/><Relationship Id="rId61" Type="http://schemas.openxmlformats.org/officeDocument/2006/relationships/hyperlink" Target="https://playhearthstone.com/cards/68187-wildpaw-cavern" TargetMode="External"/><Relationship Id="rId64" Type="http://schemas.openxmlformats.org/officeDocument/2006/relationships/hyperlink" Target="https://playhearthstone.com/cards/67761-cheaty-snobold" TargetMode="External"/><Relationship Id="rId63" Type="http://schemas.openxmlformats.org/officeDocument/2006/relationships/hyperlink" Target="https://playhearthstone.com/cards/67751-snowball-fight" TargetMode="External"/><Relationship Id="rId66" Type="http://schemas.openxmlformats.org/officeDocument/2006/relationships/hyperlink" Target="https://playhearthstone.com/cards/67778-bearon-glashear" TargetMode="External"/><Relationship Id="rId65" Type="http://schemas.openxmlformats.org/officeDocument/2006/relationships/hyperlink" Target="https://playhearthstone.com/cards/67779-brukan-of-the-elements" TargetMode="External"/><Relationship Id="rId68" Type="http://schemas.openxmlformats.org/officeDocument/2006/relationships/hyperlink" Target="https://playhearthstone.com/cards/70203-double-agent" TargetMode="External"/><Relationship Id="rId67" Type="http://schemas.openxmlformats.org/officeDocument/2006/relationships/hyperlink" Target="https://playhearthstone.com/cards/70202-reconnaissance" TargetMode="External"/><Relationship Id="rId60" Type="http://schemas.openxmlformats.org/officeDocument/2006/relationships/hyperlink" Target="https://playhearthstone.com/cards/67861-sleetbreaker" TargetMode="External"/><Relationship Id="rId69" Type="http://schemas.openxmlformats.org/officeDocument/2006/relationships/hyperlink" Target="https://playhearthstone.com/cards/66874-coldtooth-yeti" TargetMode="External"/><Relationship Id="rId51" Type="http://schemas.openxmlformats.org/officeDocument/2006/relationships/hyperlink" Target="https://playhearthstone.com/cards/72440-desecrated-graveyard" TargetMode="External"/><Relationship Id="rId50" Type="http://schemas.openxmlformats.org/officeDocument/2006/relationships/hyperlink" Target="https://playhearthstone.com/cards/69986-seeds-of-destruction" TargetMode="External"/><Relationship Id="rId53" Type="http://schemas.openxmlformats.org/officeDocument/2006/relationships/hyperlink" Target="https://playhearthstone.com/cards/67756-sacrificial-summoner" TargetMode="External"/><Relationship Id="rId52" Type="http://schemas.openxmlformats.org/officeDocument/2006/relationships/hyperlink" Target="https://playhearthstone.com/cards/70107-full-blown-evil" TargetMode="External"/><Relationship Id="rId55" Type="http://schemas.openxmlformats.org/officeDocument/2006/relationships/hyperlink" Target="https://playhearthstone.com/cards/67760-dreadlich-tamsin" TargetMode="External"/><Relationship Id="rId54" Type="http://schemas.openxmlformats.org/officeDocument/2006/relationships/hyperlink" Target="https://playhearthstone.com/cards/70003-felfire-in-the-hole" TargetMode="External"/><Relationship Id="rId57" Type="http://schemas.openxmlformats.org/officeDocument/2006/relationships/hyperlink" Target="https://playhearthstone.com/cards/67932-windchill" TargetMode="External"/><Relationship Id="rId56" Type="http://schemas.openxmlformats.org/officeDocument/2006/relationships/hyperlink" Target="https://playhearthstone.com/cards/67825-tamsins-phylactery" TargetMode="External"/><Relationship Id="rId59" Type="http://schemas.openxmlformats.org/officeDocument/2006/relationships/hyperlink" Target="https://playhearthstone.com/cards/67769-snowfall-guardian" TargetMode="External"/><Relationship Id="rId58" Type="http://schemas.openxmlformats.org/officeDocument/2006/relationships/hyperlink" Target="https://playhearthstone.com/cards/67833-frostbite" TargetMode="External"/><Relationship Id="rId107" Type="http://schemas.openxmlformats.org/officeDocument/2006/relationships/hyperlink" Target="https://playhearthstone.com/cards/67873-amplified-snowflurry" TargetMode="External"/><Relationship Id="rId106" Type="http://schemas.openxmlformats.org/officeDocument/2006/relationships/hyperlink" Target="https://playhearthstone.com/cards/67871-shivering-sorceress" TargetMode="External"/><Relationship Id="rId105" Type="http://schemas.openxmlformats.org/officeDocument/2006/relationships/hyperlink" Target="https://playhearthstone.com/cards/70027-najak-hexxen" TargetMode="External"/><Relationship Id="rId104" Type="http://schemas.openxmlformats.org/officeDocument/2006/relationships/hyperlink" Target="https://playhearthstone.com/cards/67048-xyrella-the-devout" TargetMode="External"/><Relationship Id="rId109" Type="http://schemas.openxmlformats.org/officeDocument/2006/relationships/hyperlink" Target="https://playhearthstone.com/cards/70005-build-a-snowman" TargetMode="External"/><Relationship Id="rId108" Type="http://schemas.openxmlformats.org/officeDocument/2006/relationships/hyperlink" Target="https://playhearthstone.com/cards/67210-siphon-mana" TargetMode="External"/><Relationship Id="rId103" Type="http://schemas.openxmlformats.org/officeDocument/2006/relationships/hyperlink" Target="https://playhearthstone.com/cards/70020-shadow-word-devour" TargetMode="External"/><Relationship Id="rId102" Type="http://schemas.openxmlformats.org/officeDocument/2006/relationships/hyperlink" Target="https://playhearthstone.com/cards/70026-gift-of-the-naaru" TargetMode="External"/><Relationship Id="rId101" Type="http://schemas.openxmlformats.org/officeDocument/2006/relationships/hyperlink" Target="https://playhearthstone.com/cards/70021-undying-disciple" TargetMode="External"/><Relationship Id="rId100" Type="http://schemas.openxmlformats.org/officeDocument/2006/relationships/hyperlink" Target="https://playhearthstone.com/cards/72563-stormpike-aid-station" TargetMode="External"/><Relationship Id="rId129" Type="http://schemas.openxmlformats.org/officeDocument/2006/relationships/hyperlink" Target="https://playhearthstone.com/cards/72549-field-of-strife" TargetMode="External"/><Relationship Id="rId128" Type="http://schemas.openxmlformats.org/officeDocument/2006/relationships/hyperlink" Target="https://playhearthstone.com/cards/67886-flag-runner" TargetMode="External"/><Relationship Id="rId127" Type="http://schemas.openxmlformats.org/officeDocument/2006/relationships/hyperlink" Target="https://playhearthstone.com/cards/69577-battleworn-vanguard" TargetMode="External"/><Relationship Id="rId126" Type="http://schemas.openxmlformats.org/officeDocument/2006/relationships/hyperlink" Target="https://playhearthstone.com/cards/67204-dreadprison-glaive" TargetMode="External"/><Relationship Id="rId121" Type="http://schemas.openxmlformats.org/officeDocument/2006/relationships/hyperlink" Target="https://playhearthstone.com/cards/70262-templar-captain" TargetMode="External"/><Relationship Id="rId120" Type="http://schemas.openxmlformats.org/officeDocument/2006/relationships/hyperlink" Target="https://playhearthstone.com/cards/70263-protect-the-innocent" TargetMode="External"/><Relationship Id="rId125" Type="http://schemas.openxmlformats.org/officeDocument/2006/relationships/hyperlink" Target="https://playhearthstone.com/cards/72810-saidan-the-scarlet" TargetMode="External"/><Relationship Id="rId124" Type="http://schemas.openxmlformats.org/officeDocument/2006/relationships/hyperlink" Target="https://playhearthstone.com/cards/67040-lightforged-cariel" TargetMode="External"/><Relationship Id="rId123" Type="http://schemas.openxmlformats.org/officeDocument/2006/relationships/hyperlink" Target="https://playhearthstone.com/cards/70261-brasswing" TargetMode="External"/><Relationship Id="rId122" Type="http://schemas.openxmlformats.org/officeDocument/2006/relationships/hyperlink" Target="https://playhearthstone.com/cards/70265-stonehearth-vindicator" TargetMode="External"/><Relationship Id="rId95" Type="http://schemas.openxmlformats.org/officeDocument/2006/relationships/hyperlink" Target="https://playhearthstone.com/cards/70106-wing-commander-ichman" TargetMode="External"/><Relationship Id="rId94" Type="http://schemas.openxmlformats.org/officeDocument/2006/relationships/hyperlink" Target="https://playhearthstone.com/cards/67803-beaststalker-tavish" TargetMode="External"/><Relationship Id="rId97" Type="http://schemas.openxmlformats.org/officeDocument/2006/relationships/hyperlink" Target="https://playhearthstone.com/cards/67759-deliverance" TargetMode="External"/><Relationship Id="rId96" Type="http://schemas.openxmlformats.org/officeDocument/2006/relationships/hyperlink" Target="https://playhearthstone.com/cards/70022-luminous-geode" TargetMode="External"/><Relationship Id="rId99" Type="http://schemas.openxmlformats.org/officeDocument/2006/relationships/hyperlink" Target="https://playhearthstone.com/cards/70025-bless" TargetMode="External"/><Relationship Id="rId98" Type="http://schemas.openxmlformats.org/officeDocument/2006/relationships/hyperlink" Target="https://playhearthstone.com/cards/70024-spirit-guide" TargetMode="External"/><Relationship Id="rId91" Type="http://schemas.openxmlformats.org/officeDocument/2006/relationships/hyperlink" Target="https://playhearthstone.com/cards/70104-stormpike-battle-ram" TargetMode="External"/><Relationship Id="rId90" Type="http://schemas.openxmlformats.org/officeDocument/2006/relationships/hyperlink" Target="https://playhearthstone.com/cards/70103-revive-pet" TargetMode="External"/><Relationship Id="rId93" Type="http://schemas.openxmlformats.org/officeDocument/2006/relationships/hyperlink" Target="https://playhearthstone.com/cards/67241-spring-the-trap" TargetMode="External"/><Relationship Id="rId92" Type="http://schemas.openxmlformats.org/officeDocument/2006/relationships/hyperlink" Target="https://playhearthstone.com/cards/67243-ice-trap" TargetMode="External"/><Relationship Id="rId118" Type="http://schemas.openxmlformats.org/officeDocument/2006/relationships/hyperlink" Target="https://playhearthstone.com/cards/70264-cavalry-horn" TargetMode="External"/><Relationship Id="rId117" Type="http://schemas.openxmlformats.org/officeDocument/2006/relationships/hyperlink" Target="https://playhearthstone.com/cards/70260-hold-the-bridge" TargetMode="External"/><Relationship Id="rId116" Type="http://schemas.openxmlformats.org/officeDocument/2006/relationships/hyperlink" Target="https://playhearthstone.com/cards/67211-vitality-surge" TargetMode="External"/><Relationship Id="rId115" Type="http://schemas.openxmlformats.org/officeDocument/2006/relationships/hyperlink" Target="https://playhearthstone.com/cards/70015-balinda-stonehearth" TargetMode="External"/><Relationship Id="rId119" Type="http://schemas.openxmlformats.org/officeDocument/2006/relationships/hyperlink" Target="https://playhearthstone.com/cards/72807-dun-baldar-bridge" TargetMode="External"/><Relationship Id="rId110" Type="http://schemas.openxmlformats.org/officeDocument/2006/relationships/hyperlink" Target="https://playhearthstone.com/cards/67874-arcane-brilliance" TargetMode="External"/><Relationship Id="rId114" Type="http://schemas.openxmlformats.org/officeDocument/2006/relationships/hyperlink" Target="https://playhearthstone.com/cards/66848-magister-dawngrasp" TargetMode="External"/><Relationship Id="rId113" Type="http://schemas.openxmlformats.org/officeDocument/2006/relationships/hyperlink" Target="https://playhearthstone.com/cards/70011-rune-of-the-archmage" TargetMode="External"/><Relationship Id="rId112" Type="http://schemas.openxmlformats.org/officeDocument/2006/relationships/hyperlink" Target="https://playhearthstone.com/cards/67224-mass-polymorph" TargetMode="External"/><Relationship Id="rId111" Type="http://schemas.openxmlformats.org/officeDocument/2006/relationships/hyperlink" Target="https://playhearthstone.com/cards/70204-iceblood-tower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15f34w2p8l1cc.cloudfront.net/hearthstone/76f920bef754413bcc9878227c6b728ffe4a06482c57723e0b6aa2425c25d2dc.png" TargetMode="External"/><Relationship Id="rId42" Type="http://schemas.openxmlformats.org/officeDocument/2006/relationships/hyperlink" Target="https://d15f34w2p8l1cc.cloudfront.net/hearthstone/1f57199fc9af178cedc2698ccf277304958c24382d0c6e86a4b9c2727f549aaf.png" TargetMode="External"/><Relationship Id="rId41" Type="http://schemas.openxmlformats.org/officeDocument/2006/relationships/hyperlink" Target="https://d15f34w2p8l1cc.cloudfront.net/hearthstone/3dd9059ee972cdf89e9c00b6fab0c7632773e4746b68bd613e7ed20f36bf4d2b.png" TargetMode="External"/><Relationship Id="rId44" Type="http://schemas.openxmlformats.org/officeDocument/2006/relationships/hyperlink" Target="https://d15f34w2p8l1cc.cloudfront.net/hearthstone/2d629cf86609091debea02e774427f7abf379d818a256b9a75bef8b5ab66fab8.png" TargetMode="External"/><Relationship Id="rId43" Type="http://schemas.openxmlformats.org/officeDocument/2006/relationships/hyperlink" Target="https://d15f34w2p8l1cc.cloudfront.net/hearthstone/589d5bc01aeecad5ddb8c1e5a0075a5a7be13fc1432fdd6dbd958248234c408d.png" TargetMode="External"/><Relationship Id="rId46" Type="http://schemas.openxmlformats.org/officeDocument/2006/relationships/hyperlink" Target="https://d15f34w2p8l1cc.cloudfront.net/hearthstone/92e1343136826239549bc8a29e5ae204cb8b661d1c61c1a28607e80ad8c40f74.png" TargetMode="External"/><Relationship Id="rId45" Type="http://schemas.openxmlformats.org/officeDocument/2006/relationships/hyperlink" Target="https://d15f34w2p8l1cc.cloudfront.net/hearthstone/bc5cb0efbe9e8807a7e964d9dfe2c98094ce4eb27cb76488aec63bcee2107c06.png" TargetMode="External"/><Relationship Id="rId48" Type="http://schemas.openxmlformats.org/officeDocument/2006/relationships/hyperlink" Target="https://d15f34w2p8l1cc.cloudfront.net/hearthstone/1674a3bb323e388a16a94ffe99f1627dddb2b24dc46765d3f37cdc10435f666f.png" TargetMode="External"/><Relationship Id="rId47" Type="http://schemas.openxmlformats.org/officeDocument/2006/relationships/hyperlink" Target="https://d15f34w2p8l1cc.cloudfront.net/hearthstone/0635edaa1069da04738a7d859d5693b6fab438f21a25ad35fbfb19ef03e64702.png" TargetMode="External"/><Relationship Id="rId49" Type="http://schemas.openxmlformats.org/officeDocument/2006/relationships/hyperlink" Target="https://d15f34w2p8l1cc.cloudfront.net/hearthstone/4dff95c8cb45bdceb3f642f4b85f289ba2cda1c0fdfb293c09c52c60ef2e2d7a.png" TargetMode="External"/><Relationship Id="rId31" Type="http://schemas.openxmlformats.org/officeDocument/2006/relationships/hyperlink" Target="https://d15f34w2p8l1cc.cloudfront.net/hearthstone/bb57cde17afa1ca8e4b220b8c97646bb974ca128a21ff7adea099bc43c0927e4.png" TargetMode="External"/><Relationship Id="rId30" Type="http://schemas.openxmlformats.org/officeDocument/2006/relationships/hyperlink" Target="https://d15f34w2p8l1cc.cloudfront.net/hearthstone/3e0e1892a110fafca948cbe5bfc0c2b07609618f47479f2fef0153ee3ad7d464.png" TargetMode="External"/><Relationship Id="rId33" Type="http://schemas.openxmlformats.org/officeDocument/2006/relationships/hyperlink" Target="https://d15f34w2p8l1cc.cloudfront.net/hearthstone/4be07f8a786a822166d0e849784211e59b0a0e9611bd91dc74301de8d2a0ce48.png" TargetMode="External"/><Relationship Id="rId32" Type="http://schemas.openxmlformats.org/officeDocument/2006/relationships/hyperlink" Target="https://d15f34w2p8l1cc.cloudfront.net/hearthstone/e63c1528c539a789fca2d357712876601dd9a2355e2f1ed459672bdad94095ab.png" TargetMode="External"/><Relationship Id="rId35" Type="http://schemas.openxmlformats.org/officeDocument/2006/relationships/hyperlink" Target="https://d15f34w2p8l1cc.cloudfront.net/hearthstone/c2d7f6e2086f18db9544431eaef2ca4d1e9b8bdbe99584a5640c23fd687b6c67.png" TargetMode="External"/><Relationship Id="rId34" Type="http://schemas.openxmlformats.org/officeDocument/2006/relationships/hyperlink" Target="https://d15f34w2p8l1cc.cloudfront.net/hearthstone/60ed22fe3a21a38e5a4b0601d651ec17c01cea67b3577afb1391b8bca3042c73.png" TargetMode="External"/><Relationship Id="rId37" Type="http://schemas.openxmlformats.org/officeDocument/2006/relationships/hyperlink" Target="https://d15f34w2p8l1cc.cloudfront.net/hearthstone/3ab0431f8009184edbe5672a645f19bed8fdc01f50ea7d052676e33a31f18b8d.png" TargetMode="External"/><Relationship Id="rId36" Type="http://schemas.openxmlformats.org/officeDocument/2006/relationships/hyperlink" Target="https://d15f34w2p8l1cc.cloudfront.net/hearthstone/480be2efd0cc363b464dfee7adcf0d4e5108cb0ea65106f9ad5526da15316e62.png" TargetMode="External"/><Relationship Id="rId39" Type="http://schemas.openxmlformats.org/officeDocument/2006/relationships/hyperlink" Target="https://d15f34w2p8l1cc.cloudfront.net/hearthstone/905452964c224d9689494de8686fe9b83527e8e91316f30ddf13a34346d968b0.png" TargetMode="External"/><Relationship Id="rId38" Type="http://schemas.openxmlformats.org/officeDocument/2006/relationships/hyperlink" Target="https://d15f34w2p8l1cc.cloudfront.net/hearthstone/4e627ade004bd01bad1c5c182a6419cafe22aa0dd06c30e36eef1ec0f7ae83c0.png" TargetMode="External"/><Relationship Id="rId20" Type="http://schemas.openxmlformats.org/officeDocument/2006/relationships/hyperlink" Target="https://d15f34w2p8l1cc.cloudfront.net/hearthstone/743d21c315ae54c4b1c7af1dfd46d261731fdf385c4b2be071835ea68c29bd03.png" TargetMode="External"/><Relationship Id="rId22" Type="http://schemas.openxmlformats.org/officeDocument/2006/relationships/hyperlink" Target="https://d15f34w2p8l1cc.cloudfront.net/hearthstone/1c280bf209c0379eede94166814b6cba3b4d1fb103a528df445c2edf1215c38a.png" TargetMode="External"/><Relationship Id="rId21" Type="http://schemas.openxmlformats.org/officeDocument/2006/relationships/hyperlink" Target="https://d15f34w2p8l1cc.cloudfront.net/hearthstone/fad49b7f118815add5b014d61a77467c61bb7240d1bbbb1b3780b112f184f4f6.png" TargetMode="External"/><Relationship Id="rId24" Type="http://schemas.openxmlformats.org/officeDocument/2006/relationships/hyperlink" Target="https://d15f34w2p8l1cc.cloudfront.net/hearthstone/3533e08c46509637459f8884ddfd7ea001a3e1f1b6c8273eabb71147daadf5aa.png" TargetMode="External"/><Relationship Id="rId23" Type="http://schemas.openxmlformats.org/officeDocument/2006/relationships/hyperlink" Target="https://d15f34w2p8l1cc.cloudfront.net/hearthstone/ca989fc0e139ccaf85cdbbc5782bfd9743f26174d5d00bce013534330e091d8e.png" TargetMode="External"/><Relationship Id="rId26" Type="http://schemas.openxmlformats.org/officeDocument/2006/relationships/hyperlink" Target="https://d15f34w2p8l1cc.cloudfront.net/hearthstone/f2056619323a644915f2183104c04172ec33ad0b042729a41a7f4b3ff18f5730.png" TargetMode="External"/><Relationship Id="rId25" Type="http://schemas.openxmlformats.org/officeDocument/2006/relationships/hyperlink" Target="https://d15f34w2p8l1cc.cloudfront.net/hearthstone/c9407ceb1ae441d0211e1bb509153a0c0a86e83af84863277702cf11ab0aa244.png" TargetMode="External"/><Relationship Id="rId28" Type="http://schemas.openxmlformats.org/officeDocument/2006/relationships/hyperlink" Target="https://d15f34w2p8l1cc.cloudfront.net/hearthstone/faf47cf70717a587c83a893adc118d439e73631300de8ca22b38bb1e5a4b02b5.png" TargetMode="External"/><Relationship Id="rId27" Type="http://schemas.openxmlformats.org/officeDocument/2006/relationships/hyperlink" Target="https://d15f34w2p8l1cc.cloudfront.net/hearthstone/47373f7226b26f8783588cca2d0f21c1fdde5d165c97e399e1791b61e1fa2948.png" TargetMode="External"/><Relationship Id="rId29" Type="http://schemas.openxmlformats.org/officeDocument/2006/relationships/hyperlink" Target="https://d15f34w2p8l1cc.cloudfront.net/hearthstone/9d7b93685462bd209ab30d09971b99e962e8a27154c2a200e80a093298018e5f.png" TargetMode="External"/><Relationship Id="rId11" Type="http://schemas.openxmlformats.org/officeDocument/2006/relationships/hyperlink" Target="https://d15f34w2p8l1cc.cloudfront.net/hearthstone/4d00a5fd4d4e8a7311f75124e346f044b55b78057a2242f5d40a7753a0566fb2.png" TargetMode="External"/><Relationship Id="rId10" Type="http://schemas.openxmlformats.org/officeDocument/2006/relationships/hyperlink" Target="https://d15f34w2p8l1cc.cloudfront.net/hearthstone/6bc645a744141a8b8f841a018c31444ee0ed25880cd2010043b47a361896d2d4.png" TargetMode="External"/><Relationship Id="rId13" Type="http://schemas.openxmlformats.org/officeDocument/2006/relationships/hyperlink" Target="https://d15f34w2p8l1cc.cloudfront.net/hearthstone/9e8600abb7bae13a1012b66eb8c64f1193fdf855752c47ed0174315dc09e3492.png" TargetMode="External"/><Relationship Id="rId12" Type="http://schemas.openxmlformats.org/officeDocument/2006/relationships/hyperlink" Target="https://d15f34w2p8l1cc.cloudfront.net/hearthstone/f14f9c28becda629e0ce1586490173fe657a6ac3de93d370a060909c0a99b0d1.png" TargetMode="External"/><Relationship Id="rId15" Type="http://schemas.openxmlformats.org/officeDocument/2006/relationships/hyperlink" Target="https://d15f34w2p8l1cc.cloudfront.net/hearthstone/8b4c9d958e45fd889a4c2c3c65e4a0dbc91f6d3c0dfc75a19e36411759d4747d.png" TargetMode="External"/><Relationship Id="rId14" Type="http://schemas.openxmlformats.org/officeDocument/2006/relationships/hyperlink" Target="https://d15f34w2p8l1cc.cloudfront.net/hearthstone/0ca026a49609b663615eef8b6f7e4fa25edbd396a75aab1e4379a92b0dca3b6e.png" TargetMode="External"/><Relationship Id="rId17" Type="http://schemas.openxmlformats.org/officeDocument/2006/relationships/hyperlink" Target="https://d15f34w2p8l1cc.cloudfront.net/hearthstone/4d77aa3bbfe0efa8d4198407b696e3cf95e186841e917c69cbde6f2bb0ae9ad1.png" TargetMode="External"/><Relationship Id="rId16" Type="http://schemas.openxmlformats.org/officeDocument/2006/relationships/hyperlink" Target="https://d15f34w2p8l1cc.cloudfront.net/hearthstone/2df72874a38f8e16be0ddd2370ee96fc7c1c41c5f210d18f5de428efec8a7e9d.png" TargetMode="External"/><Relationship Id="rId19" Type="http://schemas.openxmlformats.org/officeDocument/2006/relationships/hyperlink" Target="https://d15f34w2p8l1cc.cloudfront.net/hearthstone/2f9eb888e8cf8ff16ca68d753f6ebb79947745cdf52cfc99cb408da55452a212.png" TargetMode="External"/><Relationship Id="rId18" Type="http://schemas.openxmlformats.org/officeDocument/2006/relationships/hyperlink" Target="https://d15f34w2p8l1cc.cloudfront.net/hearthstone/7b3c9d7527d58d5b9b340a6a1680bab6ba3b65715c41cf187c6607f5d2108477.png" TargetMode="External"/><Relationship Id="rId84" Type="http://schemas.openxmlformats.org/officeDocument/2006/relationships/hyperlink" Target="https://d15f34w2p8l1cc.cloudfront.net/hearthstone/e90ec1565c6f0c25c19670f492f3bc926f88c782c4dafef916b5bedd2d60ca37.png" TargetMode="External"/><Relationship Id="rId83" Type="http://schemas.openxmlformats.org/officeDocument/2006/relationships/hyperlink" Target="https://d15f34w2p8l1cc.cloudfront.net/hearthstone/02ba81dd4990004bb56d5e8e9d2a8be074dcf46a0cea39ae265a2f91c6a639ce.png" TargetMode="External"/><Relationship Id="rId86" Type="http://schemas.openxmlformats.org/officeDocument/2006/relationships/hyperlink" Target="https://d15f34w2p8l1cc.cloudfront.net/hearthstone/9d360ccc557b9353b8291f91d5f368357ee46ffcf1e17fec6b05f8952a6ae9f3.png" TargetMode="External"/><Relationship Id="rId85" Type="http://schemas.openxmlformats.org/officeDocument/2006/relationships/hyperlink" Target="https://d15f34w2p8l1cc.cloudfront.net/hearthstone/d9dc78191fe8f2145e2c70a9328ebd8e175f5233f13cf10208ce76dc5aaeb4a4.png" TargetMode="External"/><Relationship Id="rId88" Type="http://schemas.openxmlformats.org/officeDocument/2006/relationships/hyperlink" Target="https://d15f34w2p8l1cc.cloudfront.net/hearthstone/ad07bf8a313ea332bc36a7ea7e34e122a63af24b73e1201334e68df0d5ec6159.png" TargetMode="External"/><Relationship Id="rId87" Type="http://schemas.openxmlformats.org/officeDocument/2006/relationships/hyperlink" Target="https://d15f34w2p8l1cc.cloudfront.net/hearthstone/a05a9c371379232c5938f9f5bf594da93620faa315a664dd3f69ff306b50c1e6.png" TargetMode="External"/><Relationship Id="rId89" Type="http://schemas.openxmlformats.org/officeDocument/2006/relationships/hyperlink" Target="https://d15f34w2p8l1cc.cloudfront.net/hearthstone/d5edd010cb3fd4b1a75b0ce5862360ed8cf668f5e96c6cfbd8539974badd22f6.png" TargetMode="External"/><Relationship Id="rId80" Type="http://schemas.openxmlformats.org/officeDocument/2006/relationships/hyperlink" Target="https://d15f34w2p8l1cc.cloudfront.net/hearthstone/884141103f6e4f04e5bcf5eba3815ee6395d7e7e1ce5544310718731b6fc7d7d.png" TargetMode="External"/><Relationship Id="rId82" Type="http://schemas.openxmlformats.org/officeDocument/2006/relationships/hyperlink" Target="https://d15f34w2p8l1cc.cloudfront.net/hearthstone/66fc9370ebb462185ec5dabe452427ca907f2d696174afec8511e5786cd77a9b.png" TargetMode="External"/><Relationship Id="rId81" Type="http://schemas.openxmlformats.org/officeDocument/2006/relationships/hyperlink" Target="https://d15f34w2p8l1cc.cloudfront.net/hearthstone/1a049bcbbbd20819893dd74e7d8a9aa687fb936e2f89ad99820b35e5f610f8c6.png" TargetMode="External"/><Relationship Id="rId1" Type="http://schemas.openxmlformats.org/officeDocument/2006/relationships/hyperlink" Target="https://urlz.fr/gd4m" TargetMode="External"/><Relationship Id="rId2" Type="http://schemas.openxmlformats.org/officeDocument/2006/relationships/hyperlink" Target="https://d15f34w2p8l1cc.cloudfront.net/hearthstone/0632f9aed800cf53e40e23e8c3eaba28f44f5bd012c66e4013f2ad2c775b3cdf.png" TargetMode="External"/><Relationship Id="rId3" Type="http://schemas.openxmlformats.org/officeDocument/2006/relationships/hyperlink" Target="https://d15f34w2p8l1cc.cloudfront.net/hearthstone/500d99af60b659cb917154d4eabcbddc2cb982c3115418725ef78d27b8964e7b.png" TargetMode="External"/><Relationship Id="rId4" Type="http://schemas.openxmlformats.org/officeDocument/2006/relationships/hyperlink" Target="https://d15f34w2p8l1cc.cloudfront.net/hearthstone/77974e005de91d721fffea348c95e4cf89b47c60b0fe656aca467759df58fffa.png" TargetMode="External"/><Relationship Id="rId9" Type="http://schemas.openxmlformats.org/officeDocument/2006/relationships/hyperlink" Target="https://d15f34w2p8l1cc.cloudfront.net/hearthstone/8e53370f2907a0ea986c546b38623f71b124e0cacf5b5631ba69128ed7d5e26a.png" TargetMode="External"/><Relationship Id="rId5" Type="http://schemas.openxmlformats.org/officeDocument/2006/relationships/hyperlink" Target="https://d15f34w2p8l1cc.cloudfront.net/hearthstone/b55a7be9514b411609c2a5e5bf3b8d0cff7647e752860161bc54100a8842c951.png" TargetMode="External"/><Relationship Id="rId6" Type="http://schemas.openxmlformats.org/officeDocument/2006/relationships/hyperlink" Target="https://d15f34w2p8l1cc.cloudfront.net/hearthstone/10b8ab2c78baeaa3d44b4caf841cbd0b61942a58dec6ba3ac072a54c63c4422c.png" TargetMode="External"/><Relationship Id="rId7" Type="http://schemas.openxmlformats.org/officeDocument/2006/relationships/hyperlink" Target="https://d15f34w2p8l1cc.cloudfront.net/hearthstone/f854a9534d1493d8baf48f15f6d40717d262db67bb95dfa9c66efa49771528bb.png" TargetMode="External"/><Relationship Id="rId8" Type="http://schemas.openxmlformats.org/officeDocument/2006/relationships/hyperlink" Target="https://d15f34w2p8l1cc.cloudfront.net/hearthstone/182ce48dd4adc22863bb9f0c3eccf69ee1335f6d4733847d8d447944febb39bd.png" TargetMode="External"/><Relationship Id="rId73" Type="http://schemas.openxmlformats.org/officeDocument/2006/relationships/hyperlink" Target="https://d15f34w2p8l1cc.cloudfront.net/hearthstone/216e6bdbbbb8c714bf3ecc432e06c85de742c44f158deec41bee30824a484c48.png" TargetMode="External"/><Relationship Id="rId72" Type="http://schemas.openxmlformats.org/officeDocument/2006/relationships/hyperlink" Target="https://d15f34w2p8l1cc.cloudfront.net/hearthstone/450a6a3531e36412fb60f124cf2b23c537e0223e12bda6ef729ae03a083fe9df.png" TargetMode="External"/><Relationship Id="rId75" Type="http://schemas.openxmlformats.org/officeDocument/2006/relationships/hyperlink" Target="https://d15f34w2p8l1cc.cloudfront.net/hearthstone/2401e2e4e24945cbb4b32f1dfe2574eb48085608b5b677b37b54d5fca886cc8a.png" TargetMode="External"/><Relationship Id="rId74" Type="http://schemas.openxmlformats.org/officeDocument/2006/relationships/hyperlink" Target="https://d15f34w2p8l1cc.cloudfront.net/hearthstone/d4832bc01c54dca2f006cf50dc06ea0266aa7976e5512de55d6babd4dcc20f3e.png" TargetMode="External"/><Relationship Id="rId77" Type="http://schemas.openxmlformats.org/officeDocument/2006/relationships/hyperlink" Target="https://d15f34w2p8l1cc.cloudfront.net/hearthstone/65099026f4d6ab30706562918dc4d5ac49d765b9237dc0ec4d5fc24839d348f2.png" TargetMode="External"/><Relationship Id="rId76" Type="http://schemas.openxmlformats.org/officeDocument/2006/relationships/hyperlink" Target="https://d15f34w2p8l1cc.cloudfront.net/hearthstone/f98e1dbd77271aad52505fbcc2b79ac16ecffe5338b67aad18a272dc756ce1c0.png" TargetMode="External"/><Relationship Id="rId79" Type="http://schemas.openxmlformats.org/officeDocument/2006/relationships/hyperlink" Target="https://d15f34w2p8l1cc.cloudfront.net/hearthstone/0da81216f86d444d7e3a83ef507c04bbc498874bfa050ab8321bd5b00335fc46.png" TargetMode="External"/><Relationship Id="rId78" Type="http://schemas.openxmlformats.org/officeDocument/2006/relationships/hyperlink" Target="https://d15f34w2p8l1cc.cloudfront.net/hearthstone/cc533a6346b6d021be7f89d05e46fa9c88cfa50d073125d651ee8fae836835d0.png" TargetMode="External"/><Relationship Id="rId71" Type="http://schemas.openxmlformats.org/officeDocument/2006/relationships/hyperlink" Target="https://d15f34w2p8l1cc.cloudfront.net/hearthstone/fca517257f59e8a7d001297afdb1c6311007871a3c431ba9499ca9ccad1908bc.png" TargetMode="External"/><Relationship Id="rId70" Type="http://schemas.openxmlformats.org/officeDocument/2006/relationships/hyperlink" Target="https://d15f34w2p8l1cc.cloudfront.net/hearthstone/5b883551412655c950039f6487834f28fddb204837759ea7da352a9662debb8b.png" TargetMode="External"/><Relationship Id="rId137" Type="http://schemas.openxmlformats.org/officeDocument/2006/relationships/drawing" Target="../drawings/drawing6.xml"/><Relationship Id="rId132" Type="http://schemas.openxmlformats.org/officeDocument/2006/relationships/hyperlink" Target="https://d15f34w2p8l1cc.cloudfront.net/hearthstone/1904106e2f516c0e0a50788ec63c696487ea1b09f863440419241c9de37d6b8c.png" TargetMode="External"/><Relationship Id="rId131" Type="http://schemas.openxmlformats.org/officeDocument/2006/relationships/hyperlink" Target="https://d15f34w2p8l1cc.cloudfront.net/hearthstone/0300ef31217b4e9d9e16ba86a21301e714babc0fd16aab1e60da70a170b87688.png" TargetMode="External"/><Relationship Id="rId130" Type="http://schemas.openxmlformats.org/officeDocument/2006/relationships/hyperlink" Target="https://d15f34w2p8l1cc.cloudfront.net/hearthstone/fe13a583651031aa5fe73a69de8f3d15e0b0675041b0f1b8bca02616820d7723.png" TargetMode="External"/><Relationship Id="rId136" Type="http://schemas.openxmlformats.org/officeDocument/2006/relationships/hyperlink" Target="https://d15f34w2p8l1cc.cloudfront.net/hearthstone/03b4d8520ee110a32dc9e64fd4033dafa0275f36aea255c36b3e1332d6b40e9d.png" TargetMode="External"/><Relationship Id="rId135" Type="http://schemas.openxmlformats.org/officeDocument/2006/relationships/hyperlink" Target="https://d15f34w2p8l1cc.cloudfront.net/hearthstone/419bded8d8ee15ea64cd1affe96833913fcd5ef57039511c6f3c11096cab0046.png" TargetMode="External"/><Relationship Id="rId134" Type="http://schemas.openxmlformats.org/officeDocument/2006/relationships/hyperlink" Target="https://d15f34w2p8l1cc.cloudfront.net/hearthstone/3c1fa84377eb8b39565de93b126621e8044cca15405a1cfdba9b8f8c17c8dde8.png" TargetMode="External"/><Relationship Id="rId133" Type="http://schemas.openxmlformats.org/officeDocument/2006/relationships/hyperlink" Target="https://d15f34w2p8l1cc.cloudfront.net/hearthstone/3808d5fb300355bba0e7c48b3a1bbf9f48662b44cdabeba0c4feb3bfdcb96cf7.png" TargetMode="External"/><Relationship Id="rId62" Type="http://schemas.openxmlformats.org/officeDocument/2006/relationships/hyperlink" Target="https://d15f34w2p8l1cc.cloudfront.net/hearthstone/d45387157291c3fc8c0a3fb12fba54b6d6abbacfef87b5faf88444f08073277d.png" TargetMode="External"/><Relationship Id="rId61" Type="http://schemas.openxmlformats.org/officeDocument/2006/relationships/hyperlink" Target="https://d15f34w2p8l1cc.cloudfront.net/hearthstone/eeb99c448751dd07821605c2b66c8cb92e921dea094dfd31bc7098907ff03daf.png" TargetMode="External"/><Relationship Id="rId64" Type="http://schemas.openxmlformats.org/officeDocument/2006/relationships/hyperlink" Target="https://d15f34w2p8l1cc.cloudfront.net/hearthstone/9aaf38bb40cb9d387812f2704758b844dbb77adf9e8c4995c0f4d6b901f76980.png" TargetMode="External"/><Relationship Id="rId63" Type="http://schemas.openxmlformats.org/officeDocument/2006/relationships/hyperlink" Target="https://d15f34w2p8l1cc.cloudfront.net/hearthstone/87c1b97b8c91d15c46b9c739a5f90d01c52b89004ab58acb8617d140addc0d3a.png" TargetMode="External"/><Relationship Id="rId66" Type="http://schemas.openxmlformats.org/officeDocument/2006/relationships/hyperlink" Target="https://d15f34w2p8l1cc.cloudfront.net/hearthstone/8132e96a8b1f639a215ef518db2e76dee62ecd614a2fbb1a31df04819f186dcf.png" TargetMode="External"/><Relationship Id="rId65" Type="http://schemas.openxmlformats.org/officeDocument/2006/relationships/hyperlink" Target="https://d15f34w2p8l1cc.cloudfront.net/hearthstone/68ef606c76998387dc3c24039c9283efd8b8266f947e4f2bd3e65e37bcbb639c.png" TargetMode="External"/><Relationship Id="rId68" Type="http://schemas.openxmlformats.org/officeDocument/2006/relationships/hyperlink" Target="https://d15f34w2p8l1cc.cloudfront.net/hearthstone/59682ff541c3167a4ebf1d6ffc621d13a24f80eaa555a97dade4d4674384dc74.png" TargetMode="External"/><Relationship Id="rId67" Type="http://schemas.openxmlformats.org/officeDocument/2006/relationships/hyperlink" Target="https://d15f34w2p8l1cc.cloudfront.net/hearthstone/f28f4ef847d810bc30e23749fbd86a926140556f2f93b7834b79760db729a1ee.png" TargetMode="External"/><Relationship Id="rId60" Type="http://schemas.openxmlformats.org/officeDocument/2006/relationships/hyperlink" Target="https://d15f34w2p8l1cc.cloudfront.net/hearthstone/937bd0db3bdc8e2f49297c0d9be3203f4f87734e2210fab4ba7e67b1a1ea2b8e.png" TargetMode="External"/><Relationship Id="rId69" Type="http://schemas.openxmlformats.org/officeDocument/2006/relationships/hyperlink" Target="https://d15f34w2p8l1cc.cloudfront.net/hearthstone/3adc534e8ab58418dbd6595d5a6006371d20d3c65bba7110129c858aeb57240d.png" TargetMode="External"/><Relationship Id="rId51" Type="http://schemas.openxmlformats.org/officeDocument/2006/relationships/hyperlink" Target="https://d15f34w2p8l1cc.cloudfront.net/hearthstone/691b4b060d47ea0e3a6806e372a7832d0a4b14851106701fa8a2987a6e3855a8.png" TargetMode="External"/><Relationship Id="rId50" Type="http://schemas.openxmlformats.org/officeDocument/2006/relationships/hyperlink" Target="https://d15f34w2p8l1cc.cloudfront.net/hearthstone/5fc730ef72d5b5ee6de5aa65bb2c0cb187ae62d0205c237688616b943087a76a.png" TargetMode="External"/><Relationship Id="rId53" Type="http://schemas.openxmlformats.org/officeDocument/2006/relationships/hyperlink" Target="https://d15f34w2p8l1cc.cloudfront.net/hearthstone/93abd2e9e350fa1a18b1bd35c36f5381d7f03d909ae6f06fd5c589a9f6c81f65.png" TargetMode="External"/><Relationship Id="rId52" Type="http://schemas.openxmlformats.org/officeDocument/2006/relationships/hyperlink" Target="https://d15f34w2p8l1cc.cloudfront.net/hearthstone/c1006c945d1b8450eeee30670baa6655d309f234347bdb9f50b363f1f572042f.png" TargetMode="External"/><Relationship Id="rId55" Type="http://schemas.openxmlformats.org/officeDocument/2006/relationships/hyperlink" Target="https://d15f34w2p8l1cc.cloudfront.net/hearthstone/ca6304c65e780fcdec78f5d819eda066869108a33d684a675e530e786557e2bb.png" TargetMode="External"/><Relationship Id="rId54" Type="http://schemas.openxmlformats.org/officeDocument/2006/relationships/hyperlink" Target="https://d15f34w2p8l1cc.cloudfront.net/hearthstone/28e8866bfd71ddc3871fb6bfeac71819d9f9746b03796409272f08a0d70e4a4e.png" TargetMode="External"/><Relationship Id="rId57" Type="http://schemas.openxmlformats.org/officeDocument/2006/relationships/hyperlink" Target="https://d15f34w2p8l1cc.cloudfront.net/hearthstone/6fb839e9f44b64c63a0ffd6ffb3114d78b5cfbac55daf476bcbe3c69a1f6d943.png" TargetMode="External"/><Relationship Id="rId56" Type="http://schemas.openxmlformats.org/officeDocument/2006/relationships/hyperlink" Target="https://d15f34w2p8l1cc.cloudfront.net/hearthstone/42f496a02e6244a1cabc56d5c033e41818c000ae33404b99dc18b94a11d2b44c.png" TargetMode="External"/><Relationship Id="rId59" Type="http://schemas.openxmlformats.org/officeDocument/2006/relationships/hyperlink" Target="https://d15f34w2p8l1cc.cloudfront.net/hearthstone/bd4949ca19c0840de5ba1771c0388e8eeef0ee1dc35fa9756986fd8ab5fa47e6.png" TargetMode="External"/><Relationship Id="rId58" Type="http://schemas.openxmlformats.org/officeDocument/2006/relationships/hyperlink" Target="https://d15f34w2p8l1cc.cloudfront.net/hearthstone/c1556886d52a4c1015e3c7e9d841cd0cd7c0e23b56c3df5edb72c7db03b17c02.png" TargetMode="External"/><Relationship Id="rId107" Type="http://schemas.openxmlformats.org/officeDocument/2006/relationships/hyperlink" Target="https://d15f34w2p8l1cc.cloudfront.net/hearthstone/ad85b34b547ffb7f6ea58a5149ef71e3f8f800930d8d2eb9f8e070703a8b06db.png" TargetMode="External"/><Relationship Id="rId106" Type="http://schemas.openxmlformats.org/officeDocument/2006/relationships/hyperlink" Target="https://d15f34w2p8l1cc.cloudfront.net/hearthstone/edea9a131d5e0fe34fc2ae95af86bacdadcffa286e9a170fc3e314124df1c169.png" TargetMode="External"/><Relationship Id="rId105" Type="http://schemas.openxmlformats.org/officeDocument/2006/relationships/hyperlink" Target="https://d15f34w2p8l1cc.cloudfront.net/hearthstone/39f6b602c404a99134ef915070c31b9b3f0bf74bfb201d7f31a162e33bb5e372.png" TargetMode="External"/><Relationship Id="rId104" Type="http://schemas.openxmlformats.org/officeDocument/2006/relationships/hyperlink" Target="https://d15f34w2p8l1cc.cloudfront.net/hearthstone/f13b8baa7710bc785051b6b552ead7e0ee1f025750a450dc4785cc51a06aaebe.png" TargetMode="External"/><Relationship Id="rId109" Type="http://schemas.openxmlformats.org/officeDocument/2006/relationships/hyperlink" Target="https://d15f34w2p8l1cc.cloudfront.net/hearthstone/171583dbf76a0d62d9428f84d9b901ecd367092c4914d7729dd64026e7cfd94f.png" TargetMode="External"/><Relationship Id="rId108" Type="http://schemas.openxmlformats.org/officeDocument/2006/relationships/hyperlink" Target="https://d15f34w2p8l1cc.cloudfront.net/hearthstone/10d67be4547680e5a93bc928afd980c2e40e5e51fb47808f758cd3e264ec4387.png" TargetMode="External"/><Relationship Id="rId103" Type="http://schemas.openxmlformats.org/officeDocument/2006/relationships/hyperlink" Target="https://d15f34w2p8l1cc.cloudfront.net/hearthstone/dc1aae76687b7d68b7da3569561467dd06922ea684701b62744caa495048fbb3.png" TargetMode="External"/><Relationship Id="rId102" Type="http://schemas.openxmlformats.org/officeDocument/2006/relationships/hyperlink" Target="https://d15f34w2p8l1cc.cloudfront.net/hearthstone/63b80923d5710157d7f145dd188b6a79184556a21eb7b200c2b136dbf31d7b27.png" TargetMode="External"/><Relationship Id="rId101" Type="http://schemas.openxmlformats.org/officeDocument/2006/relationships/hyperlink" Target="https://d15f34w2p8l1cc.cloudfront.net/hearthstone/92f50279df6a72bf36b9d93f519288e474c9593dec69ae0f84ac5ff654236d5f.png" TargetMode="External"/><Relationship Id="rId100" Type="http://schemas.openxmlformats.org/officeDocument/2006/relationships/hyperlink" Target="https://d15f34w2p8l1cc.cloudfront.net/hearthstone/ad8a3105ce159e5008af30cdbe589678410b8cd9f1e1065d8df9a95a5ea2c8a8.png" TargetMode="External"/><Relationship Id="rId129" Type="http://schemas.openxmlformats.org/officeDocument/2006/relationships/hyperlink" Target="https://d15f34w2p8l1cc.cloudfront.net/hearthstone/abf403da144d94f794e87501e25d3a79f7004e3ded748b0e975b0aff2fc6f375.png" TargetMode="External"/><Relationship Id="rId128" Type="http://schemas.openxmlformats.org/officeDocument/2006/relationships/hyperlink" Target="https://d15f34w2p8l1cc.cloudfront.net/hearthstone/f53f5b5103f828f40a94ceff1369c2c35f519f2e8c94d026faf78e693c1f4d91.png" TargetMode="External"/><Relationship Id="rId127" Type="http://schemas.openxmlformats.org/officeDocument/2006/relationships/hyperlink" Target="https://d15f34w2p8l1cc.cloudfront.net/hearthstone/5d0dbf3542df26b1ff008e4072abe364d033b23004fa96b40f5e621a458a047c.png" TargetMode="External"/><Relationship Id="rId126" Type="http://schemas.openxmlformats.org/officeDocument/2006/relationships/hyperlink" Target="https://d15f34w2p8l1cc.cloudfront.net/hearthstone/8f9b31a311fb20684229398394be8b87e1bd3234ec14549bdfeed5fe3d6f0338.png" TargetMode="External"/><Relationship Id="rId121" Type="http://schemas.openxmlformats.org/officeDocument/2006/relationships/hyperlink" Target="https://d15f34w2p8l1cc.cloudfront.net/hearthstone/87fc70dfc21cdb0afadc041349d937b814e5ed8b344aac2d74ee2cc902dd0226.png" TargetMode="External"/><Relationship Id="rId120" Type="http://schemas.openxmlformats.org/officeDocument/2006/relationships/hyperlink" Target="https://d15f34w2p8l1cc.cloudfront.net/hearthstone/eeae3f752d4d63ffeb0cba1e2ebe296c8b08f719b33ff126e830cbbb38ccee29.png" TargetMode="External"/><Relationship Id="rId125" Type="http://schemas.openxmlformats.org/officeDocument/2006/relationships/hyperlink" Target="https://d15f34w2p8l1cc.cloudfront.net/hearthstone/41a563dbe7c798abf8886a6469bf549ad5f1618883da7642a99bc4442e2f93ef.png" TargetMode="External"/><Relationship Id="rId124" Type="http://schemas.openxmlformats.org/officeDocument/2006/relationships/hyperlink" Target="https://d15f34w2p8l1cc.cloudfront.net/hearthstone/2f3751716ef199e9967eb1bb38f859f601aae909f081df9139dd61eb277554bc.png" TargetMode="External"/><Relationship Id="rId123" Type="http://schemas.openxmlformats.org/officeDocument/2006/relationships/hyperlink" Target="https://d15f34w2p8l1cc.cloudfront.net/hearthstone/bdf4a67c03c66b7b471c6920982ee87470a7f263c3777e2caaff8ffdbdf7295b.png" TargetMode="External"/><Relationship Id="rId122" Type="http://schemas.openxmlformats.org/officeDocument/2006/relationships/hyperlink" Target="https://d15f34w2p8l1cc.cloudfront.net/hearthstone/8cbb84378d1b22128c392d40b515aa65eecebe1a2257209096dcb6744b6632e2.png" TargetMode="External"/><Relationship Id="rId95" Type="http://schemas.openxmlformats.org/officeDocument/2006/relationships/hyperlink" Target="https://d15f34w2p8l1cc.cloudfront.net/hearthstone/5dd8382b4cfec2606e5180eda7560f649145711cd51a8ff1ba629fecceaf1b55.png" TargetMode="External"/><Relationship Id="rId94" Type="http://schemas.openxmlformats.org/officeDocument/2006/relationships/hyperlink" Target="https://d15f34w2p8l1cc.cloudfront.net/hearthstone/a16b646e12415d3c962a84d125e851ad939ba25ea677e04464a5201cacaa20a0.png" TargetMode="External"/><Relationship Id="rId97" Type="http://schemas.openxmlformats.org/officeDocument/2006/relationships/hyperlink" Target="https://d15f34w2p8l1cc.cloudfront.net/hearthstone/6f8779bf8b16c083c04bc6d3b0e800c7a881aaa365d53d0b0bd2ad01e378a5bf.png" TargetMode="External"/><Relationship Id="rId96" Type="http://schemas.openxmlformats.org/officeDocument/2006/relationships/hyperlink" Target="https://d15f34w2p8l1cc.cloudfront.net/hearthstone/b05dd0f08d9f236f67cbfb2c530ab9c70b0e7cbc36e5846f69900518ca3d1ef3.png" TargetMode="External"/><Relationship Id="rId99" Type="http://schemas.openxmlformats.org/officeDocument/2006/relationships/hyperlink" Target="https://d15f34w2p8l1cc.cloudfront.net/hearthstone/d5c37432db7bf9dba424904a54a5cd102ac9a11c9b67c0ad4630b7e2bd744979.png" TargetMode="External"/><Relationship Id="rId98" Type="http://schemas.openxmlformats.org/officeDocument/2006/relationships/hyperlink" Target="https://d15f34w2p8l1cc.cloudfront.net/hearthstone/c8142791618b963c142dc147743d578c0a020d57c332cba0e9ee9f350c61ca6a.png" TargetMode="External"/><Relationship Id="rId91" Type="http://schemas.openxmlformats.org/officeDocument/2006/relationships/hyperlink" Target="https://d15f34w2p8l1cc.cloudfront.net/hearthstone/9aea1e15b9010f542a82d2cd92d8cd1fadc5d1ab3ea2a2c5982991a61afe30f7.png" TargetMode="External"/><Relationship Id="rId90" Type="http://schemas.openxmlformats.org/officeDocument/2006/relationships/hyperlink" Target="https://d15f34w2p8l1cc.cloudfront.net/hearthstone/61a5cd196fdc303392edc5d040f377ec9eb8baa7372dd34e8f512a98bcaab5e7.png" TargetMode="External"/><Relationship Id="rId93" Type="http://schemas.openxmlformats.org/officeDocument/2006/relationships/hyperlink" Target="https://d15f34w2p8l1cc.cloudfront.net/hearthstone/22786ec05214b34192c6983310e8110b703039c2fa66d436631e69e209c3d447.png" TargetMode="External"/><Relationship Id="rId92" Type="http://schemas.openxmlformats.org/officeDocument/2006/relationships/hyperlink" Target="https://d15f34w2p8l1cc.cloudfront.net/hearthstone/a7f73eb77c4482e2692fdf4782f3b8f3347bae7c4a045ee80f246fcebbe27627.png" TargetMode="External"/><Relationship Id="rId118" Type="http://schemas.openxmlformats.org/officeDocument/2006/relationships/hyperlink" Target="https://d15f34w2p8l1cc.cloudfront.net/hearthstone/4dd87196e104826932adc866fb32f08c26c8210169a94f4164adceadfaa607d2.png" TargetMode="External"/><Relationship Id="rId117" Type="http://schemas.openxmlformats.org/officeDocument/2006/relationships/hyperlink" Target="https://d15f34w2p8l1cc.cloudfront.net/hearthstone/60ef07f6e1d85dd95a2db6f6ea6b70b3e743ed4747640527d96bb655239c7332.png" TargetMode="External"/><Relationship Id="rId116" Type="http://schemas.openxmlformats.org/officeDocument/2006/relationships/hyperlink" Target="https://d15f34w2p8l1cc.cloudfront.net/hearthstone/72182a6d0278d8e55fec4e48c2063a79de5998f7bde8bd75d8a9fa53bcbb7beb.png" TargetMode="External"/><Relationship Id="rId115" Type="http://schemas.openxmlformats.org/officeDocument/2006/relationships/hyperlink" Target="https://d15f34w2p8l1cc.cloudfront.net/hearthstone/a1e944f6b2da66a0f0084e7d53b168afcdcac9f5fd17b3b29de65d3ef5bbbf8e.png" TargetMode="External"/><Relationship Id="rId119" Type="http://schemas.openxmlformats.org/officeDocument/2006/relationships/hyperlink" Target="https://d15f34w2p8l1cc.cloudfront.net/hearthstone/a411ab00b8fdc818e8ddb1b85b164964a7eef47a71da4cc9c1570ec04575fc27.png" TargetMode="External"/><Relationship Id="rId110" Type="http://schemas.openxmlformats.org/officeDocument/2006/relationships/hyperlink" Target="https://d15f34w2p8l1cc.cloudfront.net/hearthstone/e090c8e4a0b367c0182365e8104d3b50e8730b6ceae99dcf7deedf05e533480b.png" TargetMode="External"/><Relationship Id="rId114" Type="http://schemas.openxmlformats.org/officeDocument/2006/relationships/hyperlink" Target="https://d15f34w2p8l1cc.cloudfront.net/hearthstone/19fdec00fe997f8abe0687f65208587d7d5744740fec680c99141fd63e6f0a5c.png" TargetMode="External"/><Relationship Id="rId113" Type="http://schemas.openxmlformats.org/officeDocument/2006/relationships/hyperlink" Target="https://d15f34w2p8l1cc.cloudfront.net/hearthstone/afe541d201abbe39eb1838c62ac5e23ab54af3465693d68298fdc675f84abebb.png" TargetMode="External"/><Relationship Id="rId112" Type="http://schemas.openxmlformats.org/officeDocument/2006/relationships/hyperlink" Target="https://d15f34w2p8l1cc.cloudfront.net/hearthstone/824a2883f68fc10d0529b351b68df3649d506215375ad125bc7f28982d248ea7.png" TargetMode="External"/><Relationship Id="rId111" Type="http://schemas.openxmlformats.org/officeDocument/2006/relationships/hyperlink" Target="https://d15f34w2p8l1cc.cloudfront.net/hearthstone/d25e95fc992087a875da18862bc772e384c7ca270f6f748d69850114fec04a6c.png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d15f34w2p8l1cc.cloudfront.net/hearthstone/e598d2fd2f37ca8b17ed9e272c37ffd08a0865da3ff4d0776b8f7d5139f54265.png" TargetMode="External"/><Relationship Id="rId42" Type="http://schemas.openxmlformats.org/officeDocument/2006/relationships/hyperlink" Target="https://d15f34w2p8l1cc.cloudfront.net/hearthstone/efc5e817d3ae74d09ecf1dc341998bab52abbacd4435bca76d70d5295776eb03.png" TargetMode="External"/><Relationship Id="rId41" Type="http://schemas.openxmlformats.org/officeDocument/2006/relationships/hyperlink" Target="https://d15f34w2p8l1cc.cloudfront.net/hearthstone/443e2c21c75891724a4f6b2d4bdaf1bc1a2702ed3008dd4ba84a7949f3c3f866.png" TargetMode="External"/><Relationship Id="rId44" Type="http://schemas.openxmlformats.org/officeDocument/2006/relationships/hyperlink" Target="https://d15f34w2p8l1cc.cloudfront.net/hearthstone/1fa7443d8ac889bb4512bf4efd5bc5faa26d4e3822531ff5b51f4235747a83ae.png" TargetMode="External"/><Relationship Id="rId43" Type="http://schemas.openxmlformats.org/officeDocument/2006/relationships/hyperlink" Target="https://d15f34w2p8l1cc.cloudfront.net/hearthstone/a36b866585accee661d9be5ad4908ac6b2ac9396e39bf32605ae4319f681d6f2.png" TargetMode="External"/><Relationship Id="rId46" Type="http://schemas.openxmlformats.org/officeDocument/2006/relationships/hyperlink" Target="https://d15f34w2p8l1cc.cloudfront.net/hearthstone/cea4ab944dddd8abe96b6a3b4a345eb859e7ac7daf9236c5b1c2fea8e8388e65.png" TargetMode="External"/><Relationship Id="rId45" Type="http://schemas.openxmlformats.org/officeDocument/2006/relationships/hyperlink" Target="https://d15f34w2p8l1cc.cloudfront.net/hearthstone/abaec60ed12a890c3932eaf01b17f85df9cf1e10c2e78b5b076ea78cc45d3b75.png" TargetMode="External"/><Relationship Id="rId48" Type="http://schemas.openxmlformats.org/officeDocument/2006/relationships/hyperlink" Target="https://d15f34w2p8l1cc.cloudfront.net/hearthstone/9726ab0692e8705b2d68e0e30c7f91fe07cd4e8465a37d12e02bb55700fc7266.png" TargetMode="External"/><Relationship Id="rId47" Type="http://schemas.openxmlformats.org/officeDocument/2006/relationships/hyperlink" Target="https://d15f34w2p8l1cc.cloudfront.net/hearthstone/fc20b676af050b4bc8e785b40dee880a04488d9cef40602e73d804defd823701.png" TargetMode="External"/><Relationship Id="rId49" Type="http://schemas.openxmlformats.org/officeDocument/2006/relationships/hyperlink" Target="https://d15f34w2p8l1cc.cloudfront.net/hearthstone/68e959264deec06de0d3d67d3ba27546f3061767f4d0a6873445fe4111516799.png" TargetMode="External"/><Relationship Id="rId31" Type="http://schemas.openxmlformats.org/officeDocument/2006/relationships/hyperlink" Target="https://d15f34w2p8l1cc.cloudfront.net/hearthstone/cc1b524a3bb68df1e69ecb9743806307e6858fa5c0cfbf135e9f5b2f869e0b25.png" TargetMode="External"/><Relationship Id="rId30" Type="http://schemas.openxmlformats.org/officeDocument/2006/relationships/hyperlink" Target="https://d15f34w2p8l1cc.cloudfront.net/hearthstone/bbbe1fe0d004d760b65325ea093ed077631ca5a2eedbff1afb96839da49a3b7f.png" TargetMode="External"/><Relationship Id="rId33" Type="http://schemas.openxmlformats.org/officeDocument/2006/relationships/hyperlink" Target="https://d15f34w2p8l1cc.cloudfront.net/hearthstone/bd4416d969d383211c7118400cae2d7631866bca5fe4a356fe7946d98641639b.png" TargetMode="External"/><Relationship Id="rId32" Type="http://schemas.openxmlformats.org/officeDocument/2006/relationships/hyperlink" Target="https://d15f34w2p8l1cc.cloudfront.net/hearthstone/984abfc3c80a23d84b8d2e7c29d908175d3057bab6d91d81e13c5694f2c78319.png" TargetMode="External"/><Relationship Id="rId35" Type="http://schemas.openxmlformats.org/officeDocument/2006/relationships/hyperlink" Target="https://d15f34w2p8l1cc.cloudfront.net/hearthstone/b804b096a748887b01f857c0efee6d301409b68a1f0ddbeed1bdd2960c528745.png" TargetMode="External"/><Relationship Id="rId34" Type="http://schemas.openxmlformats.org/officeDocument/2006/relationships/hyperlink" Target="https://d15f34w2p8l1cc.cloudfront.net/hearthstone/a240829feec40b9e11918e072fcf84a4c30680703b7694224de198c9ba5f1e43.png" TargetMode="External"/><Relationship Id="rId37" Type="http://schemas.openxmlformats.org/officeDocument/2006/relationships/hyperlink" Target="https://d15f34w2p8l1cc.cloudfront.net/hearthstone/7bf415e185d77532c77407e1967655b468089eb7d50a82d8ad0d1b1c89166c75.png" TargetMode="External"/><Relationship Id="rId36" Type="http://schemas.openxmlformats.org/officeDocument/2006/relationships/hyperlink" Target="https://d15f34w2p8l1cc.cloudfront.net/hearthstone/f7f90b89cdd93252eebbfe95faa9d37a702605c927f23e2db5d17001d0b5e2ee.png" TargetMode="External"/><Relationship Id="rId39" Type="http://schemas.openxmlformats.org/officeDocument/2006/relationships/hyperlink" Target="https://d15f34w2p8l1cc.cloudfront.net/hearthstone/9b6bb56974e3477f6094bc025aad98354fb85b40c23e794736d17063b5f16ea6.png" TargetMode="External"/><Relationship Id="rId38" Type="http://schemas.openxmlformats.org/officeDocument/2006/relationships/hyperlink" Target="https://d15f34w2p8l1cc.cloudfront.net/hearthstone/5b880078c8778ab47dfb5c776e7e59c134bcea60169f6ba8a4f98c248923bc61.png" TargetMode="External"/><Relationship Id="rId20" Type="http://schemas.openxmlformats.org/officeDocument/2006/relationships/hyperlink" Target="https://d15f34w2p8l1cc.cloudfront.net/hearthstone/dac0a70dc06af39cd57b8b7507d0539588471d813a5f1f235f0d699d551cfaf1.png" TargetMode="External"/><Relationship Id="rId22" Type="http://schemas.openxmlformats.org/officeDocument/2006/relationships/hyperlink" Target="https://d15f34w2p8l1cc.cloudfront.net/hearthstone/962d0701e2416e111b339c9049dfe8da989e8fe3c3164e07fb97a3be6943dcc5.png" TargetMode="External"/><Relationship Id="rId21" Type="http://schemas.openxmlformats.org/officeDocument/2006/relationships/hyperlink" Target="https://d15f34w2p8l1cc.cloudfront.net/hearthstone/8cc8a521ffa9892b81ba38a3f595f1beeff4449d62510b729c963755da9d96ac.png" TargetMode="External"/><Relationship Id="rId24" Type="http://schemas.openxmlformats.org/officeDocument/2006/relationships/hyperlink" Target="https://d15f34w2p8l1cc.cloudfront.net/hearthstone/f274329157f1eb7767fa1d6f5906cf1e78d05b48d9c972beb665ea842d77b7ea.png" TargetMode="External"/><Relationship Id="rId23" Type="http://schemas.openxmlformats.org/officeDocument/2006/relationships/hyperlink" Target="https://d15f34w2p8l1cc.cloudfront.net/hearthstone/a2966a95e55f0a360f470ed1b1c11b16741797aa9aeb97c4965bd65b8cf327b2.png" TargetMode="External"/><Relationship Id="rId26" Type="http://schemas.openxmlformats.org/officeDocument/2006/relationships/hyperlink" Target="https://d15f34w2p8l1cc.cloudfront.net/hearthstone/cbac722785ee408ab0b69c802bb89e7ba09acae01faf344e2f4cb674d673354a.png" TargetMode="External"/><Relationship Id="rId25" Type="http://schemas.openxmlformats.org/officeDocument/2006/relationships/hyperlink" Target="https://d15f34w2p8l1cc.cloudfront.net/hearthstone/d05f37f1d4ceaee34080bd37f1398c81e5bf607eebd5d16014c316e2bd9dca07.png" TargetMode="External"/><Relationship Id="rId28" Type="http://schemas.openxmlformats.org/officeDocument/2006/relationships/hyperlink" Target="https://d15f34w2p8l1cc.cloudfront.net/hearthstone/a6cdd525f793f56ebfabd9fc5eb17a16d9a389a780967427b174cf44592dd591.png" TargetMode="External"/><Relationship Id="rId27" Type="http://schemas.openxmlformats.org/officeDocument/2006/relationships/hyperlink" Target="https://d15f34w2p8l1cc.cloudfront.net/hearthstone/d34fe954bf621a9e43ad02518191070ee340142e6beb21a3eae0bca811d9a378.png" TargetMode="External"/><Relationship Id="rId29" Type="http://schemas.openxmlformats.org/officeDocument/2006/relationships/hyperlink" Target="https://d15f34w2p8l1cc.cloudfront.net/hearthstone/f191505b098c7cdf27cab756a2703ddb1c7cc5339b70a234a048081095db4831.png" TargetMode="External"/><Relationship Id="rId11" Type="http://schemas.openxmlformats.org/officeDocument/2006/relationships/hyperlink" Target="https://d15f34w2p8l1cc.cloudfront.net/hearthstone/8572ea7ddf328fabb15475db8d481a00404a7b6ad3d2fe47713f533572793cd7.png" TargetMode="External"/><Relationship Id="rId10" Type="http://schemas.openxmlformats.org/officeDocument/2006/relationships/hyperlink" Target="https://d15f34w2p8l1cc.cloudfront.net/hearthstone/6d1d0ea099cebe9d7ece3b11567f3326e41808c12fe6a9ace271670b33728d33.png" TargetMode="External"/><Relationship Id="rId13" Type="http://schemas.openxmlformats.org/officeDocument/2006/relationships/hyperlink" Target="https://d15f34w2p8l1cc.cloudfront.net/hearthstone/2e61933cbffc8ff5d6be10cd8280be3d54e9f5a8041446884d44d2f8dab53384.png" TargetMode="External"/><Relationship Id="rId12" Type="http://schemas.openxmlformats.org/officeDocument/2006/relationships/hyperlink" Target="https://d15f34w2p8l1cc.cloudfront.net/hearthstone/090dc2c72240f4a5e8285e0884df5a8a0d376625e859350243aed1bf636650fd.png" TargetMode="External"/><Relationship Id="rId15" Type="http://schemas.openxmlformats.org/officeDocument/2006/relationships/hyperlink" Target="https://d15f34w2p8l1cc.cloudfront.net/hearthstone/96117661750cb3b19486fb70ee966984ba110740e687747365d434ae1616b1a4.png" TargetMode="External"/><Relationship Id="rId14" Type="http://schemas.openxmlformats.org/officeDocument/2006/relationships/hyperlink" Target="https://d15f34w2p8l1cc.cloudfront.net/hearthstone/39c9d0fd1db4519905ea37c56f13c4ecc630aa719865ba6c68d0f0a47bf43ea5.png" TargetMode="External"/><Relationship Id="rId17" Type="http://schemas.openxmlformats.org/officeDocument/2006/relationships/hyperlink" Target="https://d15f34w2p8l1cc.cloudfront.net/hearthstone/cd7be228dc0544963b826a68ada2e4309a8716631e7554b3785bc63f26aa4799.png" TargetMode="External"/><Relationship Id="rId16" Type="http://schemas.openxmlformats.org/officeDocument/2006/relationships/hyperlink" Target="https://d15f34w2p8l1cc.cloudfront.net/hearthstone/ba5c16b5e0efa6c6702ca1bdcb22bf1255d973750ebac0d8c3f70402d2d5aff3.png" TargetMode="External"/><Relationship Id="rId19" Type="http://schemas.openxmlformats.org/officeDocument/2006/relationships/hyperlink" Target="https://d15f34w2p8l1cc.cloudfront.net/hearthstone/c15ebb3d3ad906d2389c228b5a06de838b1150c306ac9e73ab5c26e2476b9820.png" TargetMode="External"/><Relationship Id="rId18" Type="http://schemas.openxmlformats.org/officeDocument/2006/relationships/hyperlink" Target="https://d15f34w2p8l1cc.cloudfront.net/hearthstone/07131807b8a75df64cfcbc4f2514aecff7f29853288e4748e9e89bc5fc97e168.png" TargetMode="External"/><Relationship Id="rId84" Type="http://schemas.openxmlformats.org/officeDocument/2006/relationships/hyperlink" Target="https://d15f34w2p8l1cc.cloudfront.net/hearthstone/f9cd624a503882767596461f0221cf067970294d9450fbe4fcde926ed4597861.png" TargetMode="External"/><Relationship Id="rId83" Type="http://schemas.openxmlformats.org/officeDocument/2006/relationships/hyperlink" Target="https://d15f34w2p8l1cc.cloudfront.net/hearthstone/da9cdcc4bb8923a943521367ec4a3d752d475474f84be77f83373a88f9aaf311.png" TargetMode="External"/><Relationship Id="rId86" Type="http://schemas.openxmlformats.org/officeDocument/2006/relationships/hyperlink" Target="https://d15f34w2p8l1cc.cloudfront.net/hearthstone/8fc8efd49abd61976c07eca4634a22482244a7c9a4026d9bdcbee5673b6bf289.png" TargetMode="External"/><Relationship Id="rId85" Type="http://schemas.openxmlformats.org/officeDocument/2006/relationships/hyperlink" Target="https://d15f34w2p8l1cc.cloudfront.net/hearthstone/07d93089f98747dd17cb93a27bc5266476dd18c54e48defad827b59e7cd2c13e.png" TargetMode="External"/><Relationship Id="rId88" Type="http://schemas.openxmlformats.org/officeDocument/2006/relationships/hyperlink" Target="https://d15f34w2p8l1cc.cloudfront.net/hearthstone/f897ff5b679340cf4ecfa2636ae22e11731caa3be55ef22cbac278f3f38428dc.png" TargetMode="External"/><Relationship Id="rId87" Type="http://schemas.openxmlformats.org/officeDocument/2006/relationships/hyperlink" Target="https://d15f34w2p8l1cc.cloudfront.net/hearthstone/a594e08224fcd89b35fdf30996ea6771eabb43135dddbc2b88c5d1a6c1b66fef.png" TargetMode="External"/><Relationship Id="rId89" Type="http://schemas.openxmlformats.org/officeDocument/2006/relationships/hyperlink" Target="https://d15f34w2p8l1cc.cloudfront.net/hearthstone/624d222ba3dff538a0711a1e8fd0d3bd619dc42254199154c3092fcef33b6afb.png" TargetMode="External"/><Relationship Id="rId80" Type="http://schemas.openxmlformats.org/officeDocument/2006/relationships/hyperlink" Target="https://d15f34w2p8l1cc.cloudfront.net/hearthstone/8ff109c5ead070653d71e277ae697423298e303153c135235dd19980e078cf1e.png" TargetMode="External"/><Relationship Id="rId82" Type="http://schemas.openxmlformats.org/officeDocument/2006/relationships/hyperlink" Target="https://d15f34w2p8l1cc.cloudfront.net/hearthstone/20d936ac3eb9f124c3ffb57be19da263f2d4613b4a401d561b45a6442555a9e7.png" TargetMode="External"/><Relationship Id="rId81" Type="http://schemas.openxmlformats.org/officeDocument/2006/relationships/hyperlink" Target="https://d15f34w2p8l1cc.cloudfront.net/hearthstone/dc793c04087beee3bad958b1102973c83e8d372e3fcd33e8437c3428b6b11680.png" TargetMode="External"/><Relationship Id="rId1" Type="http://schemas.openxmlformats.org/officeDocument/2006/relationships/hyperlink" Target="https://d15f34w2p8l1cc.cloudfront.net/hearthstone/148791c57bd65f4382ea0a6a52d8235487c2a73073e3e3f8a9b88b464155bf52.png" TargetMode="External"/><Relationship Id="rId2" Type="http://schemas.openxmlformats.org/officeDocument/2006/relationships/hyperlink" Target="https://d15f34w2p8l1cc.cloudfront.net/hearthstone/04294b7613a8c0d3833db9f96e1274806c9ae33e525443dde82e75c2e76e4188.png" TargetMode="External"/><Relationship Id="rId3" Type="http://schemas.openxmlformats.org/officeDocument/2006/relationships/hyperlink" Target="https://d15f34w2p8l1cc.cloudfront.net/hearthstone/a3b6fefcb89f34a16b7d590c35f70908ee910619e9785ccd7b4dd3525590395a.png" TargetMode="External"/><Relationship Id="rId4" Type="http://schemas.openxmlformats.org/officeDocument/2006/relationships/hyperlink" Target="https://d15f34w2p8l1cc.cloudfront.net/hearthstone/1e456b83c302775ed25ef7aa0a167d2447c2e00ca6448dec1b2786145e690bbb.png" TargetMode="External"/><Relationship Id="rId9" Type="http://schemas.openxmlformats.org/officeDocument/2006/relationships/hyperlink" Target="https://d15f34w2p8l1cc.cloudfront.net/hearthstone/19df8ad07a983675df94134386c1d17b8d603f154308fe6a3c210390939fa714.png" TargetMode="External"/><Relationship Id="rId5" Type="http://schemas.openxmlformats.org/officeDocument/2006/relationships/hyperlink" Target="https://d15f34w2p8l1cc.cloudfront.net/hearthstone/2227d4d37e517c894f2113f69a1179886faf961581e0b240f245aabb3d69b523.png" TargetMode="External"/><Relationship Id="rId6" Type="http://schemas.openxmlformats.org/officeDocument/2006/relationships/hyperlink" Target="https://d15f34w2p8l1cc.cloudfront.net/hearthstone/ca38d99a7c86abbfa246fa6907697c78219088fb42a6bcbdd215bd333830d194.png" TargetMode="External"/><Relationship Id="rId7" Type="http://schemas.openxmlformats.org/officeDocument/2006/relationships/hyperlink" Target="https://d15f34w2p8l1cc.cloudfront.net/hearthstone/27b2b8335f7cebffa432d4e167f4ef43a303ff26aaf1cee40f752b059fdd7cbf.png" TargetMode="External"/><Relationship Id="rId8" Type="http://schemas.openxmlformats.org/officeDocument/2006/relationships/hyperlink" Target="https://d15f34w2p8l1cc.cloudfront.net/hearthstone/a705a91201ed73062de5283b2a7830bb07c1eb013b591195f6fb966fc8e8ad19.png" TargetMode="External"/><Relationship Id="rId73" Type="http://schemas.openxmlformats.org/officeDocument/2006/relationships/hyperlink" Target="https://d15f34w2p8l1cc.cloudfront.net/hearthstone/5e7d1ce1e66b9a2a3dffd4d968ec0f55fc128282f2f4b3e5a78c01fbf9d90edc.png" TargetMode="External"/><Relationship Id="rId72" Type="http://schemas.openxmlformats.org/officeDocument/2006/relationships/hyperlink" Target="https://d15f34w2p8l1cc.cloudfront.net/hearthstone/064815c21fa297033b4f404d805e2dfc5a06c303bb252999a9414c9fdbbd3902.png" TargetMode="External"/><Relationship Id="rId75" Type="http://schemas.openxmlformats.org/officeDocument/2006/relationships/hyperlink" Target="https://d15f34w2p8l1cc.cloudfront.net/hearthstone/94f7a131d011b64dcce3306d013f9e336507502171cecc7c0db9d7d4fd66b14c.png" TargetMode="External"/><Relationship Id="rId74" Type="http://schemas.openxmlformats.org/officeDocument/2006/relationships/hyperlink" Target="https://d15f34w2p8l1cc.cloudfront.net/hearthstone/693d38cfe7ddeca7cf612372a7321f136ee5d4e49f7a77dc3ac8daa3739c1bd4.png" TargetMode="External"/><Relationship Id="rId77" Type="http://schemas.openxmlformats.org/officeDocument/2006/relationships/hyperlink" Target="https://d15f34w2p8l1cc.cloudfront.net/hearthstone/a9b189a89080fa69fe0b45ee2ddca7ababd569d2a926771fbc3e642cd0562d4a.png" TargetMode="External"/><Relationship Id="rId76" Type="http://schemas.openxmlformats.org/officeDocument/2006/relationships/hyperlink" Target="https://d15f34w2p8l1cc.cloudfront.net/hearthstone/7acf1e9b3469bff445944386c4ac183dd4c485a2e87d23a4095517a1dd9c56ab.png" TargetMode="External"/><Relationship Id="rId79" Type="http://schemas.openxmlformats.org/officeDocument/2006/relationships/hyperlink" Target="https://d15f34w2p8l1cc.cloudfront.net/hearthstone/aaff9673af8cd52e9e02da4cef75d2aeceb69f04c7b071fd5d387612ab0c714e.png" TargetMode="External"/><Relationship Id="rId78" Type="http://schemas.openxmlformats.org/officeDocument/2006/relationships/hyperlink" Target="https://d15f34w2p8l1cc.cloudfront.net/hearthstone/21c052ffe7430d9088cef43af18596f19439104ef5fc74ccf1810cc02d8175e4.png" TargetMode="External"/><Relationship Id="rId71" Type="http://schemas.openxmlformats.org/officeDocument/2006/relationships/hyperlink" Target="https://d15f34w2p8l1cc.cloudfront.net/hearthstone/214021e80b8a5419791d7fe2046628d219326078fea659b29d510ba3bfe1a838.png" TargetMode="External"/><Relationship Id="rId70" Type="http://schemas.openxmlformats.org/officeDocument/2006/relationships/hyperlink" Target="https://d15f34w2p8l1cc.cloudfront.net/hearthstone/2f3765b695d7c6964e23b5ea5418e9374700e12a8338d2b0702692f72725910a.png" TargetMode="External"/><Relationship Id="rId132" Type="http://schemas.openxmlformats.org/officeDocument/2006/relationships/hyperlink" Target="https://d15f34w2p8l1cc.cloudfront.net/hearthstone/ce8378c330ccbac61ae54f7497e975959c9e1b10211cfcd6a8666924e53ab47d.png" TargetMode="External"/><Relationship Id="rId131" Type="http://schemas.openxmlformats.org/officeDocument/2006/relationships/hyperlink" Target="https://d15f34w2p8l1cc.cloudfront.net/hearthstone/bd7df1b1c725ce4ebbdbc1dc245adcf5b58a1236fcb582b866ff9f450dd8ce95.png" TargetMode="External"/><Relationship Id="rId130" Type="http://schemas.openxmlformats.org/officeDocument/2006/relationships/hyperlink" Target="https://d15f34w2p8l1cc.cloudfront.net/hearthstone/ed6ea40745855cfd428d6de7515a10de144b9b48899e6b188c3dc29d98cfa966.png" TargetMode="External"/><Relationship Id="rId136" Type="http://schemas.openxmlformats.org/officeDocument/2006/relationships/drawing" Target="../drawings/drawing7.xml"/><Relationship Id="rId135" Type="http://schemas.openxmlformats.org/officeDocument/2006/relationships/hyperlink" Target="https://d15f34w2p8l1cc.cloudfront.net/hearthstone/77bb5725decc9d371e81209e49e68a3bbd3bab012775416b1360102b79f1348b.png" TargetMode="External"/><Relationship Id="rId134" Type="http://schemas.openxmlformats.org/officeDocument/2006/relationships/hyperlink" Target="https://d15f34w2p8l1cc.cloudfront.net/hearthstone/0451014878b8041e6b17340f099cb59e0a445be026ac91cd4e10da876550257d.png" TargetMode="External"/><Relationship Id="rId133" Type="http://schemas.openxmlformats.org/officeDocument/2006/relationships/hyperlink" Target="https://d15f34w2p8l1cc.cloudfront.net/hearthstone/f0d7bd8af5207151f7f559e81cf6fbc3ab2c8495b3f8fc727063b6745a04103f.png" TargetMode="External"/><Relationship Id="rId62" Type="http://schemas.openxmlformats.org/officeDocument/2006/relationships/hyperlink" Target="https://d15f34w2p8l1cc.cloudfront.net/hearthstone/2de8f92dd494d64dd1496b09893e4dcfc40f0b81e65938aa7bf868da0e54e8ce.png" TargetMode="External"/><Relationship Id="rId61" Type="http://schemas.openxmlformats.org/officeDocument/2006/relationships/hyperlink" Target="https://d15f34w2p8l1cc.cloudfront.net/hearthstone/6d7366c717c373bbc4d91f5b8873fbae58f02c5b840ab8b0a853087f2ea0600f.png" TargetMode="External"/><Relationship Id="rId64" Type="http://schemas.openxmlformats.org/officeDocument/2006/relationships/hyperlink" Target="https://d15f34w2p8l1cc.cloudfront.net/hearthstone/d827a63afe1b85bc00b53b3450cd927003123dfa07a010725e48a1ef3f0f8194.png" TargetMode="External"/><Relationship Id="rId63" Type="http://schemas.openxmlformats.org/officeDocument/2006/relationships/hyperlink" Target="https://d15f34w2p8l1cc.cloudfront.net/hearthstone/9951dc9e6f7fbb90957d6214835a4caf5bb86bc8bccb245fc3fd26d6de45927c.png" TargetMode="External"/><Relationship Id="rId66" Type="http://schemas.openxmlformats.org/officeDocument/2006/relationships/hyperlink" Target="https://d15f34w2p8l1cc.cloudfront.net/hearthstone/175a6350c1a4293793ae45f28860d2e187b836a242bf0289b6aeb875d6815007.png" TargetMode="External"/><Relationship Id="rId65" Type="http://schemas.openxmlformats.org/officeDocument/2006/relationships/hyperlink" Target="https://d15f34w2p8l1cc.cloudfront.net/hearthstone/cc4612b1728082aaff25b675b518e90e5341891e9af87a520105392cf6469b75.png" TargetMode="External"/><Relationship Id="rId68" Type="http://schemas.openxmlformats.org/officeDocument/2006/relationships/hyperlink" Target="https://d15f34w2p8l1cc.cloudfront.net/hearthstone/2f9ae83b13c8b051eb59b8c82ce5d69162223ccd0e6dcb29fc83bdd056ba0ffa.png" TargetMode="External"/><Relationship Id="rId67" Type="http://schemas.openxmlformats.org/officeDocument/2006/relationships/hyperlink" Target="https://d15f34w2p8l1cc.cloudfront.net/hearthstone/f7d5945b64758ed39cac8a18130fc1761609d9fa393c507398bedecc627e8082.png" TargetMode="External"/><Relationship Id="rId60" Type="http://schemas.openxmlformats.org/officeDocument/2006/relationships/hyperlink" Target="https://d15f34w2p8l1cc.cloudfront.net/hearthstone/50b24c4e2468b80ed1e0b9a81d47dc3a28eb354f0bf4ea59203c943584b75418.png" TargetMode="External"/><Relationship Id="rId69" Type="http://schemas.openxmlformats.org/officeDocument/2006/relationships/hyperlink" Target="https://d15f34w2p8l1cc.cloudfront.net/hearthstone/b5a4a2bba0e428ddabd17c54c8f00d927bb45f6285196f3494fdd8cfb788966e.png" TargetMode="External"/><Relationship Id="rId51" Type="http://schemas.openxmlformats.org/officeDocument/2006/relationships/hyperlink" Target="https://d15f34w2p8l1cc.cloudfront.net/hearthstone/ea5bb84841dd5aeb246883821649b60dbff1bcc09422ee70d0f622d1578f4599.png" TargetMode="External"/><Relationship Id="rId50" Type="http://schemas.openxmlformats.org/officeDocument/2006/relationships/hyperlink" Target="https://d15f34w2p8l1cc.cloudfront.net/hearthstone/ad27402d47e3e7c1296789e50b80f4b8a43fbc300633bb5503b004117c4d6fd2.png" TargetMode="External"/><Relationship Id="rId53" Type="http://schemas.openxmlformats.org/officeDocument/2006/relationships/hyperlink" Target="https://d15f34w2p8l1cc.cloudfront.net/hearthstone/f54733ed5bfa4cf5fffcbc62b161d6f0bd36dce7f36eb2a0c56500ee86349acd.png" TargetMode="External"/><Relationship Id="rId52" Type="http://schemas.openxmlformats.org/officeDocument/2006/relationships/hyperlink" Target="https://d15f34w2p8l1cc.cloudfront.net/hearthstone/61591718393721ff698732a73350a5cf993de21bff1766bfd4fbcd4eaaed3349.png" TargetMode="External"/><Relationship Id="rId55" Type="http://schemas.openxmlformats.org/officeDocument/2006/relationships/hyperlink" Target="https://d15f34w2p8l1cc.cloudfront.net/hearthstone/6a616ade03267ef9dafe8077e15aa88f61b616b3b7a16b4c03a6ea11b9ce5ca6.png" TargetMode="External"/><Relationship Id="rId54" Type="http://schemas.openxmlformats.org/officeDocument/2006/relationships/hyperlink" Target="https://d15f34w2p8l1cc.cloudfront.net/hearthstone/c5aafbe02e3137101c595caa4d031bbb9b950fa13c4c44cdfdcc678d1afa3c06.png" TargetMode="External"/><Relationship Id="rId57" Type="http://schemas.openxmlformats.org/officeDocument/2006/relationships/hyperlink" Target="https://d15f34w2p8l1cc.cloudfront.net/hearthstone/ef19a3d8f7ff970458a423b811c4fd31a183104f393c4a46d4f2467fee3f1df4.png" TargetMode="External"/><Relationship Id="rId56" Type="http://schemas.openxmlformats.org/officeDocument/2006/relationships/hyperlink" Target="https://d15f34w2p8l1cc.cloudfront.net/hearthstone/a228e0da3b5f0e73e04b076b4492964bb9eb9352cc1be45097c35eaaf13a9ba6.png" TargetMode="External"/><Relationship Id="rId59" Type="http://schemas.openxmlformats.org/officeDocument/2006/relationships/hyperlink" Target="https://d15f34w2p8l1cc.cloudfront.net/hearthstone/25d070f91926d601ca49d4625ec16491acbf35e0a77c369797cea55aca0af546.png" TargetMode="External"/><Relationship Id="rId58" Type="http://schemas.openxmlformats.org/officeDocument/2006/relationships/hyperlink" Target="https://d15f34w2p8l1cc.cloudfront.net/hearthstone/d81f4191b8a88bff4e459d7e24fd225d4df3837e138a1d60110d6c32e2488dd9.png" TargetMode="External"/><Relationship Id="rId107" Type="http://schemas.openxmlformats.org/officeDocument/2006/relationships/hyperlink" Target="https://d15f34w2p8l1cc.cloudfront.net/hearthstone/cfe2dd9f87f2b0132082f30a352be18f76a15f03d582d774180076403ce007cb.png" TargetMode="External"/><Relationship Id="rId106" Type="http://schemas.openxmlformats.org/officeDocument/2006/relationships/hyperlink" Target="https://d15f34w2p8l1cc.cloudfront.net/hearthstone/df2741f97df4c67579834102bd6c05247ca98dcc7168598ff8e2ec74faa08e1e.png" TargetMode="External"/><Relationship Id="rId105" Type="http://schemas.openxmlformats.org/officeDocument/2006/relationships/hyperlink" Target="https://d15f34w2p8l1cc.cloudfront.net/hearthstone/78348de61f7e531f402669524c79b1bf807c9687d4479ef384fa073334451a59.png" TargetMode="External"/><Relationship Id="rId104" Type="http://schemas.openxmlformats.org/officeDocument/2006/relationships/hyperlink" Target="https://d15f34w2p8l1cc.cloudfront.net/hearthstone/428fa64adcd259b86d04bc58cfec614887bc8bf9959dbb71006ef8e0e116f04b.png" TargetMode="External"/><Relationship Id="rId109" Type="http://schemas.openxmlformats.org/officeDocument/2006/relationships/hyperlink" Target="https://d15f34w2p8l1cc.cloudfront.net/hearthstone/18ccee54707d9369c6fce84ed74d732eacfb2346d04207ff3ca4e9bc2c9f2474.png" TargetMode="External"/><Relationship Id="rId108" Type="http://schemas.openxmlformats.org/officeDocument/2006/relationships/hyperlink" Target="https://d15f34w2p8l1cc.cloudfront.net/hearthstone/8294c0a8dd51ef75b36e1f8e0c3c77b4538f7e59e13a9cfc43fadbb3451a5355.png" TargetMode="External"/><Relationship Id="rId103" Type="http://schemas.openxmlformats.org/officeDocument/2006/relationships/hyperlink" Target="https://d15f34w2p8l1cc.cloudfront.net/hearthstone/0d97a8b5587ea698fe80e379458c5b50c7c731e9ba9695af3182f7c9f1fe1ee9.png" TargetMode="External"/><Relationship Id="rId102" Type="http://schemas.openxmlformats.org/officeDocument/2006/relationships/hyperlink" Target="https://d15f34w2p8l1cc.cloudfront.net/hearthstone/5e5dffb7851a944372c9c075cf238b0d929d4ee1f6830c3c7799811d06f8947a.png" TargetMode="External"/><Relationship Id="rId101" Type="http://schemas.openxmlformats.org/officeDocument/2006/relationships/hyperlink" Target="https://d15f34w2p8l1cc.cloudfront.net/hearthstone/4993b2f890cc9ee50c5dd94ac73fc63f6938fbcf38d3ea5ddd345d8cf1660c55.png" TargetMode="External"/><Relationship Id="rId100" Type="http://schemas.openxmlformats.org/officeDocument/2006/relationships/hyperlink" Target="https://d15f34w2p8l1cc.cloudfront.net/hearthstone/2148e749f6e16a1cbaad4b37f3ea16ae477988bcb74b4147978e8ad267874e1e.png" TargetMode="External"/><Relationship Id="rId129" Type="http://schemas.openxmlformats.org/officeDocument/2006/relationships/hyperlink" Target="https://d15f34w2p8l1cc.cloudfront.net/hearthstone/d244945ea1f73601287b1fe3113c40ee58734d75a57ffa1fad9896cf6053dca6.png" TargetMode="External"/><Relationship Id="rId128" Type="http://schemas.openxmlformats.org/officeDocument/2006/relationships/hyperlink" Target="https://d15f34w2p8l1cc.cloudfront.net/hearthstone/4bf580bde7494131c0e881c157ca2ba7690775ee898d19dbf78d3b1c6701e90a.png" TargetMode="External"/><Relationship Id="rId127" Type="http://schemas.openxmlformats.org/officeDocument/2006/relationships/hyperlink" Target="https://d15f34w2p8l1cc.cloudfront.net/hearthstone/7da90fb062c9fc54cbb8a7094f0410c353fc9a629288a76d36bdc1ee8ebfd646.png" TargetMode="External"/><Relationship Id="rId126" Type="http://schemas.openxmlformats.org/officeDocument/2006/relationships/hyperlink" Target="https://d15f34w2p8l1cc.cloudfront.net/hearthstone/99da483497d36cabcf3488fc6c7462786781382d900f43e19f5cbf27ce334de3.png" TargetMode="External"/><Relationship Id="rId121" Type="http://schemas.openxmlformats.org/officeDocument/2006/relationships/hyperlink" Target="https://d15f34w2p8l1cc.cloudfront.net/hearthstone/2fc5d66734ca06d681c5373ded68b99bfc3bcd603d88ae9faf09ad655b409a42.png" TargetMode="External"/><Relationship Id="rId120" Type="http://schemas.openxmlformats.org/officeDocument/2006/relationships/hyperlink" Target="https://d15f34w2p8l1cc.cloudfront.net/hearthstone/364dc6fc0ef80880561f0527638b7754e5e6b66df28d9cfd76a933ddcf1c19c7.png" TargetMode="External"/><Relationship Id="rId125" Type="http://schemas.openxmlformats.org/officeDocument/2006/relationships/hyperlink" Target="https://d15f34w2p8l1cc.cloudfront.net/hearthstone/81538f01d047cfa3f4a892fa84d4c6faa72e588ac9bbff6d44a5b1dd05122653.png" TargetMode="External"/><Relationship Id="rId124" Type="http://schemas.openxmlformats.org/officeDocument/2006/relationships/hyperlink" Target="https://d15f34w2p8l1cc.cloudfront.net/hearthstone/d4d8dd3426b3c3e36cbb8fc066f32b31be2a0598d9a83b88726084c07f9ac913.png" TargetMode="External"/><Relationship Id="rId123" Type="http://schemas.openxmlformats.org/officeDocument/2006/relationships/hyperlink" Target="https://d15f34w2p8l1cc.cloudfront.net/hearthstone/761fdd1b1eee169a5bfc8ccdbffc100151d943eae4fe2e781a66f1a873372331.png" TargetMode="External"/><Relationship Id="rId122" Type="http://schemas.openxmlformats.org/officeDocument/2006/relationships/hyperlink" Target="https://d15f34w2p8l1cc.cloudfront.net/hearthstone/7ae997a5de33e3f543546f0c03946d51dd506598a43a3df0a64c7951a29e834c.png" TargetMode="External"/><Relationship Id="rId95" Type="http://schemas.openxmlformats.org/officeDocument/2006/relationships/hyperlink" Target="https://d15f34w2p8l1cc.cloudfront.net/hearthstone/06b5b28b7a695003ba2471ef397dfac67146d3581bc6f3dba75190507e53b68a.png" TargetMode="External"/><Relationship Id="rId94" Type="http://schemas.openxmlformats.org/officeDocument/2006/relationships/hyperlink" Target="https://d15f34w2p8l1cc.cloudfront.net/hearthstone/c76ff10c9c2b649efb024359fa0038b1c7f4da9f8ffeca515b606dd3f0ca891d.png" TargetMode="External"/><Relationship Id="rId97" Type="http://schemas.openxmlformats.org/officeDocument/2006/relationships/hyperlink" Target="https://d15f34w2p8l1cc.cloudfront.net/hearthstone/547b0fad1ec866d45c0cac19927f1af6de9bc2a994ea3d10a6a0500959009622.png" TargetMode="External"/><Relationship Id="rId96" Type="http://schemas.openxmlformats.org/officeDocument/2006/relationships/hyperlink" Target="https://d15f34w2p8l1cc.cloudfront.net/hearthstone/f7d7a4377f87f5eab808373fe22be3af7898a0be3cbf6974714ce18275f7e80a.png" TargetMode="External"/><Relationship Id="rId99" Type="http://schemas.openxmlformats.org/officeDocument/2006/relationships/hyperlink" Target="https://d15f34w2p8l1cc.cloudfront.net/hearthstone/a92e3c62a3a650592d6ae8c275188e5719753983de04e666d16270610f9cdc81.png" TargetMode="External"/><Relationship Id="rId98" Type="http://schemas.openxmlformats.org/officeDocument/2006/relationships/hyperlink" Target="https://d15f34w2p8l1cc.cloudfront.net/hearthstone/e1b4f1d43ac8fbc08e9ea9b366d4f179627336aa2c291ca5a512fd952452dee8.png" TargetMode="External"/><Relationship Id="rId91" Type="http://schemas.openxmlformats.org/officeDocument/2006/relationships/hyperlink" Target="https://d15f34w2p8l1cc.cloudfront.net/hearthstone/875bcc7b45c1583d54e76d2dab86c2e87fe0ab933e8f1386eea28fa6574ced0e.png" TargetMode="External"/><Relationship Id="rId90" Type="http://schemas.openxmlformats.org/officeDocument/2006/relationships/hyperlink" Target="https://d15f34w2p8l1cc.cloudfront.net/hearthstone/7ba86cd7fad9f275ccf0dfc5b5f99aedfbe124d6d2fc076f7f718f1c839becd2.png" TargetMode="External"/><Relationship Id="rId93" Type="http://schemas.openxmlformats.org/officeDocument/2006/relationships/hyperlink" Target="https://d15f34w2p8l1cc.cloudfront.net/hearthstone/1d567ca9543e4c7500d3376a06d30f96873d7e329c4ec61788ad691ce96cf599.png" TargetMode="External"/><Relationship Id="rId92" Type="http://schemas.openxmlformats.org/officeDocument/2006/relationships/hyperlink" Target="https://d15f34w2p8l1cc.cloudfront.net/hearthstone/3cbcddc06443bb6cadbda4bf60b1bc468f6c291318b2c48d41cf6ed7577bfd83.png" TargetMode="External"/><Relationship Id="rId118" Type="http://schemas.openxmlformats.org/officeDocument/2006/relationships/hyperlink" Target="https://d15f34w2p8l1cc.cloudfront.net/hearthstone/4040f36ce5222898eda8eb02896b060e0e2066d48a5e8c318a34eb33839097bd.png" TargetMode="External"/><Relationship Id="rId117" Type="http://schemas.openxmlformats.org/officeDocument/2006/relationships/hyperlink" Target="https://d15f34w2p8l1cc.cloudfront.net/hearthstone/2788dfed5f8f03315755127df453203415a5323334464d0fb25f783c48a6686f.png" TargetMode="External"/><Relationship Id="rId116" Type="http://schemas.openxmlformats.org/officeDocument/2006/relationships/hyperlink" Target="https://d15f34w2p8l1cc.cloudfront.net/hearthstone/73fabb8beaa65a2d094bcb332cdaaf527863082b4f459ea06ab67e2dc42206f0.png" TargetMode="External"/><Relationship Id="rId115" Type="http://schemas.openxmlformats.org/officeDocument/2006/relationships/hyperlink" Target="https://d15f34w2p8l1cc.cloudfront.net/hearthstone/30177270f819bc786bb665fae97919ba8260879cce0fdaa8920e96f7a1b32e69.png" TargetMode="External"/><Relationship Id="rId119" Type="http://schemas.openxmlformats.org/officeDocument/2006/relationships/hyperlink" Target="https://d15f34w2p8l1cc.cloudfront.net/hearthstone/c1a3aa684666f1f8ced7a26bb75bb6982740b995310ec5e6421bc358bc5889d6.png" TargetMode="External"/><Relationship Id="rId110" Type="http://schemas.openxmlformats.org/officeDocument/2006/relationships/hyperlink" Target="https://d15f34w2p8l1cc.cloudfront.net/hearthstone/429a6cabb01408aa50d7a20a8d172685d88f4b4f0e579ea0858728c513382490.png" TargetMode="External"/><Relationship Id="rId114" Type="http://schemas.openxmlformats.org/officeDocument/2006/relationships/hyperlink" Target="https://d15f34w2p8l1cc.cloudfront.net/hearthstone/f454871dbdad34a847f7e5e81dda7750af3048bae0af1bb017a537c2a705258f.png" TargetMode="External"/><Relationship Id="rId113" Type="http://schemas.openxmlformats.org/officeDocument/2006/relationships/hyperlink" Target="https://d15f34w2p8l1cc.cloudfront.net/hearthstone/04a2f7ab3ac63618fe450badfc8d218a2737409eedeaa557d167a3d6f5892f42.png" TargetMode="External"/><Relationship Id="rId112" Type="http://schemas.openxmlformats.org/officeDocument/2006/relationships/hyperlink" Target="https://d15f34w2p8l1cc.cloudfront.net/hearthstone/1973676b17ab18a408fa59b109afaa15ac30a0fd678035a96f6c55dc7abe7ec3.png" TargetMode="External"/><Relationship Id="rId111" Type="http://schemas.openxmlformats.org/officeDocument/2006/relationships/hyperlink" Target="https://d15f34w2p8l1cc.cloudfront.net/hearthstone/b47065244a72055c4eb7067743b0c314167f64d2eecb4f91bbe1bc11a03b407d.png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15f34w2p8l1cc.cloudfront.net/hearthstone/def272f0fe1455dd0fa3a90fc34fc9fe15155d11dd40606aa67fb9c16ae349cf.png" TargetMode="External"/><Relationship Id="rId42" Type="http://schemas.openxmlformats.org/officeDocument/2006/relationships/hyperlink" Target="https://d15f34w2p8l1cc.cloudfront.net/hearthstone/17052412b8223439771cd81c7e466ceb326f6d9e7c331c43e62f1d5a825e510b.png" TargetMode="External"/><Relationship Id="rId41" Type="http://schemas.openxmlformats.org/officeDocument/2006/relationships/hyperlink" Target="https://d15f34w2p8l1cc.cloudfront.net/hearthstone/dcaea3c56c912eb7bdb63ebd126bcf6054fc304494f6fe6c0272827b0d6defc7.png" TargetMode="External"/><Relationship Id="rId44" Type="http://schemas.openxmlformats.org/officeDocument/2006/relationships/hyperlink" Target="https://d15f34w2p8l1cc.cloudfront.net/hearthstone/63abcfdcea497bbf6885d8a0b6195e86824b562465f6093d29c18f7cecf2497a.png" TargetMode="External"/><Relationship Id="rId43" Type="http://schemas.openxmlformats.org/officeDocument/2006/relationships/hyperlink" Target="https://d15f34w2p8l1cc.cloudfront.net/hearthstone/85e0158f2cc9a6c1945c8bf9d8350469e824aaecdec82f6333f881adb8c40a1a.png" TargetMode="External"/><Relationship Id="rId46" Type="http://schemas.openxmlformats.org/officeDocument/2006/relationships/hyperlink" Target="https://d15f34w2p8l1cc.cloudfront.net/hearthstone/4c8ef237020bcb69e912b4701687fc01d08623b31463f8147172e5b1aef2ef21.png" TargetMode="External"/><Relationship Id="rId45" Type="http://schemas.openxmlformats.org/officeDocument/2006/relationships/hyperlink" Target="https://d15f34w2p8l1cc.cloudfront.net/hearthstone/da7c5f20be096c23acf04c3483620e822cee53d3ef93d16ccb572c988f61d1b7.png" TargetMode="External"/><Relationship Id="rId48" Type="http://schemas.openxmlformats.org/officeDocument/2006/relationships/hyperlink" Target="https://d15f34w2p8l1cc.cloudfront.net/hearthstone/c7981681407c046708fb730dbcb8ffefa6902a68062d67f07d5f0183688e73a9.png" TargetMode="External"/><Relationship Id="rId47" Type="http://schemas.openxmlformats.org/officeDocument/2006/relationships/hyperlink" Target="https://d15f34w2p8l1cc.cloudfront.net/hearthstone/6933d7da15d6e58e88af7cb7f77df2f78154a5f54a766800e1a565dc5fb3bac4.png" TargetMode="External"/><Relationship Id="rId49" Type="http://schemas.openxmlformats.org/officeDocument/2006/relationships/hyperlink" Target="https://d15f34w2p8l1cc.cloudfront.net/hearthstone/17d94807568159ba51625e14f692bba32f40f26b569408f46824b8396a1df6a6.png" TargetMode="External"/><Relationship Id="rId31" Type="http://schemas.openxmlformats.org/officeDocument/2006/relationships/hyperlink" Target="https://d15f34w2p8l1cc.cloudfront.net/hearthstone/0a8ff10200d2a10299d33d7befe0cf722f6e4a794981f9466030d262ba1ffc95.png" TargetMode="External"/><Relationship Id="rId30" Type="http://schemas.openxmlformats.org/officeDocument/2006/relationships/hyperlink" Target="https://d15f34w2p8l1cc.cloudfront.net/hearthstone/5e91c5934ed07648e41ea236f50700eb888bb073baff092638370eb54c49452e.png" TargetMode="External"/><Relationship Id="rId33" Type="http://schemas.openxmlformats.org/officeDocument/2006/relationships/hyperlink" Target="https://d15f34w2p8l1cc.cloudfront.net/hearthstone/927e7869da68abd4cda3dfe443d0e097c09d99846befdea454e23a1a2f5941c6.png" TargetMode="External"/><Relationship Id="rId32" Type="http://schemas.openxmlformats.org/officeDocument/2006/relationships/hyperlink" Target="https://d15f34w2p8l1cc.cloudfront.net/hearthstone/d304f790905e73c583709a5c11be8f8a75d503406c7627df3c2d58c66e2e0cd8.png" TargetMode="External"/><Relationship Id="rId35" Type="http://schemas.openxmlformats.org/officeDocument/2006/relationships/hyperlink" Target="https://d15f34w2p8l1cc.cloudfront.net/hearthstone/fe9760fdee86e87508313eb9ea118a46859adb25702ddf64a2f08ace74fed060.png" TargetMode="External"/><Relationship Id="rId34" Type="http://schemas.openxmlformats.org/officeDocument/2006/relationships/hyperlink" Target="https://d15f34w2p8l1cc.cloudfront.net/hearthstone/96d175e39177d403176a3b0dc38df4677a89e5ac4c944c9647a089de8c2a61e1.png" TargetMode="External"/><Relationship Id="rId37" Type="http://schemas.openxmlformats.org/officeDocument/2006/relationships/hyperlink" Target="https://d15f34w2p8l1cc.cloudfront.net/hearthstone/16cf5b60ed20300ee5657fb24426cc8fd611a9203d1c1fad326e646b850b5f8f.png" TargetMode="External"/><Relationship Id="rId36" Type="http://schemas.openxmlformats.org/officeDocument/2006/relationships/hyperlink" Target="https://d15f34w2p8l1cc.cloudfront.net/hearthstone/ae9cb1920cc5187169169714ceb7dbdfa3329638b18b4f29983c93d027813d63.png" TargetMode="External"/><Relationship Id="rId39" Type="http://schemas.openxmlformats.org/officeDocument/2006/relationships/hyperlink" Target="https://d15f34w2p8l1cc.cloudfront.net/hearthstone/0a6adc25bdd4fc98052328369ed6a4cb8751e4fba74f92d14a6dd379094a8f9e.png" TargetMode="External"/><Relationship Id="rId38" Type="http://schemas.openxmlformats.org/officeDocument/2006/relationships/hyperlink" Target="https://d15f34w2p8l1cc.cloudfront.net/hearthstone/5eab486fd1d3fcd69b0038fb0d185194ba701fe52d804b2bc9bbd46acf6d0f2b.png" TargetMode="External"/><Relationship Id="rId20" Type="http://schemas.openxmlformats.org/officeDocument/2006/relationships/hyperlink" Target="https://d15f34w2p8l1cc.cloudfront.net/hearthstone/8fb47da19506751d6c02a04e67e1da5e9eac92cd8ebbc5a7f5da3ba15f374da9.png" TargetMode="External"/><Relationship Id="rId22" Type="http://schemas.openxmlformats.org/officeDocument/2006/relationships/hyperlink" Target="https://d15f34w2p8l1cc.cloudfront.net/hearthstone/d245c66c9113f9776a534d9b871994a1a8bea13ea24624a38bd88634381c1418.png" TargetMode="External"/><Relationship Id="rId21" Type="http://schemas.openxmlformats.org/officeDocument/2006/relationships/hyperlink" Target="https://d15f34w2p8l1cc.cloudfront.net/hearthstone/cca85cac4c4033034bdd4f9d1f58733e767e1ec57b6dda5917caa1a6f4cd1b9d.png" TargetMode="External"/><Relationship Id="rId24" Type="http://schemas.openxmlformats.org/officeDocument/2006/relationships/hyperlink" Target="https://d15f34w2p8l1cc.cloudfront.net/hearthstone/64cad45bf564c2fe9b44390f4207a466ad6463837da8f956c0c6c991ffdf7bde.png" TargetMode="External"/><Relationship Id="rId23" Type="http://schemas.openxmlformats.org/officeDocument/2006/relationships/hyperlink" Target="https://d15f34w2p8l1cc.cloudfront.net/hearthstone/6e5047f27c6437960331b559417303ba17c74a9e9a29958a8153693e1c57bde0.png" TargetMode="External"/><Relationship Id="rId26" Type="http://schemas.openxmlformats.org/officeDocument/2006/relationships/hyperlink" Target="https://d15f34w2p8l1cc.cloudfront.net/hearthstone/532e6b67cc19ec92196004637e730f1f9b9d43a5338395817b4709417e2d6ed9.png" TargetMode="External"/><Relationship Id="rId25" Type="http://schemas.openxmlformats.org/officeDocument/2006/relationships/hyperlink" Target="https://d15f34w2p8l1cc.cloudfront.net/hearthstone/423276f7029aa730c7980fac127bdc8935e7388a2ef80d629441a6e0077ed3db.png" TargetMode="External"/><Relationship Id="rId28" Type="http://schemas.openxmlformats.org/officeDocument/2006/relationships/hyperlink" Target="https://d15f34w2p8l1cc.cloudfront.net/hearthstone/3a401b9b80b9a8629fea9771db1195d3ab0003f2703059001550b4f468a906a9.png" TargetMode="External"/><Relationship Id="rId27" Type="http://schemas.openxmlformats.org/officeDocument/2006/relationships/hyperlink" Target="https://d15f34w2p8l1cc.cloudfront.net/hearthstone/424c9a2a229116e2a0ae1b98072a930d71ca09e20fffc2ad80452568471bff7f.png" TargetMode="External"/><Relationship Id="rId29" Type="http://schemas.openxmlformats.org/officeDocument/2006/relationships/hyperlink" Target="https://d15f34w2p8l1cc.cloudfront.net/hearthstone/fcc6f59b82a0fc7bc3180d72bd08804c27f8600068c03a15497ef2c2964a7523.png" TargetMode="External"/><Relationship Id="rId11" Type="http://schemas.openxmlformats.org/officeDocument/2006/relationships/hyperlink" Target="https://d15f34w2p8l1cc.cloudfront.net/hearthstone/f84218e3128f1a5014c3366b28e507395b4420b80027d8741485364d6ba49f39.png" TargetMode="External"/><Relationship Id="rId10" Type="http://schemas.openxmlformats.org/officeDocument/2006/relationships/hyperlink" Target="https://d15f34w2p8l1cc.cloudfront.net/hearthstone/11524ea9b0e153b901c74856049453e3ba3c7ab2144af0a37818ea2e2495dfb1.png" TargetMode="External"/><Relationship Id="rId13" Type="http://schemas.openxmlformats.org/officeDocument/2006/relationships/hyperlink" Target="https://d15f34w2p8l1cc.cloudfront.net/hearthstone/715bbaa72019830b2bcb5dc92ed009b46932dc3d23056f4ebec5f29fb7c5a400.png" TargetMode="External"/><Relationship Id="rId12" Type="http://schemas.openxmlformats.org/officeDocument/2006/relationships/hyperlink" Target="https://d15f34w2p8l1cc.cloudfront.net/hearthstone/33405133453a1c00d38deead305c47f9e814b627a99291b186c782ad59c6bf83.png" TargetMode="External"/><Relationship Id="rId15" Type="http://schemas.openxmlformats.org/officeDocument/2006/relationships/hyperlink" Target="https://d15f34w2p8l1cc.cloudfront.net/hearthstone/3f88120584a54afb7cdc666600c23afd445bf8d04532c26cad2ef2652b72f971.png" TargetMode="External"/><Relationship Id="rId14" Type="http://schemas.openxmlformats.org/officeDocument/2006/relationships/hyperlink" Target="https://d15f34w2p8l1cc.cloudfront.net/hearthstone/02bf417003d2327f19a8b2b586f829075ea6875567e4163e928b756d7b924302.png" TargetMode="External"/><Relationship Id="rId17" Type="http://schemas.openxmlformats.org/officeDocument/2006/relationships/hyperlink" Target="https://d15f34w2p8l1cc.cloudfront.net/hearthstone/13463171dedc957c3eb81bb093b83c9479111677c1f2fa2756fc5ebef87a7ce9.png" TargetMode="External"/><Relationship Id="rId16" Type="http://schemas.openxmlformats.org/officeDocument/2006/relationships/hyperlink" Target="https://d15f34w2p8l1cc.cloudfront.net/hearthstone/a37dcfd5f0a1744a7a2be2c4e8c0bcc76bcb6732b18558145c22a87681f657ba.png" TargetMode="External"/><Relationship Id="rId19" Type="http://schemas.openxmlformats.org/officeDocument/2006/relationships/hyperlink" Target="https://d15f34w2p8l1cc.cloudfront.net/hearthstone/acb3067848a770a3e13dc42a6d4752f8288930d66ef1519a95feff18e2161254.png" TargetMode="External"/><Relationship Id="rId18" Type="http://schemas.openxmlformats.org/officeDocument/2006/relationships/hyperlink" Target="https://d15f34w2p8l1cc.cloudfront.net/hearthstone/d8da844fb03682876db17d715dc6dccae302a1a709daaf7d0cd14175e8ae7a2d.png" TargetMode="External"/><Relationship Id="rId84" Type="http://schemas.openxmlformats.org/officeDocument/2006/relationships/hyperlink" Target="https://d15f34w2p8l1cc.cloudfront.net/hearthstone/157329c4b4af557438ac5fbf2d0080196c28b4b31a6d9f48e592cd27832e8308.png" TargetMode="External"/><Relationship Id="rId83" Type="http://schemas.openxmlformats.org/officeDocument/2006/relationships/hyperlink" Target="https://d15f34w2p8l1cc.cloudfront.net/hearthstone/fca4512f4a031a26ad3afa7650cd1a5dc2b6552a08067a8641ddd8c607f924d5.png" TargetMode="External"/><Relationship Id="rId86" Type="http://schemas.openxmlformats.org/officeDocument/2006/relationships/hyperlink" Target="https://d15f34w2p8l1cc.cloudfront.net/hearthstone/25b713a34ab36b36be0072681d34eadb63e31879ac6405d768232b466eff6313.png" TargetMode="External"/><Relationship Id="rId85" Type="http://schemas.openxmlformats.org/officeDocument/2006/relationships/hyperlink" Target="https://d15f34w2p8l1cc.cloudfront.net/hearthstone/bda5d4f099dcbf522b73a72b7a51ac6b849dec1a82ec8e29bee080624139c61a.png" TargetMode="External"/><Relationship Id="rId88" Type="http://schemas.openxmlformats.org/officeDocument/2006/relationships/hyperlink" Target="https://d15f34w2p8l1cc.cloudfront.net/hearthstone/c897569800c087c06eb2f39837c9236e209391a641f473f66d670f1827c5ea9e.png" TargetMode="External"/><Relationship Id="rId87" Type="http://schemas.openxmlformats.org/officeDocument/2006/relationships/hyperlink" Target="https://d15f34w2p8l1cc.cloudfront.net/hearthstone/963568ae64eee83159201cefdd56d35b249b4ddc51e20ddd7e3baeaf6cb5d12c.png" TargetMode="External"/><Relationship Id="rId89" Type="http://schemas.openxmlformats.org/officeDocument/2006/relationships/hyperlink" Target="https://d15f34w2p8l1cc.cloudfront.net/hearthstone/a0e3f69d99a756844e87ef794f0ebadd1a163190b18328de9f9782cf319c1e1a.png" TargetMode="External"/><Relationship Id="rId80" Type="http://schemas.openxmlformats.org/officeDocument/2006/relationships/hyperlink" Target="https://d15f34w2p8l1cc.cloudfront.net/hearthstone/c7100b741fd41374a503d6a4f29fb0692b8cf6d9b99ebb133884cda3503bd968.png" TargetMode="External"/><Relationship Id="rId82" Type="http://schemas.openxmlformats.org/officeDocument/2006/relationships/hyperlink" Target="https://d15f34w2p8l1cc.cloudfront.net/hearthstone/9aeb16fbb460b5e31ccbf36840523087f4c1ab0827ab591ef5848058f1bea2ec.png" TargetMode="External"/><Relationship Id="rId81" Type="http://schemas.openxmlformats.org/officeDocument/2006/relationships/hyperlink" Target="https://d15f34w2p8l1cc.cloudfront.net/hearthstone/70515e6c5f9ba538a92baf962cd36637a8286d2b3562085650b346d18676f8d6.png" TargetMode="External"/><Relationship Id="rId1" Type="http://schemas.openxmlformats.org/officeDocument/2006/relationships/hyperlink" Target="http://bit.ly/3eQDUw7" TargetMode="External"/><Relationship Id="rId2" Type="http://schemas.openxmlformats.org/officeDocument/2006/relationships/hyperlink" Target="https://d15f34w2p8l1cc.cloudfront.net/hearthstone/22ac2115a03457af5e9afa3cb33e08c4ad7678757073bcfa76cad772e5428c64.png" TargetMode="External"/><Relationship Id="rId3" Type="http://schemas.openxmlformats.org/officeDocument/2006/relationships/hyperlink" Target="https://d15f34w2p8l1cc.cloudfront.net/hearthstone/45522d1a66cf7b09fe5c235f6cb695f663f5d79bd7f8a12f355f10f744e55dbe.png" TargetMode="External"/><Relationship Id="rId4" Type="http://schemas.openxmlformats.org/officeDocument/2006/relationships/hyperlink" Target="https://d15f34w2p8l1cc.cloudfront.net/hearthstone/86f13888da6106ebbfeeefa03bda34c22ab3b0e0389ce6ed5cfa4cee326e52c7.png" TargetMode="External"/><Relationship Id="rId9" Type="http://schemas.openxmlformats.org/officeDocument/2006/relationships/hyperlink" Target="https://d15f34w2p8l1cc.cloudfront.net/hearthstone/cb2709f09415465ae379cce871c2da6ccf3c0e96ae67021f109b781f79714904.png" TargetMode="External"/><Relationship Id="rId5" Type="http://schemas.openxmlformats.org/officeDocument/2006/relationships/hyperlink" Target="https://d15f34w2p8l1cc.cloudfront.net/hearthstone/8c3d9c605b23b4552a8a54b0d4e901fe03bbc8a3e13b824332441ea066db7366.png" TargetMode="External"/><Relationship Id="rId6" Type="http://schemas.openxmlformats.org/officeDocument/2006/relationships/hyperlink" Target="https://d15f34w2p8l1cc.cloudfront.net/hearthstone/54c4410b97e694cf7024c6e99b8ab3b203f339635752e8489ba6ffbfebd21488.png" TargetMode="External"/><Relationship Id="rId7" Type="http://schemas.openxmlformats.org/officeDocument/2006/relationships/hyperlink" Target="https://d15f34w2p8l1cc.cloudfront.net/hearthstone/4d52e17fe5137a54cd5a44cc65651bce70133b4078994e727bc489fcfe728137.png" TargetMode="External"/><Relationship Id="rId8" Type="http://schemas.openxmlformats.org/officeDocument/2006/relationships/hyperlink" Target="https://d15f34w2p8l1cc.cloudfront.net/hearthstone/45cc0a008a63f9d9e0bd7327cc1d3a4863ff1d51e2423bbd40010f68b595830d.png" TargetMode="External"/><Relationship Id="rId73" Type="http://schemas.openxmlformats.org/officeDocument/2006/relationships/hyperlink" Target="https://d15f34w2p8l1cc.cloudfront.net/hearthstone/adc98959ca93f6824a223ca8638f34a061a2cb48318eaa501d83f1882d0f79a5.png" TargetMode="External"/><Relationship Id="rId72" Type="http://schemas.openxmlformats.org/officeDocument/2006/relationships/hyperlink" Target="https://d15f34w2p8l1cc.cloudfront.net/hearthstone/66886dee3259c34cd8cd2ccc3af93c516a8dfa0a33b3dca2424c5cbc46c87f12.png" TargetMode="External"/><Relationship Id="rId75" Type="http://schemas.openxmlformats.org/officeDocument/2006/relationships/hyperlink" Target="https://d15f34w2p8l1cc.cloudfront.net/hearthstone/82d9dc42bded1f0e4819a6b70aa20bda97f8a83f504cc372b8ef5f5e924097a4.png" TargetMode="External"/><Relationship Id="rId74" Type="http://schemas.openxmlformats.org/officeDocument/2006/relationships/hyperlink" Target="https://d15f34w2p8l1cc.cloudfront.net/hearthstone/880fbd5ffcbdc35535cdffffcafbc02a1800e1d52e52a114a6d806e2691aa2e1.png" TargetMode="External"/><Relationship Id="rId77" Type="http://schemas.openxmlformats.org/officeDocument/2006/relationships/hyperlink" Target="https://d15f34w2p8l1cc.cloudfront.net/hearthstone/afbd46a5b3e0fcfa90e54e00064614f0f5ecfe79b31f88bb6ffebb269111a0e1.png" TargetMode="External"/><Relationship Id="rId76" Type="http://schemas.openxmlformats.org/officeDocument/2006/relationships/hyperlink" Target="https://d15f34w2p8l1cc.cloudfront.net/hearthstone/40648e5a4d000e7b454b6f12fd29632ec5f1fff3a8f1ca43b66557914acf3f2e.png" TargetMode="External"/><Relationship Id="rId79" Type="http://schemas.openxmlformats.org/officeDocument/2006/relationships/hyperlink" Target="https://d15f34w2p8l1cc.cloudfront.net/hearthstone/a691cfa6a04e364128d8d0d25163ff026ee7126250fa22ba2dee19c9156ea148.png" TargetMode="External"/><Relationship Id="rId78" Type="http://schemas.openxmlformats.org/officeDocument/2006/relationships/hyperlink" Target="https://d15f34w2p8l1cc.cloudfront.net/hearthstone/4bdf2cd194468415671a930caeac6185fe14cc7846ab49f0ff0ac351b5aad15a.png" TargetMode="External"/><Relationship Id="rId71" Type="http://schemas.openxmlformats.org/officeDocument/2006/relationships/hyperlink" Target="https://d15f34w2p8l1cc.cloudfront.net/hearthstone/9eaf95aed2e641724bbb08d760257357203e86163c35a51516e70fc14a832897.png" TargetMode="External"/><Relationship Id="rId70" Type="http://schemas.openxmlformats.org/officeDocument/2006/relationships/hyperlink" Target="https://d15f34w2p8l1cc.cloudfront.net/hearthstone/acb2482476bc7c78ba0c6ce5985a11b08c25aeed4acd5c54dcebed26087d16a6.png" TargetMode="External"/><Relationship Id="rId137" Type="http://schemas.openxmlformats.org/officeDocument/2006/relationships/drawing" Target="../drawings/drawing8.xml"/><Relationship Id="rId132" Type="http://schemas.openxmlformats.org/officeDocument/2006/relationships/hyperlink" Target="https://d15f34w2p8l1cc.cloudfront.net/hearthstone/59f05d45d219f8c77dc63663bead9e02f31feb8cfaba64f231263a9519875b4b.png" TargetMode="External"/><Relationship Id="rId131" Type="http://schemas.openxmlformats.org/officeDocument/2006/relationships/hyperlink" Target="https://d15f34w2p8l1cc.cloudfront.net/hearthstone/89dd5e9946cce3c7941c1574f66f8791b4daa38fff7ec2685745270eed363930.png" TargetMode="External"/><Relationship Id="rId130" Type="http://schemas.openxmlformats.org/officeDocument/2006/relationships/hyperlink" Target="https://d15f34w2p8l1cc.cloudfront.net/hearthstone/eb2fb9316af2d081b3a9bbe81e25803204315ba63b72a76e9af25199e5fa2d31.png" TargetMode="External"/><Relationship Id="rId136" Type="http://schemas.openxmlformats.org/officeDocument/2006/relationships/hyperlink" Target="https://d15f34w2p8l1cc.cloudfront.net/hearthstone/e8679e356b7ebb9545d7c728cf60124a72240ff94a84debdf5c461d4e889506e.png" TargetMode="External"/><Relationship Id="rId135" Type="http://schemas.openxmlformats.org/officeDocument/2006/relationships/hyperlink" Target="https://d15f34w2p8l1cc.cloudfront.net/hearthstone/698b066ec5bc92eaaf534010a334c95b12a281ba0e02f9b7a6137c971c01c2ed.png" TargetMode="External"/><Relationship Id="rId134" Type="http://schemas.openxmlformats.org/officeDocument/2006/relationships/hyperlink" Target="https://d15f34w2p8l1cc.cloudfront.net/hearthstone/bae77e2873abc351c157b0ea5c6708ab36da71dc67b7aec954b17f99a0214419.png" TargetMode="External"/><Relationship Id="rId133" Type="http://schemas.openxmlformats.org/officeDocument/2006/relationships/hyperlink" Target="https://d15f34w2p8l1cc.cloudfront.net/hearthstone/6c8af49bc25941a9f22d485a1990066ab3f5302763682b85abf7186525c8ad5b.png" TargetMode="External"/><Relationship Id="rId62" Type="http://schemas.openxmlformats.org/officeDocument/2006/relationships/hyperlink" Target="https://d15f34w2p8l1cc.cloudfront.net/hearthstone/caaa378ea69949695f2e43fa26fb0171b03377efdde9754a51137f86a7bb4bce.png" TargetMode="External"/><Relationship Id="rId61" Type="http://schemas.openxmlformats.org/officeDocument/2006/relationships/hyperlink" Target="https://d15f34w2p8l1cc.cloudfront.net/hearthstone/f843fe490f57db319c1b8f19e6984405a484d7e4fbb5479901d5ca20deb5e454.png" TargetMode="External"/><Relationship Id="rId64" Type="http://schemas.openxmlformats.org/officeDocument/2006/relationships/hyperlink" Target="https://d15f34w2p8l1cc.cloudfront.net/hearthstone/617ea3c5b525010d056edc275ccfcd0dbff0c197c8fb09cea2dd8bd54b164a5b.png" TargetMode="External"/><Relationship Id="rId63" Type="http://schemas.openxmlformats.org/officeDocument/2006/relationships/hyperlink" Target="https://d15f34w2p8l1cc.cloudfront.net/hearthstone/9ac62141de5448d21db8e0a11d38ed96dfe3c72cf74e47fcb2911b9ecb895a2c.png" TargetMode="External"/><Relationship Id="rId66" Type="http://schemas.openxmlformats.org/officeDocument/2006/relationships/hyperlink" Target="https://d15f34w2p8l1cc.cloudfront.net/hearthstone/df806432b264af0852755b81be7f20ad77ce8318a46a2b497eee38a644d7abbd.png" TargetMode="External"/><Relationship Id="rId65" Type="http://schemas.openxmlformats.org/officeDocument/2006/relationships/hyperlink" Target="https://d15f34w2p8l1cc.cloudfront.net/hearthstone/ca96e065b0116f26fa64ff2f05374a4b2d2c215ea03deaaea060626a07cba74f.png" TargetMode="External"/><Relationship Id="rId68" Type="http://schemas.openxmlformats.org/officeDocument/2006/relationships/hyperlink" Target="https://d15f34w2p8l1cc.cloudfront.net/hearthstone/961ed86b117f86898d257b4182f3ef61ddafdd69715329da9b4ec81c02402e55.png" TargetMode="External"/><Relationship Id="rId67" Type="http://schemas.openxmlformats.org/officeDocument/2006/relationships/hyperlink" Target="https://d15f34w2p8l1cc.cloudfront.net/hearthstone/b60f63d3964a0387f6744462795efe9e431bb3dafd3c09cb6faf1bbe09cc59d8.png" TargetMode="External"/><Relationship Id="rId60" Type="http://schemas.openxmlformats.org/officeDocument/2006/relationships/hyperlink" Target="https://d15f34w2p8l1cc.cloudfront.net/hearthstone/946e1d65d04f4257a2356e482a235eed7fbee6e75eec33c20b1d52e2bfa2bde7.png" TargetMode="External"/><Relationship Id="rId69" Type="http://schemas.openxmlformats.org/officeDocument/2006/relationships/hyperlink" Target="https://d15f34w2p8l1cc.cloudfront.net/hearthstone/55cc7e791e23b430f42483e1122d3110b4ae4d3ac13bb7bdc943611e80f8bf4b.png" TargetMode="External"/><Relationship Id="rId51" Type="http://schemas.openxmlformats.org/officeDocument/2006/relationships/hyperlink" Target="https://d15f34w2p8l1cc.cloudfront.net/hearthstone/9247447342dab10a60272fedf67c7bebc40bda0af52f12429f2c0372b93d2a67.png" TargetMode="External"/><Relationship Id="rId50" Type="http://schemas.openxmlformats.org/officeDocument/2006/relationships/hyperlink" Target="https://d15f34w2p8l1cc.cloudfront.net/hearthstone/40430e76b08531b46f308c021c141af0ef346f23dbac1c5f6fbad4beb511b3c4.png" TargetMode="External"/><Relationship Id="rId53" Type="http://schemas.openxmlformats.org/officeDocument/2006/relationships/hyperlink" Target="https://d15f34w2p8l1cc.cloudfront.net/hearthstone/50e77338edf4db7a0a56aaabe226d1db4054c8aeaf547b25154bfcee65ce6e1f.png" TargetMode="External"/><Relationship Id="rId52" Type="http://schemas.openxmlformats.org/officeDocument/2006/relationships/hyperlink" Target="https://d15f34w2p8l1cc.cloudfront.net/hearthstone/759721446639b60934ebefdd6bd1ac9efdda2b9e7b72175df656e98e149c6b37.png" TargetMode="External"/><Relationship Id="rId55" Type="http://schemas.openxmlformats.org/officeDocument/2006/relationships/hyperlink" Target="https://d15f34w2p8l1cc.cloudfront.net/hearthstone/68d0ff5790ec3dc18ac9b0b641a86a88fdceeb0e305b0c16a0456185d6aaca48.png" TargetMode="External"/><Relationship Id="rId54" Type="http://schemas.openxmlformats.org/officeDocument/2006/relationships/hyperlink" Target="https://d15f34w2p8l1cc.cloudfront.net/hearthstone/469d2f846307177a1e7a7e571c5fdf3bda2ca3477038202f3a24c861890fd495.png" TargetMode="External"/><Relationship Id="rId57" Type="http://schemas.openxmlformats.org/officeDocument/2006/relationships/hyperlink" Target="https://d15f34w2p8l1cc.cloudfront.net/hearthstone/74cdaf586329e2ae50752ae888e6171962e38ddab1bfdb699e29337ccc5edb15.png" TargetMode="External"/><Relationship Id="rId56" Type="http://schemas.openxmlformats.org/officeDocument/2006/relationships/hyperlink" Target="https://d15f34w2p8l1cc.cloudfront.net/hearthstone/b2e93942c84ca737ed7135d4c2fa0e020185479870b8d1a8466eace81e245ce1.png" TargetMode="External"/><Relationship Id="rId59" Type="http://schemas.openxmlformats.org/officeDocument/2006/relationships/hyperlink" Target="https://d15f34w2p8l1cc.cloudfront.net/hearthstone/b7b6f79cbc8385a8dffec4df440c307f386b017e963a16cfffe9aece10d8514b.png" TargetMode="External"/><Relationship Id="rId58" Type="http://schemas.openxmlformats.org/officeDocument/2006/relationships/hyperlink" Target="https://d15f34w2p8l1cc.cloudfront.net/hearthstone/ed6ebb0d572a64b432d18aba832e7af409a8a25a7dc036ede2f8ea8e863a8dd7.png" TargetMode="External"/><Relationship Id="rId107" Type="http://schemas.openxmlformats.org/officeDocument/2006/relationships/hyperlink" Target="https://d15f34w2p8l1cc.cloudfront.net/hearthstone/aa09b0613b55c0fb491abca23c2b7f590bb4b0bde0483817bcfa7b0a5d85296d.png" TargetMode="External"/><Relationship Id="rId106" Type="http://schemas.openxmlformats.org/officeDocument/2006/relationships/hyperlink" Target="https://d15f34w2p8l1cc.cloudfront.net/hearthstone/58ba78b11a47d4c22ff086ef2b2aae17aa734f91c715621bdf451ae19a7cb807.png" TargetMode="External"/><Relationship Id="rId105" Type="http://schemas.openxmlformats.org/officeDocument/2006/relationships/hyperlink" Target="https://d15f34w2p8l1cc.cloudfront.net/hearthstone/6f2845e121baed204c428184019c528260ffd9d301081a67c9fac05fe029b151.png" TargetMode="External"/><Relationship Id="rId104" Type="http://schemas.openxmlformats.org/officeDocument/2006/relationships/hyperlink" Target="https://d15f34w2p8l1cc.cloudfront.net/hearthstone/3175284af47eb7f4b52039c89f3e47ee9a759572b48ca5bec07326801e9fe5af.png" TargetMode="External"/><Relationship Id="rId109" Type="http://schemas.openxmlformats.org/officeDocument/2006/relationships/hyperlink" Target="https://d15f34w2p8l1cc.cloudfront.net/hearthstone/42bfc23f441061df0e1cbcdfa7670430103632fafa5eb41c886e41f7a42f1fda.png" TargetMode="External"/><Relationship Id="rId108" Type="http://schemas.openxmlformats.org/officeDocument/2006/relationships/hyperlink" Target="https://d15f34w2p8l1cc.cloudfront.net/hearthstone/b53758c681f8140d3738188bca4c193d274f1e49430590712d91a845dcdf03a6.png" TargetMode="External"/><Relationship Id="rId103" Type="http://schemas.openxmlformats.org/officeDocument/2006/relationships/hyperlink" Target="https://d15f34w2p8l1cc.cloudfront.net/hearthstone/0e6fffbcb84b1de90758448b6dbce06068f272dc701473596cd0a73af16c2624.png" TargetMode="External"/><Relationship Id="rId102" Type="http://schemas.openxmlformats.org/officeDocument/2006/relationships/hyperlink" Target="https://d15f34w2p8l1cc.cloudfront.net/hearthstone/e2a2795251c9de49c573e9fd18d4c770efe517cb6e21385db0e3bc23efae55fa.png" TargetMode="External"/><Relationship Id="rId101" Type="http://schemas.openxmlformats.org/officeDocument/2006/relationships/hyperlink" Target="https://d15f34w2p8l1cc.cloudfront.net/hearthstone/6873169f0d3ab5864de8976fe02094889e16270fba05d7a035451dc91ec42244.png" TargetMode="External"/><Relationship Id="rId100" Type="http://schemas.openxmlformats.org/officeDocument/2006/relationships/hyperlink" Target="https://d15f34w2p8l1cc.cloudfront.net/hearthstone/d971819db799b2fdf0e9144174e7af15da68e56847761b23affbb477f2d938ae.png" TargetMode="External"/><Relationship Id="rId129" Type="http://schemas.openxmlformats.org/officeDocument/2006/relationships/hyperlink" Target="https://d15f34w2p8l1cc.cloudfront.net/hearthstone/ba750dcf20feca9f79212fdd9950da1a988ce3a78696733c580dc5e72c276e08.png" TargetMode="External"/><Relationship Id="rId128" Type="http://schemas.openxmlformats.org/officeDocument/2006/relationships/hyperlink" Target="https://d15f34w2p8l1cc.cloudfront.net/hearthstone/7cff224a55c6ddbb8c21bdfd6be6c7a94c89283ddcd858dc4a80374c61ca7e64.png" TargetMode="External"/><Relationship Id="rId127" Type="http://schemas.openxmlformats.org/officeDocument/2006/relationships/hyperlink" Target="https://d15f34w2p8l1cc.cloudfront.net/hearthstone/b1cf4aa5d1476d21aef02a64f74bb7cb9c250ba80e61ab77a9e9fd43725ba080.png" TargetMode="External"/><Relationship Id="rId126" Type="http://schemas.openxmlformats.org/officeDocument/2006/relationships/hyperlink" Target="https://d15f34w2p8l1cc.cloudfront.net/hearthstone/69a5bdfd8204de00c8a215169fb25c04d2f65efa72541935103b987e567e09d0.png" TargetMode="External"/><Relationship Id="rId121" Type="http://schemas.openxmlformats.org/officeDocument/2006/relationships/hyperlink" Target="https://d15f34w2p8l1cc.cloudfront.net/hearthstone/eb0960f07ad98a8cf206ab91f8d06a62d347b2b563b5f840e90a8b047d6aab45.png" TargetMode="External"/><Relationship Id="rId120" Type="http://schemas.openxmlformats.org/officeDocument/2006/relationships/hyperlink" Target="https://d15f34w2p8l1cc.cloudfront.net/hearthstone/730f532bcfadf17ebbb53c905b32ed4ef8b5868ccf3f7a99b3cbbda79586cb1c.png" TargetMode="External"/><Relationship Id="rId125" Type="http://schemas.openxmlformats.org/officeDocument/2006/relationships/hyperlink" Target="https://d15f34w2p8l1cc.cloudfront.net/hearthstone/73967b05616bdafbf2f392a3ff6487f4d1e087e685f0a0a1dc4c3ed8501ea5b5.png" TargetMode="External"/><Relationship Id="rId124" Type="http://schemas.openxmlformats.org/officeDocument/2006/relationships/hyperlink" Target="https://d15f34w2p8l1cc.cloudfront.net/hearthstone/120ddaff3eba2e30766b23b13cbefe98ae92d8683579119cc44618405cacac74.png" TargetMode="External"/><Relationship Id="rId123" Type="http://schemas.openxmlformats.org/officeDocument/2006/relationships/hyperlink" Target="https://d15f34w2p8l1cc.cloudfront.net/hearthstone/aab928942eeec5489166e781e6cc976c4e45e485d1795189e9db5e4b8fffd2f6.png" TargetMode="External"/><Relationship Id="rId122" Type="http://schemas.openxmlformats.org/officeDocument/2006/relationships/hyperlink" Target="https://d15f34w2p8l1cc.cloudfront.net/hearthstone/e20de8e6e055f2884553d6332940d6ad4dffe5c519cd52550b7ac0083608bedc.png" TargetMode="External"/><Relationship Id="rId95" Type="http://schemas.openxmlformats.org/officeDocument/2006/relationships/hyperlink" Target="https://d15f34w2p8l1cc.cloudfront.net/hearthstone/ae4b743d7a01efb9c67ff789fea3745fe212bf3754286d96b70a5b89493816aa.png" TargetMode="External"/><Relationship Id="rId94" Type="http://schemas.openxmlformats.org/officeDocument/2006/relationships/hyperlink" Target="https://d15f34w2p8l1cc.cloudfront.net/hearthstone/7319ca8bad16d8555872d233f12cb786bf4e6714f4421a8fb14ba49ae4c5345c.png" TargetMode="External"/><Relationship Id="rId97" Type="http://schemas.openxmlformats.org/officeDocument/2006/relationships/hyperlink" Target="https://d15f34w2p8l1cc.cloudfront.net/hearthstone/ba759e12463bb90297910549278f8175c7d821077374f3d40b465ae266cc03f5.png" TargetMode="External"/><Relationship Id="rId96" Type="http://schemas.openxmlformats.org/officeDocument/2006/relationships/hyperlink" Target="https://d15f34w2p8l1cc.cloudfront.net/hearthstone/4a123158dd7763869cda9c7265be3937bc7ec117af124674aa67396abd106c87.png" TargetMode="External"/><Relationship Id="rId99" Type="http://schemas.openxmlformats.org/officeDocument/2006/relationships/hyperlink" Target="https://d15f34w2p8l1cc.cloudfront.net/hearthstone/2fa69c129cd241918f832b12d57c33471032f2f029416245f2b79a69e5fe1eaa.png" TargetMode="External"/><Relationship Id="rId98" Type="http://schemas.openxmlformats.org/officeDocument/2006/relationships/hyperlink" Target="https://d15f34w2p8l1cc.cloudfront.net/hearthstone/3b7c13853635af4adf78337de28d77cd260eeef4b338a69b34d7b61dfa4450fd.png" TargetMode="External"/><Relationship Id="rId91" Type="http://schemas.openxmlformats.org/officeDocument/2006/relationships/hyperlink" Target="https://d15f34w2p8l1cc.cloudfront.net/hearthstone/d5bc7f1f51d4c5716ff7ed1306c33575a9dc88be92701fafd19c32ceec502fd1.png" TargetMode="External"/><Relationship Id="rId90" Type="http://schemas.openxmlformats.org/officeDocument/2006/relationships/hyperlink" Target="https://d15f34w2p8l1cc.cloudfront.net/hearthstone/9e9126334d65234a7ec61fbdfebefc7d9ce3d6f78dc155d49b14360d13831f79.png" TargetMode="External"/><Relationship Id="rId93" Type="http://schemas.openxmlformats.org/officeDocument/2006/relationships/hyperlink" Target="https://d15f34w2p8l1cc.cloudfront.net/hearthstone/3a93243f7dd2c1471314f50a1f1b1b2a8bcd05f46a2a05afe81a3f3a1caedbae.png" TargetMode="External"/><Relationship Id="rId92" Type="http://schemas.openxmlformats.org/officeDocument/2006/relationships/hyperlink" Target="https://d15f34w2p8l1cc.cloudfront.net/hearthstone/e0ac741efb5ead44f11c16d9a78f5ccd0ef3b172e4fd86573d89d71892c2b8ea.png" TargetMode="External"/><Relationship Id="rId118" Type="http://schemas.openxmlformats.org/officeDocument/2006/relationships/hyperlink" Target="https://d15f34w2p8l1cc.cloudfront.net/hearthstone/fe9eadd741f0777a14418e90f8fe53921468a4f7078e9708cef5a62439472dcb.png" TargetMode="External"/><Relationship Id="rId117" Type="http://schemas.openxmlformats.org/officeDocument/2006/relationships/hyperlink" Target="https://d15f34w2p8l1cc.cloudfront.net/hearthstone/a97ef115b7e907e73c69e2735953bc0dc26e191b3d428d81c19cdfad49b0f5bb.png" TargetMode="External"/><Relationship Id="rId116" Type="http://schemas.openxmlformats.org/officeDocument/2006/relationships/hyperlink" Target="https://d15f34w2p8l1cc.cloudfront.net/hearthstone/9dc9a7ada672d4b63ca16186739c96b0665214bc5a8e040c6687db928d2ff0e5.png" TargetMode="External"/><Relationship Id="rId115" Type="http://schemas.openxmlformats.org/officeDocument/2006/relationships/hyperlink" Target="https://d15f34w2p8l1cc.cloudfront.net/hearthstone/04c9e609ae39117c3b83a2ac94a17940a7f796f5c17c2d40f6f5a89fe045b009.png" TargetMode="External"/><Relationship Id="rId119" Type="http://schemas.openxmlformats.org/officeDocument/2006/relationships/hyperlink" Target="https://d15f34w2p8l1cc.cloudfront.net/hearthstone/f42e00d5e3b58ffaf1e352bc3cf137c01f2c6033309d823b27b1cdc93c03a142.png" TargetMode="External"/><Relationship Id="rId110" Type="http://schemas.openxmlformats.org/officeDocument/2006/relationships/hyperlink" Target="https://d15f34w2p8l1cc.cloudfront.net/hearthstone/0bb353207fdb342d74d90078b86030bf10c93134b119dc771408240a3dade69b.png" TargetMode="External"/><Relationship Id="rId114" Type="http://schemas.openxmlformats.org/officeDocument/2006/relationships/hyperlink" Target="https://d15f34w2p8l1cc.cloudfront.net/hearthstone/2f951c90693018989802c4aafe48c3d378f48e0f8fa887f2e992738fe22abf4a.png" TargetMode="External"/><Relationship Id="rId113" Type="http://schemas.openxmlformats.org/officeDocument/2006/relationships/hyperlink" Target="https://d15f34w2p8l1cc.cloudfront.net/hearthstone/19981a20c6a015a7589b005bcf97cba34a9f02b8729d4f0dc30df91330456599.png" TargetMode="External"/><Relationship Id="rId112" Type="http://schemas.openxmlformats.org/officeDocument/2006/relationships/hyperlink" Target="https://d15f34w2p8l1cc.cloudfront.net/hearthstone/c294160b71a395be5800facf676a5adae6012dc9a0be2796270606044a8e8d54.png" TargetMode="External"/><Relationship Id="rId111" Type="http://schemas.openxmlformats.org/officeDocument/2006/relationships/hyperlink" Target="https://d15f34w2p8l1cc.cloudfront.net/hearthstone/ef1ac1817441917a51b159de0c66a092dbef12039c42f6ddca297862f3f0f722.png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15f34w2p8l1cc.cloudfront.net/hearthstone/f1e5eb11adf519d25ba6c2f9f4d7dfe709a64c96fa40345ef1070d283d53cf97.png" TargetMode="External"/><Relationship Id="rId42" Type="http://schemas.openxmlformats.org/officeDocument/2006/relationships/hyperlink" Target="https://d15f34w2p8l1cc.cloudfront.net/hearthstone/b2834d7e112a69fb303360bb77c600a489c79e432b14450f7b6102daaf11a037.png" TargetMode="External"/><Relationship Id="rId41" Type="http://schemas.openxmlformats.org/officeDocument/2006/relationships/hyperlink" Target="https://d15f34w2p8l1cc.cloudfront.net/hearthstone/657a54cee83dc605cd238a7035055d55e5a077c06a6e7527dd504d83bf69bd8e.png" TargetMode="External"/><Relationship Id="rId44" Type="http://schemas.openxmlformats.org/officeDocument/2006/relationships/hyperlink" Target="https://d15f34w2p8l1cc.cloudfront.net/hearthstone/55d38145cbe5baf1ff8d3810eee7ba340202a0260566b4f2e789d711a5f9b370.png" TargetMode="External"/><Relationship Id="rId43" Type="http://schemas.openxmlformats.org/officeDocument/2006/relationships/hyperlink" Target="https://d15f34w2p8l1cc.cloudfront.net/hearthstone/726fc23128ec4923368997852bf3a6899111222702950562293a7503369c12b6.png" TargetMode="External"/><Relationship Id="rId46" Type="http://schemas.openxmlformats.org/officeDocument/2006/relationships/hyperlink" Target="https://d15f34w2p8l1cc.cloudfront.net/hearthstone/43cc8184e72ef47cb2ec268f3ee6655b27507c300fe591bc32ac8811e6a28179.png" TargetMode="External"/><Relationship Id="rId45" Type="http://schemas.openxmlformats.org/officeDocument/2006/relationships/hyperlink" Target="https://d15f34w2p8l1cc.cloudfront.net/hearthstone/8330781dc1ed2f861f68b179cc1beff1bc4690feaf249fd4cac7d9de110ef721.png" TargetMode="External"/><Relationship Id="rId48" Type="http://schemas.openxmlformats.org/officeDocument/2006/relationships/hyperlink" Target="https://d15f34w2p8l1cc.cloudfront.net/hearthstone/facd762f92870c3a4751c0afc35a2bdc347c4cd10f233b948d35c5e091632ca7.png" TargetMode="External"/><Relationship Id="rId47" Type="http://schemas.openxmlformats.org/officeDocument/2006/relationships/hyperlink" Target="https://d15f34w2p8l1cc.cloudfront.net/hearthstone/c0277b7559a6a3dae4c48ba2b5942c5c8044938c44f6f7268117764c4182a48d.png" TargetMode="External"/><Relationship Id="rId49" Type="http://schemas.openxmlformats.org/officeDocument/2006/relationships/hyperlink" Target="https://d15f34w2p8l1cc.cloudfront.net/hearthstone/9f0ce20917c60554aaddcc8bcd815b2ca8727fcf19a710f76fa3781c23ee58a5.png" TargetMode="External"/><Relationship Id="rId31" Type="http://schemas.openxmlformats.org/officeDocument/2006/relationships/hyperlink" Target="https://d15f34w2p8l1cc.cloudfront.net/hearthstone/da1c06bdc84e5c88fe5fe43452be52559a76b74a8b0c93c29013fba73b9db2d8.png" TargetMode="External"/><Relationship Id="rId30" Type="http://schemas.openxmlformats.org/officeDocument/2006/relationships/hyperlink" Target="https://d15f34w2p8l1cc.cloudfront.net/hearthstone/0c4cccff860573295e11780340df553b355a0c1d2ab0df0b9a07e71502418109.png" TargetMode="External"/><Relationship Id="rId33" Type="http://schemas.openxmlformats.org/officeDocument/2006/relationships/hyperlink" Target="https://d15f34w2p8l1cc.cloudfront.net/hearthstone/48658816c8e452b44dfcd17c26330f869e02272c821caea9c3b2e4176a085057.png" TargetMode="External"/><Relationship Id="rId32" Type="http://schemas.openxmlformats.org/officeDocument/2006/relationships/hyperlink" Target="https://d15f34w2p8l1cc.cloudfront.net/hearthstone/a68c1c1424ebe858bd1330f3b24483d85f25397530c370a98b905b8cf55d58ab.png" TargetMode="External"/><Relationship Id="rId35" Type="http://schemas.openxmlformats.org/officeDocument/2006/relationships/hyperlink" Target="https://d15f34w2p8l1cc.cloudfront.net/hearthstone/271f8483f688d53b6c08a4f79fdbaf281a439b09ff190ae39d55db6707ab7f62.png" TargetMode="External"/><Relationship Id="rId34" Type="http://schemas.openxmlformats.org/officeDocument/2006/relationships/hyperlink" Target="https://d15f34w2p8l1cc.cloudfront.net/hearthstone/21f13353fb4206858098ad780d08da76e12dc5070a5da808b1735d94e352cd21.png" TargetMode="External"/><Relationship Id="rId37" Type="http://schemas.openxmlformats.org/officeDocument/2006/relationships/hyperlink" Target="https://d15f34w2p8l1cc.cloudfront.net/hearthstone/aca0c6f989a988435e5df764c3a61b117f7f2b6c8d5d3a61420a4f309496ca97.png" TargetMode="External"/><Relationship Id="rId176" Type="http://schemas.openxmlformats.org/officeDocument/2006/relationships/hyperlink" Target="https://d15f34w2p8l1cc.cloudfront.net/hearthstone/4dd712c461ab7b2920887118612d897f145407499bc6b1a0cf2db5b434f8fdbd.png" TargetMode="External"/><Relationship Id="rId36" Type="http://schemas.openxmlformats.org/officeDocument/2006/relationships/hyperlink" Target="https://d15f34w2p8l1cc.cloudfront.net/hearthstone/d4b90187fae6212690bedd986a252584e7d1a8b8e9ff4bd58eea071e520ebf2c.png" TargetMode="External"/><Relationship Id="rId175" Type="http://schemas.openxmlformats.org/officeDocument/2006/relationships/hyperlink" Target="https://d15f34w2p8l1cc.cloudfront.net/hearthstone/6568cf70f1fa6fe8989644c87fec662d2624a1605b57439c9c1d4db732fe5d2e.png" TargetMode="External"/><Relationship Id="rId39" Type="http://schemas.openxmlformats.org/officeDocument/2006/relationships/hyperlink" Target="https://d15f34w2p8l1cc.cloudfront.net/hearthstone/4728ba510a61f2da1c847bbc07cedae75f65f81a0f1bfc9d7219500e1eb474f7.png" TargetMode="External"/><Relationship Id="rId174" Type="http://schemas.openxmlformats.org/officeDocument/2006/relationships/hyperlink" Target="https://d15f34w2p8l1cc.cloudfront.net/hearthstone/abc15adf776349698c23440917510f146e9bedd075e1babb02a1d3ec98623fba.png" TargetMode="External"/><Relationship Id="rId38" Type="http://schemas.openxmlformats.org/officeDocument/2006/relationships/hyperlink" Target="https://d15f34w2p8l1cc.cloudfront.net/hearthstone/15a08f5975e0bc4d80fda2c77a4691bf46e0c1bb8651cec4215a4beb100775ba.png" TargetMode="External"/><Relationship Id="rId173" Type="http://schemas.openxmlformats.org/officeDocument/2006/relationships/hyperlink" Target="https://d15f34w2p8l1cc.cloudfront.net/hearthstone/0bd92120decefff009df69397953506b074ba4325b21c84720a92921792aaf28.png" TargetMode="External"/><Relationship Id="rId179" Type="http://schemas.openxmlformats.org/officeDocument/2006/relationships/drawing" Target="../drawings/drawing9.xml"/><Relationship Id="rId178" Type="http://schemas.openxmlformats.org/officeDocument/2006/relationships/hyperlink" Target="https://d15f34w2p8l1cc.cloudfront.net/hearthstone/2f7d16b4c00fa539c9088db3e953250b3b572fde0c5a85bb6ee76df0c3b5d490.png" TargetMode="External"/><Relationship Id="rId177" Type="http://schemas.openxmlformats.org/officeDocument/2006/relationships/hyperlink" Target="https://d15f34w2p8l1cc.cloudfront.net/hearthstone/b248b837eb869f3e8074dc348f82508970be17bf60c0a0cd031a96c9e7fea42c.png" TargetMode="External"/><Relationship Id="rId20" Type="http://schemas.openxmlformats.org/officeDocument/2006/relationships/hyperlink" Target="https://d15f34w2p8l1cc.cloudfront.net/hearthstone/a27f8ac99bf0e370d6c0ea29ccfa9d5167f3428c5102c86682c45e15b391de27.png" TargetMode="External"/><Relationship Id="rId22" Type="http://schemas.openxmlformats.org/officeDocument/2006/relationships/hyperlink" Target="https://d15f34w2p8l1cc.cloudfront.net/hearthstone/3f6d7ee40dfd93576870e3f657a4fb18169ef0820804f88198b62d00147722f0.png" TargetMode="External"/><Relationship Id="rId21" Type="http://schemas.openxmlformats.org/officeDocument/2006/relationships/hyperlink" Target="https://d15f34w2p8l1cc.cloudfront.net/hearthstone/d9221f66fbfbcf4889c53dde0ecf494c10236e6b3f9b6626710ce109646af2a8.png" TargetMode="External"/><Relationship Id="rId24" Type="http://schemas.openxmlformats.org/officeDocument/2006/relationships/hyperlink" Target="https://d15f34w2p8l1cc.cloudfront.net/hearthstone/ddbf26035737ece888b20bfcc7797dfa2fbf8136ba85918c4364a878edb3f838.png" TargetMode="External"/><Relationship Id="rId23" Type="http://schemas.openxmlformats.org/officeDocument/2006/relationships/hyperlink" Target="https://d15f34w2p8l1cc.cloudfront.net/hearthstone/ad438d6ab32fc0aac6b638944c60a19e1828011af21903f6eaee70f93ec6e15e.png" TargetMode="External"/><Relationship Id="rId26" Type="http://schemas.openxmlformats.org/officeDocument/2006/relationships/hyperlink" Target="https://d15f34w2p8l1cc.cloudfront.net/hearthstone/e579ac9a91c1ba0d0f0c309d85b0c6a8034262518a9556862fc7a126621910a6.png" TargetMode="External"/><Relationship Id="rId25" Type="http://schemas.openxmlformats.org/officeDocument/2006/relationships/hyperlink" Target="https://d15f34w2p8l1cc.cloudfront.net/hearthstone/c18fe324aec76bbfcf45345dcaf08c86e8ece1120ce7293802c7878260d4f7c0.png" TargetMode="External"/><Relationship Id="rId28" Type="http://schemas.openxmlformats.org/officeDocument/2006/relationships/hyperlink" Target="https://d15f34w2p8l1cc.cloudfront.net/hearthstone/9fdb808e24cadb8a8b81acdc1a6f201699396685b0fc198a97232d0e7c63984d.png" TargetMode="External"/><Relationship Id="rId27" Type="http://schemas.openxmlformats.org/officeDocument/2006/relationships/hyperlink" Target="https://d15f34w2p8l1cc.cloudfront.net/hearthstone/d87798d60ae771c77a9c255cef331caa920824adf17392722c1338f28c1cd708.png" TargetMode="External"/><Relationship Id="rId29" Type="http://schemas.openxmlformats.org/officeDocument/2006/relationships/hyperlink" Target="https://d15f34w2p8l1cc.cloudfront.net/hearthstone/762c0f945e0520b8ed870d86720d5be06f28f09fa2fddc3c07582dcf92b376c8.png" TargetMode="External"/><Relationship Id="rId11" Type="http://schemas.openxmlformats.org/officeDocument/2006/relationships/hyperlink" Target="https://d15f34w2p8l1cc.cloudfront.net/hearthstone/971be5ed63190eeeb2a95970288e19f64623562b7abeb3f18b96da1a5fe107d8.png" TargetMode="External"/><Relationship Id="rId10" Type="http://schemas.openxmlformats.org/officeDocument/2006/relationships/hyperlink" Target="https://d15f34w2p8l1cc.cloudfront.net/hearthstone/f2ebab895add48d004abbb8dc2557eda46eaa3dd0bf5d75c7b147c131aa326bb.png" TargetMode="External"/><Relationship Id="rId13" Type="http://schemas.openxmlformats.org/officeDocument/2006/relationships/hyperlink" Target="https://d15f34w2p8l1cc.cloudfront.net/hearthstone/4901658dbbae3fca0af3922982ae907f9048d70afd39a677459b6a21f67bb609.png" TargetMode="External"/><Relationship Id="rId12" Type="http://schemas.openxmlformats.org/officeDocument/2006/relationships/hyperlink" Target="https://d15f34w2p8l1cc.cloudfront.net/hearthstone/d6599f52638198213711ee898c4dd3cb92880c238c24006a0a5845758cffbc1a.png" TargetMode="External"/><Relationship Id="rId15" Type="http://schemas.openxmlformats.org/officeDocument/2006/relationships/hyperlink" Target="https://d15f34w2p8l1cc.cloudfront.net/hearthstone/de52660080e7de7f96af59e0cb6db5af738bc2d2d97f23d025684decd250a663.png" TargetMode="External"/><Relationship Id="rId14" Type="http://schemas.openxmlformats.org/officeDocument/2006/relationships/hyperlink" Target="https://d15f34w2p8l1cc.cloudfront.net/hearthstone/04392133a48e4504b3831a55c58ef8094e03ff7e25044ee12cdab9bd181216be.png" TargetMode="External"/><Relationship Id="rId17" Type="http://schemas.openxmlformats.org/officeDocument/2006/relationships/hyperlink" Target="https://d15f34w2p8l1cc.cloudfront.net/hearthstone/33d643bbc4ce035941d5d50aa60eefd6804631b875375aaac3f839b3751feedc.png" TargetMode="External"/><Relationship Id="rId16" Type="http://schemas.openxmlformats.org/officeDocument/2006/relationships/hyperlink" Target="https://d15f34w2p8l1cc.cloudfront.net/hearthstone/0b0f2bff9df56507f0879f1f01b243da7b61b5e782cb90102549336d0edc8c87.png" TargetMode="External"/><Relationship Id="rId19" Type="http://schemas.openxmlformats.org/officeDocument/2006/relationships/hyperlink" Target="https://d15f34w2p8l1cc.cloudfront.net/hearthstone/8c27ef8b0e1fe3aebdbe9c23c60024be4a0d43c801bf484cfea66431f00a7121.png" TargetMode="External"/><Relationship Id="rId18" Type="http://schemas.openxmlformats.org/officeDocument/2006/relationships/hyperlink" Target="https://d15f34w2p8l1cc.cloudfront.net/hearthstone/cc2170ddab76a4ec6fec08866da28414fd7c86ffd97a8bf97362ada077561c74.png" TargetMode="External"/><Relationship Id="rId84" Type="http://schemas.openxmlformats.org/officeDocument/2006/relationships/hyperlink" Target="https://d15f34w2p8l1cc.cloudfront.net/hearthstone/eb2c5806ca3d2178236b62d5a0c57c0cdad1f7c487634aec92acc2f018892e01.png" TargetMode="External"/><Relationship Id="rId83" Type="http://schemas.openxmlformats.org/officeDocument/2006/relationships/hyperlink" Target="https://d15f34w2p8l1cc.cloudfront.net/hearthstone/0f7340eb66d97361dc96fa81654344d9ce0cd47cbdcf4698cead20220a95e5c7.png" TargetMode="External"/><Relationship Id="rId86" Type="http://schemas.openxmlformats.org/officeDocument/2006/relationships/hyperlink" Target="https://d15f34w2p8l1cc.cloudfront.net/hearthstone/55d38145cbe5baf1ff8d3810eee7ba340202a0260566b4f2e789d711a5f9b370.png" TargetMode="External"/><Relationship Id="rId85" Type="http://schemas.openxmlformats.org/officeDocument/2006/relationships/hyperlink" Target="https://d15f34w2p8l1cc.cloudfront.net/hearthstone/4293040d263ee4d7cac7d9d044a753997bb326df59e9590b6a124c28de96d0c9.png" TargetMode="External"/><Relationship Id="rId88" Type="http://schemas.openxmlformats.org/officeDocument/2006/relationships/hyperlink" Target="https://d15f34w2p8l1cc.cloudfront.net/hearthstone/661993329b84d976aa675451b4a824c778a7087ce5e02722d98edbc2bde30435.png" TargetMode="External"/><Relationship Id="rId150" Type="http://schemas.openxmlformats.org/officeDocument/2006/relationships/hyperlink" Target="https://d15f34w2p8l1cc.cloudfront.net/hearthstone/2e995df2479da3d61e25229cdcb71909d8d54da454b342a2f56b75ac0a649804.png" TargetMode="External"/><Relationship Id="rId87" Type="http://schemas.openxmlformats.org/officeDocument/2006/relationships/hyperlink" Target="https://d15f34w2p8l1cc.cloudfront.net/hearthstone/111a76442c36f906cbcefa90ae95914e67c91debf0fa9ecc203e4924c2750e49.png" TargetMode="External"/><Relationship Id="rId89" Type="http://schemas.openxmlformats.org/officeDocument/2006/relationships/hyperlink" Target="https://d15f34w2p8l1cc.cloudfront.net/hearthstone/8330781dc1ed2f861f68b179cc1beff1bc4690feaf249fd4cac7d9de110ef721.png" TargetMode="External"/><Relationship Id="rId80" Type="http://schemas.openxmlformats.org/officeDocument/2006/relationships/hyperlink" Target="https://d15f34w2p8l1cc.cloudfront.net/hearthstone/c0ed79d627ccd5900e1b6f251c9f614e7eab4e221a55b67e70de492c5f341fe4.png" TargetMode="External"/><Relationship Id="rId82" Type="http://schemas.openxmlformats.org/officeDocument/2006/relationships/hyperlink" Target="https://d15f34w2p8l1cc.cloudfront.net/hearthstone/4728ba510a61f2da1c847bbc07cedae75f65f81a0f1bfc9d7219500e1eb474f7.png" TargetMode="External"/><Relationship Id="rId81" Type="http://schemas.openxmlformats.org/officeDocument/2006/relationships/hyperlink" Target="https://d15f34w2p8l1cc.cloudfront.net/hearthstone/69b006f35aafd0d7a443a3cd90c6a18fe601502b25701d28de0baccccfeb00c3.png" TargetMode="External"/><Relationship Id="rId1" Type="http://schemas.openxmlformats.org/officeDocument/2006/relationships/hyperlink" Target="http://bit.ly/39yVq5f" TargetMode="External"/><Relationship Id="rId2" Type="http://schemas.openxmlformats.org/officeDocument/2006/relationships/hyperlink" Target="https://www.twitch.tv/solaryhs" TargetMode="External"/><Relationship Id="rId3" Type="http://schemas.openxmlformats.org/officeDocument/2006/relationships/hyperlink" Target="https://forms.gle/8s1jbuRjVgbavzUJ7" TargetMode="External"/><Relationship Id="rId149" Type="http://schemas.openxmlformats.org/officeDocument/2006/relationships/hyperlink" Target="https://d15f34w2p8l1cc.cloudfront.net/hearthstone/7740f9abfbf0f71219640b15f5bdac8ae3c5160d23322595c7f23900143afb63.png" TargetMode="External"/><Relationship Id="rId4" Type="http://schemas.openxmlformats.org/officeDocument/2006/relationships/hyperlink" Target="https://d15f34w2p8l1cc.cloudfront.net/hearthstone/fc56408571034de0c1cfe6956098ea273705e12d7723ed64d015e88139501d2b.png" TargetMode="External"/><Relationship Id="rId148" Type="http://schemas.openxmlformats.org/officeDocument/2006/relationships/hyperlink" Target="https://d15f34w2p8l1cc.cloudfront.net/hearthstone/990ce4a3e0e4665231ef67e7335819a6b8bc0a9c801928dc78baa0306d0a010d.png" TargetMode="External"/><Relationship Id="rId9" Type="http://schemas.openxmlformats.org/officeDocument/2006/relationships/hyperlink" Target="https://d15f34w2p8l1cc.cloudfront.net/hearthstone/843ebbcb5c558f7b4839f484bbca41fddc456af29a4a127e9bc4e9cd3f33fe3e.png" TargetMode="External"/><Relationship Id="rId143" Type="http://schemas.openxmlformats.org/officeDocument/2006/relationships/hyperlink" Target="https://d15f34w2p8l1cc.cloudfront.net/hearthstone/129e1d0115988d946aa9c05fed32a62abd7443352be61e8744be3daea094c6d2.png" TargetMode="External"/><Relationship Id="rId142" Type="http://schemas.openxmlformats.org/officeDocument/2006/relationships/hyperlink" Target="https://d15f34w2p8l1cc.cloudfront.net/hearthstone/27f79c44d38d2e875556453b72a2beabd9953dd43222c64cf0df2486108126ab.png" TargetMode="External"/><Relationship Id="rId141" Type="http://schemas.openxmlformats.org/officeDocument/2006/relationships/hyperlink" Target="https://d15f34w2p8l1cc.cloudfront.net/hearthstone/bbba74bcc2807a3f2a8aebde07cc2678fe21df4db15e678c4eae95aca74e11b0.png" TargetMode="External"/><Relationship Id="rId140" Type="http://schemas.openxmlformats.org/officeDocument/2006/relationships/hyperlink" Target="https://d15f34w2p8l1cc.cloudfront.net/hearthstone/4293040d263ee4d7cac7d9d044a753997bb326df59e9590b6a124c28de96d0c9.png" TargetMode="External"/><Relationship Id="rId5" Type="http://schemas.openxmlformats.org/officeDocument/2006/relationships/hyperlink" Target="https://d15f34w2p8l1cc.cloudfront.net/hearthstone/054c7d4bc08bdb8c2ed84761851e8d4d3346a60abd5d746b53e11e2f1c1a9417.png" TargetMode="External"/><Relationship Id="rId147" Type="http://schemas.openxmlformats.org/officeDocument/2006/relationships/hyperlink" Target="https://d15f34w2p8l1cc.cloudfront.net/hearthstone/21f13353fb4206858098ad780d08da76e12dc5070a5da808b1735d94e352cd21.png" TargetMode="External"/><Relationship Id="rId6" Type="http://schemas.openxmlformats.org/officeDocument/2006/relationships/hyperlink" Target="https://d15f34w2p8l1cc.cloudfront.net/hearthstone/b673e2ae5098d63d54a7bbedee1ae920f57ef74a1d6ef537b242ccdaeff95a4e.png" TargetMode="External"/><Relationship Id="rId146" Type="http://schemas.openxmlformats.org/officeDocument/2006/relationships/hyperlink" Target="https://d15f34w2p8l1cc.cloudfront.net/hearthstone/d53509b6129d46601de114ca154413896f30b3f29be87d9b61a9b9daba36317c.png" TargetMode="External"/><Relationship Id="rId7" Type="http://schemas.openxmlformats.org/officeDocument/2006/relationships/hyperlink" Target="https://d15f34w2p8l1cc.cloudfront.net/hearthstone/63a8ac6e3a2e3fb1c0b8e15ed93437ed0800965b794c281f942dfbfa94b85ba8.png" TargetMode="External"/><Relationship Id="rId145" Type="http://schemas.openxmlformats.org/officeDocument/2006/relationships/hyperlink" Target="https://d15f34w2p8l1cc.cloudfront.net/hearthstone/661993329b84d976aa675451b4a824c778a7087ce5e02722d98edbc2bde30435.png" TargetMode="External"/><Relationship Id="rId8" Type="http://schemas.openxmlformats.org/officeDocument/2006/relationships/hyperlink" Target="https://d15f34w2p8l1cc.cloudfront.net/hearthstone/58025fcb5ce8ba165fd445bfbed64c39ba16234d86ffaa9ea49c2a1ee4895736.png" TargetMode="External"/><Relationship Id="rId144" Type="http://schemas.openxmlformats.org/officeDocument/2006/relationships/hyperlink" Target="https://d15f34w2p8l1cc.cloudfront.net/hearthstone/1de8d6d96d9d20c93e8e567c684dac597791ef3b794cf245550a83cb52660e88.png" TargetMode="External"/><Relationship Id="rId73" Type="http://schemas.openxmlformats.org/officeDocument/2006/relationships/hyperlink" Target="https://d15f34w2p8l1cc.cloudfront.net/hearthstone/84102ece03aac82b361408176d10d864fa6ecdf6247354232cdcf6b983037257.png" TargetMode="External"/><Relationship Id="rId72" Type="http://schemas.openxmlformats.org/officeDocument/2006/relationships/hyperlink" Target="https://d15f34w2p8l1cc.cloudfront.net/hearthstone/bbba74bcc2807a3f2a8aebde07cc2678fe21df4db15e678c4eae95aca74e11b0.png" TargetMode="External"/><Relationship Id="rId75" Type="http://schemas.openxmlformats.org/officeDocument/2006/relationships/hyperlink" Target="https://d15f34w2p8l1cc.cloudfront.net/hearthstone/129e1d0115988d946aa9c05fed32a62abd7443352be61e8744be3daea094c6d2.png" TargetMode="External"/><Relationship Id="rId74" Type="http://schemas.openxmlformats.org/officeDocument/2006/relationships/hyperlink" Target="https://d15f34w2p8l1cc.cloudfront.net/hearthstone/32f0b9fa739415dcfaeb4c2157bbb61393c9e60e8374f22c3d2221aa3a183006.png" TargetMode="External"/><Relationship Id="rId77" Type="http://schemas.openxmlformats.org/officeDocument/2006/relationships/hyperlink" Target="https://d15f34w2p8l1cc.cloudfront.net/hearthstone/3ab3a1646e49929173d9074c7cc2bf9eae2480049340172977d03141a42a96f6.png" TargetMode="External"/><Relationship Id="rId76" Type="http://schemas.openxmlformats.org/officeDocument/2006/relationships/hyperlink" Target="https://d15f34w2p8l1cc.cloudfront.net/hearthstone/0c1dc6fc1765d12c16ae08f48b3427a9bfb260e4f761a7da70f845757917e44d.png" TargetMode="External"/><Relationship Id="rId79" Type="http://schemas.openxmlformats.org/officeDocument/2006/relationships/hyperlink" Target="https://d15f34w2p8l1cc.cloudfront.net/hearthstone/aca0c6f989a988435e5df764c3a61b117f7f2b6c8d5d3a61420a4f309496ca97.png" TargetMode="External"/><Relationship Id="rId78" Type="http://schemas.openxmlformats.org/officeDocument/2006/relationships/hyperlink" Target="https://d15f34w2p8l1cc.cloudfront.net/hearthstone/122d2b2a99399dddfbe6864374c45fba1d315601f4f8d1e57d4d17938c5376ef.png" TargetMode="External"/><Relationship Id="rId71" Type="http://schemas.openxmlformats.org/officeDocument/2006/relationships/hyperlink" Target="https://d15f34w2p8l1cc.cloudfront.net/hearthstone/59841ae7ac61f5bfb5c3a2cf756fa468261308443d365383507fe438f1c09db1.png" TargetMode="External"/><Relationship Id="rId70" Type="http://schemas.openxmlformats.org/officeDocument/2006/relationships/hyperlink" Target="https://d15f34w2p8l1cc.cloudfront.net/hearthstone/a4d44debab8a141f58c1e8b09337035047c85dc88103a9e8fb950eb852b9ceda.png" TargetMode="External"/><Relationship Id="rId139" Type="http://schemas.openxmlformats.org/officeDocument/2006/relationships/hyperlink" Target="https://d15f34w2p8l1cc.cloudfront.net/hearthstone/a4cebf8d3ee614572136c52e4aada63b0515375beb327234f2806a81b51645f6.png" TargetMode="External"/><Relationship Id="rId138" Type="http://schemas.openxmlformats.org/officeDocument/2006/relationships/hyperlink" Target="https://d15f34w2p8l1cc.cloudfront.net/hearthstone/6adf8b7803cbd792da653e27b79d98a5b11e8515c26d95290334f73fc5da29c3.png" TargetMode="External"/><Relationship Id="rId137" Type="http://schemas.openxmlformats.org/officeDocument/2006/relationships/hyperlink" Target="https://d15f34w2p8l1cc.cloudfront.net/hearthstone/800e5d05f3541dccdf430b9397298fadfe857229abd3576cec051cd55b388cc8.png" TargetMode="External"/><Relationship Id="rId132" Type="http://schemas.openxmlformats.org/officeDocument/2006/relationships/hyperlink" Target="https://d15f34w2p8l1cc.cloudfront.net/hearthstone/9a9831483970eb28c794274264cbb0b15cd7fbe0fa2b351a1b18876b4466092f.png" TargetMode="External"/><Relationship Id="rId131" Type="http://schemas.openxmlformats.org/officeDocument/2006/relationships/hyperlink" Target="https://d15f34w2p8l1cc.cloudfront.net/hearthstone/23389ee7c4f5c2585d00728b11b2a377123a76f13276be58f3e86696173bea5f.png" TargetMode="External"/><Relationship Id="rId130" Type="http://schemas.openxmlformats.org/officeDocument/2006/relationships/hyperlink" Target="https://d15f34w2p8l1cc.cloudfront.net/hearthstone/c563e9d93c60f37f4636eb25ee21e153375446487fd2c5c5eef8611715793eab.png" TargetMode="External"/><Relationship Id="rId136" Type="http://schemas.openxmlformats.org/officeDocument/2006/relationships/hyperlink" Target="https://d15f34w2p8l1cc.cloudfront.net/hearthstone/0f7340eb66d97361dc96fa81654344d9ce0cd47cbdcf4698cead20220a95e5c7.png" TargetMode="External"/><Relationship Id="rId135" Type="http://schemas.openxmlformats.org/officeDocument/2006/relationships/hyperlink" Target="https://d15f34w2p8l1cc.cloudfront.net/hearthstone/69daf022dcf550c7207df38bf00a56b4596067d61e885617c97607ff52f63e60.png" TargetMode="External"/><Relationship Id="rId134" Type="http://schemas.openxmlformats.org/officeDocument/2006/relationships/hyperlink" Target="https://d15f34w2p8l1cc.cloudfront.net/hearthstone/d35924e8f1a638e7ce77b0790b45f9cc1d796d0d3467c350605fb88e25ea8726.png" TargetMode="External"/><Relationship Id="rId133" Type="http://schemas.openxmlformats.org/officeDocument/2006/relationships/hyperlink" Target="https://d15f34w2p8l1cc.cloudfront.net/hearthstone/0c1dc6fc1765d12c16ae08f48b3427a9bfb260e4f761a7da70f845757917e44d.png" TargetMode="External"/><Relationship Id="rId62" Type="http://schemas.openxmlformats.org/officeDocument/2006/relationships/hyperlink" Target="https://d15f34w2p8l1cc.cloudfront.net/hearthstone/9aef559fa2062e4f8a7d3e624763b6af20259f8cfb79f1967a4565bc238301a0.png" TargetMode="External"/><Relationship Id="rId61" Type="http://schemas.openxmlformats.org/officeDocument/2006/relationships/hyperlink" Target="https://d15f34w2p8l1cc.cloudfront.net/hearthstone/8fc1a4791db7ca41c64ec101afc4a7a491f3767b50c818843eaa06f4e1955ecf.png" TargetMode="External"/><Relationship Id="rId64" Type="http://schemas.openxmlformats.org/officeDocument/2006/relationships/hyperlink" Target="https://d15f34w2p8l1cc.cloudfront.net/hearthstone/3dc77263b86efcacce4e03cc2bae7bbefbd575ca3de83214d7f223fb700bb000.png" TargetMode="External"/><Relationship Id="rId63" Type="http://schemas.openxmlformats.org/officeDocument/2006/relationships/hyperlink" Target="https://d15f34w2p8l1cc.cloudfront.net/hearthstone/d35924e8f1a638e7ce77b0790b45f9cc1d796d0d3467c350605fb88e25ea8726.png" TargetMode="External"/><Relationship Id="rId66" Type="http://schemas.openxmlformats.org/officeDocument/2006/relationships/hyperlink" Target="https://d15f34w2p8l1cc.cloudfront.net/hearthstone/1c78e2161e2ae754c61065ea1c5a0e5ac9e0ae76865705dd33805bdb06d87e33.png" TargetMode="External"/><Relationship Id="rId172" Type="http://schemas.openxmlformats.org/officeDocument/2006/relationships/hyperlink" Target="https://d15f34w2p8l1cc.cloudfront.net/hearthstone/414de22fd66cba6645b2ae23c397ab110f6a3509f2c754a840f8cbd6c0d003e4.png" TargetMode="External"/><Relationship Id="rId65" Type="http://schemas.openxmlformats.org/officeDocument/2006/relationships/hyperlink" Target="https://d15f34w2p8l1cc.cloudfront.net/hearthstone/4f8cd3bd37ed9d6dd27783cd183027a1ddb1c84d15070aeef30e8c5206b0f350.png" TargetMode="External"/><Relationship Id="rId171" Type="http://schemas.openxmlformats.org/officeDocument/2006/relationships/hyperlink" Target="https://d15f34w2p8l1cc.cloudfront.net/hearthstone/e90917538df6072da101cc09ee18c42427814e4b26197f3f90de15dfe41f36a0.png" TargetMode="External"/><Relationship Id="rId68" Type="http://schemas.openxmlformats.org/officeDocument/2006/relationships/hyperlink" Target="https://d15f34w2p8l1cc.cloudfront.net/hearthstone/6adf8b7803cbd792da653e27b79d98a5b11e8515c26d95290334f73fc5da29c3.png" TargetMode="External"/><Relationship Id="rId170" Type="http://schemas.openxmlformats.org/officeDocument/2006/relationships/hyperlink" Target="https://d15f34w2p8l1cc.cloudfront.net/hearthstone/f16d3bd5902862733d280d86a36fc1927b5465c4af0d7328082e40f04424e6fb.png" TargetMode="External"/><Relationship Id="rId67" Type="http://schemas.openxmlformats.org/officeDocument/2006/relationships/hyperlink" Target="https://d15f34w2p8l1cc.cloudfront.net/hearthstone/9dd402c0cf9dee8220457e8af3da1657edee51aa7c3a7d012e663e4cf483f948.png" TargetMode="External"/><Relationship Id="rId60" Type="http://schemas.openxmlformats.org/officeDocument/2006/relationships/hyperlink" Target="https://d15f34w2p8l1cc.cloudfront.net/hearthstone/b248b837eb869f3e8074dc348f82508970be17bf60c0a0cd031a96c9e7fea42c.png" TargetMode="External"/><Relationship Id="rId165" Type="http://schemas.openxmlformats.org/officeDocument/2006/relationships/hyperlink" Target="https://d15f34w2p8l1cc.cloudfront.net/hearthstone/3fea1a9a57ea566fe7bd05d4861df411638d69417db5dac830481623d4df21b3.png" TargetMode="External"/><Relationship Id="rId69" Type="http://schemas.openxmlformats.org/officeDocument/2006/relationships/hyperlink" Target="https://d15f34w2p8l1cc.cloudfront.net/hearthstone/fcc525dba41f6ea52e2b7a98ab27dea5f0e39bd875f79cac3ceff87251880444.png" TargetMode="External"/><Relationship Id="rId164" Type="http://schemas.openxmlformats.org/officeDocument/2006/relationships/hyperlink" Target="https://d15f34w2p8l1cc.cloudfront.net/hearthstone/c00acd50cd19fd2cd178852dbd41ec6e0744e9984b6f1e19b96b2420ddfc18d8.png" TargetMode="External"/><Relationship Id="rId163" Type="http://schemas.openxmlformats.org/officeDocument/2006/relationships/hyperlink" Target="https://d15f34w2p8l1cc.cloudfront.net/hearthstone/c1b86331d136f3297cc9f66a70626e52fdd8d4d5deae9f98ac795ef9ec28800d.png" TargetMode="External"/><Relationship Id="rId162" Type="http://schemas.openxmlformats.org/officeDocument/2006/relationships/hyperlink" Target="https://d15f34w2p8l1cc.cloudfront.net/hearthstone/89b0952a0fe942af600b64ca35e40ccd6e03a932b95c9a2e856e8a7f2dd93409.png" TargetMode="External"/><Relationship Id="rId169" Type="http://schemas.openxmlformats.org/officeDocument/2006/relationships/hyperlink" Target="https://d15f34w2p8l1cc.cloudfront.net/hearthstone/43b86c18a98d1d49de12e710527df5cea11eccf5251178ee7e80f867724672ee.png" TargetMode="External"/><Relationship Id="rId168" Type="http://schemas.openxmlformats.org/officeDocument/2006/relationships/hyperlink" Target="https://d15f34w2p8l1cc.cloudfront.net/hearthstone/9b56e3f2784f16fbcf9b9a068b2ceb346d18b97f613cfd496f455b04426e0885.png" TargetMode="External"/><Relationship Id="rId167" Type="http://schemas.openxmlformats.org/officeDocument/2006/relationships/hyperlink" Target="https://d15f34w2p8l1cc.cloudfront.net/hearthstone/1b2a701148e97cdf3e72b7f9149e70bf14e1f245c26a88e1fd8afd0a353ba0bb.png" TargetMode="External"/><Relationship Id="rId166" Type="http://schemas.openxmlformats.org/officeDocument/2006/relationships/hyperlink" Target="https://d15f34w2p8l1cc.cloudfront.net/hearthstone/d3c6b7edf17ce3e838aaaeab77aee6dfebe61e85c2d7634bdba0cc87a60fead0.png" TargetMode="External"/><Relationship Id="rId51" Type="http://schemas.openxmlformats.org/officeDocument/2006/relationships/hyperlink" Target="https://d15f34w2p8l1cc.cloudfront.net/hearthstone/ce6de7fce351ff203d1051ffbde80b3f96abff81779b34bc4a31ed0fcd2b7383.png" TargetMode="External"/><Relationship Id="rId50" Type="http://schemas.openxmlformats.org/officeDocument/2006/relationships/hyperlink" Target="https://d15f34w2p8l1cc.cloudfront.net/hearthstone/374edb7ab3ff1d46e875a32d268d8e94d64a86c1d1cf45343fbd97589a136539.png" TargetMode="External"/><Relationship Id="rId53" Type="http://schemas.openxmlformats.org/officeDocument/2006/relationships/hyperlink" Target="https://d15f34w2p8l1cc.cloudfront.net/hearthstone/75f03872b654037685d360af9cd142b0b8b7b37159d23dbdc25d42aab3ee8843.png" TargetMode="External"/><Relationship Id="rId52" Type="http://schemas.openxmlformats.org/officeDocument/2006/relationships/hyperlink" Target="https://d15f34w2p8l1cc.cloudfront.net/hearthstone/298a3f2a50ea61d4db00a89f5455278cb312f1053ea871f9be4b541c2ba7ed48.png" TargetMode="External"/><Relationship Id="rId55" Type="http://schemas.openxmlformats.org/officeDocument/2006/relationships/hyperlink" Target="https://d15f34w2p8l1cc.cloudfront.net/hearthstone/9b56e3f2784f16fbcf9b9a068b2ceb346d18b97f613cfd496f455b04426e0885.png" TargetMode="External"/><Relationship Id="rId161" Type="http://schemas.openxmlformats.org/officeDocument/2006/relationships/hyperlink" Target="https://d15f34w2p8l1cc.cloudfront.net/hearthstone/5cba40b37fbd2686adcadb2ca839670a4eb69af024a7971c67029222594b0704.png" TargetMode="External"/><Relationship Id="rId54" Type="http://schemas.openxmlformats.org/officeDocument/2006/relationships/hyperlink" Target="https://d15f34w2p8l1cc.cloudfront.net/hearthstone/e55952cb9e0e1eef100253ff71e264d09c56d0f4f4ef074d479e696ebbb0e02b.png" TargetMode="External"/><Relationship Id="rId160" Type="http://schemas.openxmlformats.org/officeDocument/2006/relationships/hyperlink" Target="https://d15f34w2p8l1cc.cloudfront.net/hearthstone/374edb7ab3ff1d46e875a32d268d8e94d64a86c1d1cf45343fbd97589a136539.png" TargetMode="External"/><Relationship Id="rId57" Type="http://schemas.openxmlformats.org/officeDocument/2006/relationships/hyperlink" Target="https://d15f34w2p8l1cc.cloudfront.net/hearthstone/0bd92120decefff009df69397953506b074ba4325b21c84720a92921792aaf28.png" TargetMode="External"/><Relationship Id="rId56" Type="http://schemas.openxmlformats.org/officeDocument/2006/relationships/hyperlink" Target="https://d15f34w2p8l1cc.cloudfront.net/hearthstone/ea2e3f98d5e4ef197d7f7450d0871c37c3d3fe3af47c3c8ba67aac1d3d35ddb1.png" TargetMode="External"/><Relationship Id="rId159" Type="http://schemas.openxmlformats.org/officeDocument/2006/relationships/hyperlink" Target="https://d15f34w2p8l1cc.cloudfront.net/hearthstone/557b6d377d2b36151cfa932ae027c85df7a07121994d96bd9a2b47d6d436840d.png" TargetMode="External"/><Relationship Id="rId59" Type="http://schemas.openxmlformats.org/officeDocument/2006/relationships/hyperlink" Target="https://d15f34w2p8l1cc.cloudfront.net/hearthstone/c563e9d93c60f37f4636eb25ee21e153375446487fd2c5c5eef8611715793eab.png" TargetMode="External"/><Relationship Id="rId154" Type="http://schemas.openxmlformats.org/officeDocument/2006/relationships/hyperlink" Target="https://d15f34w2p8l1cc.cloudfront.net/hearthstone/b2834d7e112a69fb303360bb77c600a489c79e432b14450f7b6102daaf11a037.png" TargetMode="External"/><Relationship Id="rId58" Type="http://schemas.openxmlformats.org/officeDocument/2006/relationships/hyperlink" Target="https://d15f34w2p8l1cc.cloudfront.net/hearthstone/a80e6457c183d920d11a331a3cb3b88bd80e97f662d00f2496883a76f4600dd4.png" TargetMode="External"/><Relationship Id="rId153" Type="http://schemas.openxmlformats.org/officeDocument/2006/relationships/hyperlink" Target="https://d15f34w2p8l1cc.cloudfront.net/hearthstone/3f170af5acd39c7f82f27dae9d2358459a6f8739d0d7517b6cffc117ded9cbce.png" TargetMode="External"/><Relationship Id="rId152" Type="http://schemas.openxmlformats.org/officeDocument/2006/relationships/hyperlink" Target="https://d15f34w2p8l1cc.cloudfront.net/hearthstone/f1e5eb11adf519d25ba6c2f9f4d7dfe709a64c96fa40345ef1070d283d53cf97.png" TargetMode="External"/><Relationship Id="rId151" Type="http://schemas.openxmlformats.org/officeDocument/2006/relationships/hyperlink" Target="https://d15f34w2p8l1cc.cloudfront.net/hearthstone/9d005ad832749378b35e28d93344391b08cb7c79858cda44b315e07bc96d6fca.png" TargetMode="External"/><Relationship Id="rId158" Type="http://schemas.openxmlformats.org/officeDocument/2006/relationships/hyperlink" Target="https://d15f34w2p8l1cc.cloudfront.net/hearthstone/c0277b7559a6a3dae4c48ba2b5942c5c8044938c44f6f7268117764c4182a48d.png" TargetMode="External"/><Relationship Id="rId157" Type="http://schemas.openxmlformats.org/officeDocument/2006/relationships/hyperlink" Target="https://d15f34w2p8l1cc.cloudfront.net/hearthstone/44c9a7ff80bedeeae1bee8f5ded4e475c7e69f065f25670629cf4f8ab3bf65ed.png" TargetMode="External"/><Relationship Id="rId156" Type="http://schemas.openxmlformats.org/officeDocument/2006/relationships/hyperlink" Target="https://d15f34w2p8l1cc.cloudfront.net/hearthstone/659526ac0afd7f3ab48e7e30239a34c4ef2ce7a02047465793a6ebdad214106b.png" TargetMode="External"/><Relationship Id="rId155" Type="http://schemas.openxmlformats.org/officeDocument/2006/relationships/hyperlink" Target="https://d15f34w2p8l1cc.cloudfront.net/hearthstone/75b28d287958ac4a71766bbbac35e5a08866483ee6f90f03fd307f64cd2c2e5c.png" TargetMode="External"/><Relationship Id="rId107" Type="http://schemas.openxmlformats.org/officeDocument/2006/relationships/hyperlink" Target="https://d15f34w2p8l1cc.cloudfront.net/hearthstone/aa39ea15518aa53399c3ca38ed51189517b9ccc2d08498ac822cc1c38a98507b.png" TargetMode="External"/><Relationship Id="rId106" Type="http://schemas.openxmlformats.org/officeDocument/2006/relationships/hyperlink" Target="https://d15f34w2p8l1cc.cloudfront.net/hearthstone/19bc8b87a2a8d3209f6bb43a2bc34ecbee35ee8c956bb844b5797e72bb3b4f2f.png" TargetMode="External"/><Relationship Id="rId105" Type="http://schemas.openxmlformats.org/officeDocument/2006/relationships/hyperlink" Target="https://d15f34w2p8l1cc.cloudfront.net/hearthstone/d3c6b7edf17ce3e838aaaeab77aee6dfebe61e85c2d7634bdba0cc87a60fead0.png" TargetMode="External"/><Relationship Id="rId104" Type="http://schemas.openxmlformats.org/officeDocument/2006/relationships/hyperlink" Target="https://d15f34w2p8l1cc.cloudfront.net/hearthstone/6941bb91070c890ca0cc0f39526b2220757bef47610ea6177c74c3bc6d7542b8.png" TargetMode="External"/><Relationship Id="rId109" Type="http://schemas.openxmlformats.org/officeDocument/2006/relationships/hyperlink" Target="https://d15f34w2p8l1cc.cloudfront.net/hearthstone/d9f9364e083532666d6dde25d77d6bfe3d3b735e5bb6108dff4b07b86eeb6dac.png" TargetMode="External"/><Relationship Id="rId108" Type="http://schemas.openxmlformats.org/officeDocument/2006/relationships/hyperlink" Target="https://d15f34w2p8l1cc.cloudfront.net/hearthstone/547242dce6dd79fb2d90266a2fbf3cf267b4c27335b8d791e8bbece1ea6e34be.png" TargetMode="External"/><Relationship Id="rId103" Type="http://schemas.openxmlformats.org/officeDocument/2006/relationships/hyperlink" Target="https://d15f34w2p8l1cc.cloudfront.net/hearthstone/5012308c19139dfb9884575514a1e066f9241f0b6ba9286f7387897cb418f2ff.png" TargetMode="External"/><Relationship Id="rId102" Type="http://schemas.openxmlformats.org/officeDocument/2006/relationships/hyperlink" Target="https://d15f34w2p8l1cc.cloudfront.net/hearthstone/32f0b9fa739415dcfaeb4c2157bbb61393c9e60e8374f22c3d2221aa3a183006.png" TargetMode="External"/><Relationship Id="rId101" Type="http://schemas.openxmlformats.org/officeDocument/2006/relationships/hyperlink" Target="https://d15f34w2p8l1cc.cloudfront.net/hearthstone/ef1f19150e2d4169861006163a135efdbb77f5ce7debf430b139bd59a891f890.png" TargetMode="External"/><Relationship Id="rId100" Type="http://schemas.openxmlformats.org/officeDocument/2006/relationships/hyperlink" Target="https://d15f34w2p8l1cc.cloudfront.net/hearthstone/375a5eddf11a0360eea466f6455af1df87dc64bad9e3ac32f1cb0c3b318af1ec.png" TargetMode="External"/><Relationship Id="rId129" Type="http://schemas.openxmlformats.org/officeDocument/2006/relationships/hyperlink" Target="https://d15f34w2p8l1cc.cloudfront.net/hearthstone/44c9a7ff80bedeeae1bee8f5ded4e475c7e69f065f25670629cf4f8ab3bf65ed.png" TargetMode="External"/><Relationship Id="rId128" Type="http://schemas.openxmlformats.org/officeDocument/2006/relationships/hyperlink" Target="https://d15f34w2p8l1cc.cloudfront.net/hearthstone/75b28d287958ac4a71766bbbac35e5a08866483ee6f90f03fd307f64cd2c2e5c.png" TargetMode="External"/><Relationship Id="rId127" Type="http://schemas.openxmlformats.org/officeDocument/2006/relationships/hyperlink" Target="https://d15f34w2p8l1cc.cloudfront.net/hearthstone/ea2e3f98d5e4ef197d7f7450d0871c37c3d3fe3af47c3c8ba67aac1d3d35ddb1.png" TargetMode="External"/><Relationship Id="rId126" Type="http://schemas.openxmlformats.org/officeDocument/2006/relationships/hyperlink" Target="https://d15f34w2p8l1cc.cloudfront.net/hearthstone/0b59e91a36a11e99cc618babe5bdb3a4eef73d0a8107ef4d75de22630891d1b5.png" TargetMode="External"/><Relationship Id="rId121" Type="http://schemas.openxmlformats.org/officeDocument/2006/relationships/hyperlink" Target="https://d15f34w2p8l1cc.cloudfront.net/hearthstone/45dee581272226215daf32f06081dd47398c4c0584f192af7ff61f37da15fcbb.png" TargetMode="External"/><Relationship Id="rId120" Type="http://schemas.openxmlformats.org/officeDocument/2006/relationships/hyperlink" Target="https://d15f34w2p8l1cc.cloudfront.net/hearthstone/7740f9abfbf0f71219640b15f5bdac8ae3c5160d23322595c7f23900143afb63.png" TargetMode="External"/><Relationship Id="rId125" Type="http://schemas.openxmlformats.org/officeDocument/2006/relationships/hyperlink" Target="https://d15f34w2p8l1cc.cloudfront.net/hearthstone/e55952cb9e0e1eef100253ff71e264d09c56d0f4f4ef074d479e696ebbb0e02b.png" TargetMode="External"/><Relationship Id="rId124" Type="http://schemas.openxmlformats.org/officeDocument/2006/relationships/hyperlink" Target="https://d15f34w2p8l1cc.cloudfront.net/hearthstone/f78d3fe2a0b2c6a87d18834008d4a57c8a0b9ee12814bbd78b365dc458918c23.png" TargetMode="External"/><Relationship Id="rId123" Type="http://schemas.openxmlformats.org/officeDocument/2006/relationships/hyperlink" Target="https://d15f34w2p8l1cc.cloudfront.net/hearthstone/2e995df2479da3d61e25229cdcb71909d8d54da454b342a2f56b75ac0a649804.png" TargetMode="External"/><Relationship Id="rId122" Type="http://schemas.openxmlformats.org/officeDocument/2006/relationships/hyperlink" Target="https://d15f34w2p8l1cc.cloudfront.net/hearthstone/69de8efede4b3f50b57883eaa954cebe753f517653f5c6f0fba3d122bf2d7017.png" TargetMode="External"/><Relationship Id="rId95" Type="http://schemas.openxmlformats.org/officeDocument/2006/relationships/hyperlink" Target="https://d15f34w2p8l1cc.cloudfront.net/hearthstone/3a36e1dc71f20c51f2a35078d9672e18366526d78f62627d53db503e154dc6e8.png" TargetMode="External"/><Relationship Id="rId94" Type="http://schemas.openxmlformats.org/officeDocument/2006/relationships/hyperlink" Target="https://d15f34w2p8l1cc.cloudfront.net/hearthstone/e11d3f372a79ecb8be1478675f132296feabe7a63015b8919c9091e6e458a180.png" TargetMode="External"/><Relationship Id="rId97" Type="http://schemas.openxmlformats.org/officeDocument/2006/relationships/hyperlink" Target="https://d15f34w2p8l1cc.cloudfront.net/hearthstone/1c78e2161e2ae754c61065ea1c5a0e5ac9e0ae76865705dd33805bdb06d87e33.png" TargetMode="External"/><Relationship Id="rId96" Type="http://schemas.openxmlformats.org/officeDocument/2006/relationships/hyperlink" Target="https://d15f34w2p8l1cc.cloudfront.net/hearthstone/dd309bf5d7e0b8a199bf39038f491dcd343ad7fb0cb2f6f3f5992803aba846cc.png" TargetMode="External"/><Relationship Id="rId99" Type="http://schemas.openxmlformats.org/officeDocument/2006/relationships/hyperlink" Target="https://d15f34w2p8l1cc.cloudfront.net/hearthstone/5ccc5e80d2bbb6957ade0ade1a41c4e7558100d3060a17c664f87e358fe176fc.png" TargetMode="External"/><Relationship Id="rId98" Type="http://schemas.openxmlformats.org/officeDocument/2006/relationships/hyperlink" Target="https://d15f34w2p8l1cc.cloudfront.net/hearthstone/59841ae7ac61f5bfb5c3a2cf756fa468261308443d365383507fe438f1c09db1.png" TargetMode="External"/><Relationship Id="rId91" Type="http://schemas.openxmlformats.org/officeDocument/2006/relationships/hyperlink" Target="https://d15f34w2p8l1cc.cloudfront.net/hearthstone/9aef559fa2062e4f8a7d3e624763b6af20259f8cfb79f1967a4565bc238301a0.png" TargetMode="External"/><Relationship Id="rId90" Type="http://schemas.openxmlformats.org/officeDocument/2006/relationships/hyperlink" Target="https://d15f34w2p8l1cc.cloudfront.net/hearthstone/dbb2e27632592844892cf86e0810b654d45532452286c345d567fe6601be1830.png" TargetMode="External"/><Relationship Id="rId93" Type="http://schemas.openxmlformats.org/officeDocument/2006/relationships/hyperlink" Target="https://d15f34w2p8l1cc.cloudfront.net/hearthstone/6941bb91070c890ca0cc0f39526b2220757bef47610ea6177c74c3bc6d7542b8.png" TargetMode="External"/><Relationship Id="rId92" Type="http://schemas.openxmlformats.org/officeDocument/2006/relationships/hyperlink" Target="https://d15f34w2p8l1cc.cloudfront.net/hearthstone/88e7103e14d44e3ed610af3937d9115d75402125a0fe8dc168cd0f89c7a413be.png" TargetMode="External"/><Relationship Id="rId118" Type="http://schemas.openxmlformats.org/officeDocument/2006/relationships/hyperlink" Target="https://d15f34w2p8l1cc.cloudfront.net/hearthstone/6b2d7cefc20fdd16585fb4a4369bcf375648edbacc8cefaeed8d8772603d9505.png" TargetMode="External"/><Relationship Id="rId117" Type="http://schemas.openxmlformats.org/officeDocument/2006/relationships/hyperlink" Target="https://d15f34w2p8l1cc.cloudfront.net/hearthstone/ef1f19150e2d4169861006163a135efdbb77f5ce7debf430b139bd59a891f890.png" TargetMode="External"/><Relationship Id="rId116" Type="http://schemas.openxmlformats.org/officeDocument/2006/relationships/hyperlink" Target="https://d15f34w2p8l1cc.cloudfront.net/hearthstone/a40bc0a0d58aefecd5fd167035a9fc29c80f3d86577476a843473d8df72788d0.png" TargetMode="External"/><Relationship Id="rId115" Type="http://schemas.openxmlformats.org/officeDocument/2006/relationships/hyperlink" Target="https://d15f34w2p8l1cc.cloudfront.net/hearthstone/4dd712c461ab7b2920887118612d897f145407499bc6b1a0cf2db5b434f8fdbd.png" TargetMode="External"/><Relationship Id="rId119" Type="http://schemas.openxmlformats.org/officeDocument/2006/relationships/hyperlink" Target="https://d15f34w2p8l1cc.cloudfront.net/hearthstone/ce6de7fce351ff203d1051ffbde80b3f96abff81779b34bc4a31ed0fcd2b7383.png" TargetMode="External"/><Relationship Id="rId110" Type="http://schemas.openxmlformats.org/officeDocument/2006/relationships/hyperlink" Target="https://d15f34w2p8l1cc.cloudfront.net/hearthstone/414de22fd66cba6645b2ae23c397ab110f6a3509f2c754a840f8cbd6c0d003e4.png" TargetMode="External"/><Relationship Id="rId114" Type="http://schemas.openxmlformats.org/officeDocument/2006/relationships/hyperlink" Target="https://d15f34w2p8l1cc.cloudfront.net/hearthstone/6a2b79dddae706e183525546184fb40aba85f0ba70bc243fd7802e29ec460414.png" TargetMode="External"/><Relationship Id="rId113" Type="http://schemas.openxmlformats.org/officeDocument/2006/relationships/hyperlink" Target="https://d15f34w2p8l1cc.cloudfront.net/hearthstone/6568cf70f1fa6fe8989644c87fec662d2624a1605b57439c9c1d4db732fe5d2e.png" TargetMode="External"/><Relationship Id="rId112" Type="http://schemas.openxmlformats.org/officeDocument/2006/relationships/hyperlink" Target="https://d15f34w2p8l1cc.cloudfront.net/hearthstone/375a5eddf11a0360eea466f6455af1df87dc64bad9e3ac32f1cb0c3b318af1ec.png" TargetMode="External"/><Relationship Id="rId111" Type="http://schemas.openxmlformats.org/officeDocument/2006/relationships/hyperlink" Target="https://d15f34w2p8l1cc.cloudfront.net/hearthstone/3a36e1dc71f20c51f2a35078d9672e18366526d78f62627d53db503e154dc6e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75"/>
    <col customWidth="1" min="2" max="2" width="2.63"/>
    <col customWidth="1" min="3" max="3" width="26.63"/>
    <col customWidth="1" min="4" max="4" width="5.5"/>
    <col customWidth="1" min="5" max="5" width="16.88"/>
    <col customWidth="1" min="9" max="9" width="10.75"/>
    <col customWidth="1" min="10" max="16" width="12.63"/>
    <col customWidth="1" min="17" max="17" width="13.5"/>
    <col customWidth="1" min="18" max="19" width="12.63"/>
    <col customWidth="1" hidden="1" min="20" max="20" width="3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5" t="s">
        <v>1</v>
      </c>
      <c r="K1" s="5" t="s">
        <v>2</v>
      </c>
      <c r="L1" s="5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7" t="s">
        <v>8</v>
      </c>
      <c r="R1" s="8" t="s">
        <v>9</v>
      </c>
      <c r="S1" s="9"/>
      <c r="T1" s="10"/>
    </row>
    <row r="2">
      <c r="A2" s="11"/>
      <c r="B2" s="12"/>
      <c r="C2" s="13" t="s">
        <v>10</v>
      </c>
      <c r="J2" s="14"/>
      <c r="K2" s="14"/>
      <c r="L2" s="14"/>
      <c r="M2" s="14"/>
      <c r="N2" s="14"/>
      <c r="O2" s="14"/>
      <c r="P2" s="14"/>
      <c r="Q2" s="15"/>
      <c r="S2" s="16"/>
      <c r="T2" s="17"/>
    </row>
    <row r="3" ht="82.5" customHeight="1">
      <c r="A3" s="11"/>
      <c r="B3" s="18"/>
      <c r="C3" s="19"/>
      <c r="J3" s="20"/>
      <c r="K3" s="20"/>
      <c r="L3" s="20"/>
      <c r="M3" s="20"/>
      <c r="N3" s="20"/>
      <c r="O3" s="20"/>
      <c r="P3" s="20"/>
      <c r="Q3" s="21"/>
      <c r="R3" s="22"/>
      <c r="S3" s="23"/>
      <c r="T3" s="17"/>
    </row>
    <row r="4">
      <c r="A4" s="11"/>
      <c r="B4" s="24"/>
      <c r="C4" s="25" t="s">
        <v>11</v>
      </c>
      <c r="J4" s="26"/>
      <c r="K4" s="26"/>
      <c r="L4" s="26"/>
      <c r="M4" s="26"/>
      <c r="N4" s="26"/>
      <c r="O4" s="26"/>
      <c r="P4" s="26"/>
      <c r="Q4" s="27"/>
      <c r="R4" s="28"/>
      <c r="S4" s="29"/>
      <c r="T4" s="17"/>
    </row>
    <row r="5">
      <c r="A5" s="11"/>
      <c r="B5" s="30"/>
      <c r="C5" s="31"/>
      <c r="D5" s="32"/>
      <c r="E5" s="33"/>
      <c r="F5" s="34"/>
      <c r="G5" s="35"/>
      <c r="H5" s="36"/>
      <c r="I5" s="37" t="s">
        <v>12</v>
      </c>
      <c r="J5" s="38" t="s">
        <v>1</v>
      </c>
      <c r="K5" s="39" t="s">
        <v>2</v>
      </c>
      <c r="L5" s="40" t="s">
        <v>3</v>
      </c>
      <c r="M5" s="41" t="s">
        <v>4</v>
      </c>
      <c r="N5" s="42" t="s">
        <v>13</v>
      </c>
      <c r="O5" s="38" t="s">
        <v>14</v>
      </c>
      <c r="P5" s="43" t="s">
        <v>15</v>
      </c>
      <c r="Q5" s="44" t="s">
        <v>16</v>
      </c>
      <c r="R5" s="45" t="s">
        <v>9</v>
      </c>
      <c r="S5" s="16"/>
      <c r="T5" s="17"/>
    </row>
    <row r="6" ht="15.75" customHeight="1">
      <c r="A6" s="11"/>
      <c r="B6" s="46"/>
      <c r="C6" s="47" t="s">
        <v>17</v>
      </c>
      <c r="D6" s="48"/>
      <c r="E6" s="49"/>
      <c r="F6" s="50">
        <v>1.0</v>
      </c>
      <c r="G6" s="50">
        <v>1.0</v>
      </c>
      <c r="H6" s="51">
        <v>1.0</v>
      </c>
      <c r="I6" s="52">
        <v>44958.0</v>
      </c>
      <c r="J6" s="53">
        <v>1.0</v>
      </c>
      <c r="K6" s="54">
        <v>2.0</v>
      </c>
      <c r="L6" s="55">
        <v>2.0</v>
      </c>
      <c r="M6" s="56">
        <v>2.0</v>
      </c>
      <c r="N6" s="56">
        <v>1.0</v>
      </c>
      <c r="O6" s="54">
        <v>1.0</v>
      </c>
      <c r="P6" s="57">
        <v>1.0</v>
      </c>
      <c r="Q6" s="58">
        <v>2.0</v>
      </c>
      <c r="R6" s="53">
        <f t="shared" ref="R6:R25" si="1">ROUND(5+(4*S6)/(4.23-1.53)-(4*4.23)/(4.23-1.53),0)</f>
        <v>1</v>
      </c>
      <c r="S6" s="59">
        <v>1.86</v>
      </c>
      <c r="T6" s="17"/>
    </row>
    <row r="7" ht="15.75" customHeight="1">
      <c r="A7" s="11"/>
      <c r="C7" s="47" t="s">
        <v>18</v>
      </c>
      <c r="D7" s="48"/>
      <c r="E7" s="49"/>
      <c r="F7" s="50">
        <v>1.0</v>
      </c>
      <c r="G7" s="50">
        <v>2.0</v>
      </c>
      <c r="H7" s="51">
        <v>1.0</v>
      </c>
      <c r="I7" s="60">
        <v>1.0</v>
      </c>
      <c r="J7" s="61">
        <v>1.0</v>
      </c>
      <c r="K7" s="55">
        <v>2.0</v>
      </c>
      <c r="L7" s="55">
        <v>1.0</v>
      </c>
      <c r="M7" s="55">
        <v>1.0</v>
      </c>
      <c r="N7" s="55">
        <v>1.0</v>
      </c>
      <c r="O7" s="55">
        <v>1.0</v>
      </c>
      <c r="P7" s="62">
        <v>1.0</v>
      </c>
      <c r="Q7" s="63">
        <v>2.0</v>
      </c>
      <c r="R7" s="61">
        <f t="shared" si="1"/>
        <v>1</v>
      </c>
      <c r="S7" s="64">
        <v>1.81</v>
      </c>
      <c r="T7" s="17"/>
    </row>
    <row r="8" ht="15.75" customHeight="1">
      <c r="A8" s="11"/>
      <c r="C8" s="47" t="s">
        <v>19</v>
      </c>
      <c r="D8" s="48"/>
      <c r="E8" s="49" t="s">
        <v>20</v>
      </c>
      <c r="F8" s="50">
        <v>2.0</v>
      </c>
      <c r="G8" s="50">
        <v>1.0</v>
      </c>
      <c r="H8" s="51">
        <v>1.0</v>
      </c>
      <c r="I8" s="60">
        <v>3.0</v>
      </c>
      <c r="J8" s="61">
        <v>3.0</v>
      </c>
      <c r="K8" s="55">
        <v>2.0</v>
      </c>
      <c r="L8" s="55">
        <v>2.0</v>
      </c>
      <c r="M8" s="55">
        <v>2.0</v>
      </c>
      <c r="N8" s="55">
        <v>2.0</v>
      </c>
      <c r="O8" s="55">
        <v>1.0</v>
      </c>
      <c r="P8" s="62">
        <v>3.0</v>
      </c>
      <c r="Q8" s="63">
        <v>2.0</v>
      </c>
      <c r="R8" s="61">
        <f t="shared" si="1"/>
        <v>3</v>
      </c>
      <c r="S8" s="64">
        <v>2.73</v>
      </c>
      <c r="T8" s="17"/>
    </row>
    <row r="9" ht="15.75" customHeight="1">
      <c r="A9" s="11"/>
      <c r="C9" s="47" t="s">
        <v>21</v>
      </c>
      <c r="D9" s="48"/>
      <c r="E9" s="49" t="s">
        <v>22</v>
      </c>
      <c r="F9" s="50">
        <v>2.0</v>
      </c>
      <c r="G9" s="50">
        <v>3.0</v>
      </c>
      <c r="H9" s="51">
        <v>2.0</v>
      </c>
      <c r="I9" s="52">
        <v>44958.0</v>
      </c>
      <c r="J9" s="61">
        <v>3.0</v>
      </c>
      <c r="K9" s="55">
        <v>1.0</v>
      </c>
      <c r="L9" s="55">
        <v>2.0</v>
      </c>
      <c r="M9" s="55">
        <v>1.0</v>
      </c>
      <c r="N9" s="55">
        <v>1.0</v>
      </c>
      <c r="O9" s="55">
        <v>1.0</v>
      </c>
      <c r="P9" s="62">
        <v>1.0</v>
      </c>
      <c r="Q9" s="63">
        <v>1.0</v>
      </c>
      <c r="R9" s="61">
        <f t="shared" si="1"/>
        <v>2</v>
      </c>
      <c r="S9" s="64">
        <v>2.05</v>
      </c>
      <c r="T9" s="17"/>
    </row>
    <row r="10" ht="15.75" customHeight="1">
      <c r="A10" s="11"/>
      <c r="C10" s="47" t="s">
        <v>23</v>
      </c>
      <c r="D10" s="48"/>
      <c r="E10" s="49"/>
      <c r="F10" s="50">
        <v>1.0</v>
      </c>
      <c r="G10" s="50">
        <v>3.0</v>
      </c>
      <c r="H10" s="51">
        <v>2.0</v>
      </c>
      <c r="I10" s="60">
        <v>2.0</v>
      </c>
      <c r="J10" s="61">
        <v>1.0</v>
      </c>
      <c r="K10" s="55">
        <v>1.0</v>
      </c>
      <c r="L10" s="55">
        <v>2.0</v>
      </c>
      <c r="M10" s="55">
        <v>2.0</v>
      </c>
      <c r="N10" s="55">
        <v>2.0</v>
      </c>
      <c r="O10" s="55">
        <v>1.0</v>
      </c>
      <c r="P10" s="62">
        <v>1.0</v>
      </c>
      <c r="Q10" s="63">
        <v>2.0</v>
      </c>
      <c r="R10" s="61">
        <f t="shared" si="1"/>
        <v>2</v>
      </c>
      <c r="S10" s="64">
        <v>2.34</v>
      </c>
      <c r="T10" s="17"/>
    </row>
    <row r="11" ht="15.75" customHeight="1">
      <c r="A11" s="11"/>
      <c r="C11" s="47" t="s">
        <v>24</v>
      </c>
      <c r="D11" s="48"/>
      <c r="E11" s="49"/>
      <c r="F11" s="50">
        <v>2.0</v>
      </c>
      <c r="G11" s="50">
        <v>3.0</v>
      </c>
      <c r="H11" s="51">
        <v>2.0</v>
      </c>
      <c r="I11" s="60">
        <v>1.0</v>
      </c>
      <c r="J11" s="61">
        <v>1.0</v>
      </c>
      <c r="K11" s="55">
        <v>1.0</v>
      </c>
      <c r="L11" s="55">
        <v>1.0</v>
      </c>
      <c r="M11" s="55">
        <v>1.0</v>
      </c>
      <c r="N11" s="55">
        <v>1.0</v>
      </c>
      <c r="O11" s="55">
        <v>1.0</v>
      </c>
      <c r="P11" s="62">
        <v>1.0</v>
      </c>
      <c r="Q11" s="63">
        <v>1.0</v>
      </c>
      <c r="R11" s="61">
        <f t="shared" si="1"/>
        <v>1</v>
      </c>
      <c r="S11" s="64">
        <v>1.78</v>
      </c>
      <c r="T11" s="17"/>
    </row>
    <row r="12" ht="15.75" customHeight="1">
      <c r="A12" s="11"/>
      <c r="C12" s="47" t="s">
        <v>25</v>
      </c>
      <c r="D12" s="48"/>
      <c r="E12" s="49"/>
      <c r="F12" s="50">
        <v>1.0</v>
      </c>
      <c r="G12" s="50">
        <v>2.0</v>
      </c>
      <c r="H12" s="65">
        <v>2.0</v>
      </c>
      <c r="I12" s="60">
        <v>2.0</v>
      </c>
      <c r="J12" s="61">
        <v>3.0</v>
      </c>
      <c r="K12" s="55">
        <v>2.0</v>
      </c>
      <c r="L12" s="55">
        <v>3.0</v>
      </c>
      <c r="M12" s="55">
        <v>2.0</v>
      </c>
      <c r="N12" s="55">
        <v>2.0</v>
      </c>
      <c r="O12" s="55">
        <v>3.0</v>
      </c>
      <c r="P12" s="62">
        <v>3.0</v>
      </c>
      <c r="Q12" s="63">
        <v>3.0</v>
      </c>
      <c r="R12" s="61">
        <f t="shared" si="1"/>
        <v>3</v>
      </c>
      <c r="S12" s="64">
        <v>2.8</v>
      </c>
      <c r="T12" s="17"/>
    </row>
    <row r="13" ht="15.75" customHeight="1">
      <c r="A13" s="11"/>
      <c r="C13" s="66" t="s">
        <v>26</v>
      </c>
      <c r="D13" s="48"/>
      <c r="E13" s="49" t="s">
        <v>27</v>
      </c>
      <c r="F13" s="67">
        <v>2.0</v>
      </c>
      <c r="G13" s="68">
        <v>2.0</v>
      </c>
      <c r="H13" s="69">
        <v>2.0</v>
      </c>
      <c r="I13" s="60">
        <v>1.0</v>
      </c>
      <c r="J13" s="61">
        <v>1.0</v>
      </c>
      <c r="K13" s="55">
        <v>1.0</v>
      </c>
      <c r="L13" s="55">
        <v>1.0</v>
      </c>
      <c r="M13" s="55">
        <v>1.0</v>
      </c>
      <c r="N13" s="55">
        <v>1.0</v>
      </c>
      <c r="O13" s="55">
        <v>1.0</v>
      </c>
      <c r="P13" s="62">
        <v>1.0</v>
      </c>
      <c r="Q13" s="63">
        <v>1.0</v>
      </c>
      <c r="R13" s="61">
        <f t="shared" si="1"/>
        <v>1</v>
      </c>
      <c r="S13" s="64">
        <v>1.79</v>
      </c>
      <c r="T13" s="17"/>
    </row>
    <row r="14" ht="15.75" customHeight="1">
      <c r="A14" s="11"/>
      <c r="C14" s="47" t="s">
        <v>28</v>
      </c>
      <c r="D14" s="48"/>
      <c r="E14" s="49" t="s">
        <v>29</v>
      </c>
      <c r="F14" s="50">
        <v>0.0</v>
      </c>
      <c r="G14" s="50">
        <v>3.0</v>
      </c>
      <c r="H14" s="51">
        <v>2.0</v>
      </c>
      <c r="I14" s="52">
        <v>44958.0</v>
      </c>
      <c r="J14" s="61">
        <v>2.0</v>
      </c>
      <c r="K14" s="55">
        <v>2.0</v>
      </c>
      <c r="L14" s="55">
        <v>2.0</v>
      </c>
      <c r="M14" s="55">
        <v>2.0</v>
      </c>
      <c r="N14" s="55">
        <v>1.0</v>
      </c>
      <c r="O14" s="55">
        <v>2.0</v>
      </c>
      <c r="P14" s="62">
        <v>1.0</v>
      </c>
      <c r="Q14" s="63">
        <v>1.0</v>
      </c>
      <c r="R14" s="61">
        <f t="shared" si="1"/>
        <v>2</v>
      </c>
      <c r="S14" s="64">
        <v>1.87</v>
      </c>
      <c r="T14" s="17"/>
    </row>
    <row r="15" ht="15.75" customHeight="1">
      <c r="A15" s="11"/>
      <c r="C15" s="47" t="s">
        <v>30</v>
      </c>
      <c r="D15" s="48"/>
      <c r="E15" s="49" t="s">
        <v>31</v>
      </c>
      <c r="F15" s="70">
        <v>1.0</v>
      </c>
      <c r="G15" s="70">
        <v>5.0</v>
      </c>
      <c r="H15" s="71">
        <v>3.0</v>
      </c>
      <c r="I15" s="52">
        <v>44987.0</v>
      </c>
      <c r="J15" s="61">
        <v>2.0</v>
      </c>
      <c r="K15" s="55">
        <v>2.0</v>
      </c>
      <c r="L15" s="55">
        <v>4.0</v>
      </c>
      <c r="M15" s="55">
        <v>1.0</v>
      </c>
      <c r="N15" s="55">
        <v>1.0</v>
      </c>
      <c r="O15" s="55">
        <v>2.0</v>
      </c>
      <c r="P15" s="62">
        <v>1.0</v>
      </c>
      <c r="Q15" s="63">
        <v>1.0</v>
      </c>
      <c r="R15" s="61">
        <f t="shared" si="1"/>
        <v>2</v>
      </c>
      <c r="S15" s="64">
        <v>2.12</v>
      </c>
      <c r="T15" s="17"/>
    </row>
    <row r="16" ht="15.75" customHeight="1">
      <c r="A16" s="11"/>
      <c r="C16" s="47" t="s">
        <v>32</v>
      </c>
      <c r="D16" s="48"/>
      <c r="E16" s="49"/>
      <c r="F16" s="50">
        <v>3.0</v>
      </c>
      <c r="G16" s="50">
        <v>4.0</v>
      </c>
      <c r="H16" s="51">
        <v>3.0</v>
      </c>
      <c r="I16" s="52">
        <v>44958.0</v>
      </c>
      <c r="J16" s="61">
        <v>1.0</v>
      </c>
      <c r="K16" s="55">
        <v>1.0</v>
      </c>
      <c r="L16" s="55">
        <v>2.0</v>
      </c>
      <c r="M16" s="55">
        <v>1.0</v>
      </c>
      <c r="N16" s="55">
        <v>1.0</v>
      </c>
      <c r="O16" s="55">
        <v>1.0</v>
      </c>
      <c r="P16" s="62">
        <v>2.0</v>
      </c>
      <c r="Q16" s="63">
        <v>2.0</v>
      </c>
      <c r="R16" s="61">
        <f t="shared" si="1"/>
        <v>2</v>
      </c>
      <c r="S16" s="64">
        <v>2.14</v>
      </c>
      <c r="T16" s="17"/>
    </row>
    <row r="17" ht="15.75" customHeight="1">
      <c r="A17" s="11"/>
      <c r="C17" s="47" t="s">
        <v>33</v>
      </c>
      <c r="D17" s="48"/>
      <c r="E17" s="49"/>
      <c r="F17" s="50">
        <v>4.0</v>
      </c>
      <c r="G17" s="50">
        <v>2.0</v>
      </c>
      <c r="H17" s="51">
        <v>3.0</v>
      </c>
      <c r="I17" s="60">
        <v>1.0</v>
      </c>
      <c r="J17" s="61">
        <v>1.0</v>
      </c>
      <c r="K17" s="55">
        <v>1.0</v>
      </c>
      <c r="L17" s="55">
        <v>1.0</v>
      </c>
      <c r="M17" s="55">
        <v>1.0</v>
      </c>
      <c r="N17" s="55">
        <v>1.0</v>
      </c>
      <c r="O17" s="55">
        <v>1.0</v>
      </c>
      <c r="P17" s="62">
        <v>1.0</v>
      </c>
      <c r="Q17" s="63">
        <v>1.0</v>
      </c>
      <c r="R17" s="61">
        <f t="shared" si="1"/>
        <v>1</v>
      </c>
      <c r="S17" s="64">
        <v>1.53</v>
      </c>
      <c r="T17" s="17"/>
    </row>
    <row r="18" ht="15.75" customHeight="1">
      <c r="A18" s="11"/>
      <c r="C18" s="47" t="s">
        <v>34</v>
      </c>
      <c r="D18" s="48"/>
      <c r="E18" s="49"/>
      <c r="F18" s="50">
        <v>2.0</v>
      </c>
      <c r="G18" s="50">
        <v>2.0</v>
      </c>
      <c r="H18" s="51">
        <v>3.0</v>
      </c>
      <c r="I18" s="52">
        <v>44958.0</v>
      </c>
      <c r="J18" s="61">
        <v>3.0</v>
      </c>
      <c r="K18" s="55">
        <v>2.0</v>
      </c>
      <c r="L18" s="55">
        <v>2.0</v>
      </c>
      <c r="M18" s="55">
        <v>1.0</v>
      </c>
      <c r="N18" s="55">
        <v>1.0</v>
      </c>
      <c r="O18" s="55">
        <v>3.0</v>
      </c>
      <c r="P18" s="62">
        <v>2.0</v>
      </c>
      <c r="Q18" s="63">
        <v>1.0</v>
      </c>
      <c r="R18" s="61">
        <f t="shared" si="1"/>
        <v>2</v>
      </c>
      <c r="S18" s="64">
        <v>1.9</v>
      </c>
      <c r="T18" s="17"/>
    </row>
    <row r="19" ht="15.75" customHeight="1">
      <c r="A19" s="11"/>
      <c r="C19" s="47" t="s">
        <v>35</v>
      </c>
      <c r="D19" s="48"/>
      <c r="E19" s="49"/>
      <c r="F19" s="50">
        <v>2.0</v>
      </c>
      <c r="G19" s="50">
        <v>6.0</v>
      </c>
      <c r="H19" s="51">
        <v>4.0</v>
      </c>
      <c r="I19" s="60">
        <v>1.0</v>
      </c>
      <c r="J19" s="61">
        <v>1.0</v>
      </c>
      <c r="K19" s="55">
        <v>1.0</v>
      </c>
      <c r="L19" s="55">
        <v>1.0</v>
      </c>
      <c r="M19" s="55">
        <v>1.0</v>
      </c>
      <c r="N19" s="55">
        <v>1.0</v>
      </c>
      <c r="O19" s="55">
        <v>1.0</v>
      </c>
      <c r="P19" s="62">
        <v>1.0</v>
      </c>
      <c r="Q19" s="63">
        <v>1.0</v>
      </c>
      <c r="R19" s="61">
        <f t="shared" si="1"/>
        <v>1</v>
      </c>
      <c r="S19" s="64">
        <v>1.59</v>
      </c>
      <c r="T19" s="17"/>
    </row>
    <row r="20" ht="15.75" customHeight="1">
      <c r="A20" s="11"/>
      <c r="C20" s="72" t="s">
        <v>36</v>
      </c>
      <c r="D20" s="73"/>
      <c r="E20" s="49"/>
      <c r="F20" s="70">
        <v>3.0</v>
      </c>
      <c r="G20" s="70">
        <v>3.0</v>
      </c>
      <c r="H20" s="71">
        <v>4.0</v>
      </c>
      <c r="I20" s="60">
        <v>2.0</v>
      </c>
      <c r="J20" s="61">
        <v>3.0</v>
      </c>
      <c r="K20" s="55">
        <v>3.0</v>
      </c>
      <c r="L20" s="55">
        <v>3.0</v>
      </c>
      <c r="M20" s="55">
        <v>3.0</v>
      </c>
      <c r="N20" s="55">
        <v>2.0</v>
      </c>
      <c r="O20" s="55">
        <v>3.0</v>
      </c>
      <c r="P20" s="62">
        <v>2.0</v>
      </c>
      <c r="Q20" s="63">
        <v>3.0</v>
      </c>
      <c r="R20" s="61">
        <f t="shared" si="1"/>
        <v>3</v>
      </c>
      <c r="S20" s="64">
        <v>2.66</v>
      </c>
      <c r="T20" s="17"/>
    </row>
    <row r="21" ht="15.75" customHeight="1">
      <c r="A21" s="11"/>
      <c r="C21" s="47" t="s">
        <v>37</v>
      </c>
      <c r="D21" s="48"/>
      <c r="E21" s="49"/>
      <c r="F21" s="50">
        <v>2.0</v>
      </c>
      <c r="G21" s="50">
        <v>5.0</v>
      </c>
      <c r="H21" s="51">
        <v>4.0</v>
      </c>
      <c r="I21" s="60">
        <v>1.0</v>
      </c>
      <c r="J21" s="61">
        <v>1.0</v>
      </c>
      <c r="K21" s="55">
        <v>1.0</v>
      </c>
      <c r="L21" s="55">
        <v>1.0</v>
      </c>
      <c r="M21" s="55">
        <v>1.0</v>
      </c>
      <c r="N21" s="55">
        <v>1.0</v>
      </c>
      <c r="O21" s="55">
        <v>1.0</v>
      </c>
      <c r="P21" s="62">
        <v>1.0</v>
      </c>
      <c r="Q21" s="63">
        <v>1.0</v>
      </c>
      <c r="R21" s="61">
        <f t="shared" si="1"/>
        <v>1</v>
      </c>
      <c r="S21" s="64">
        <v>1.76</v>
      </c>
      <c r="T21" s="17"/>
    </row>
    <row r="22" ht="15.75" customHeight="1">
      <c r="A22" s="11"/>
      <c r="C22" s="47" t="s">
        <v>38</v>
      </c>
      <c r="D22" s="48"/>
      <c r="E22" s="49" t="s">
        <v>39</v>
      </c>
      <c r="F22" s="70">
        <v>3.0</v>
      </c>
      <c r="G22" s="70">
        <v>5.0</v>
      </c>
      <c r="H22" s="71">
        <v>4.0</v>
      </c>
      <c r="I22" s="60">
        <v>1.0</v>
      </c>
      <c r="J22" s="61">
        <v>1.0</v>
      </c>
      <c r="K22" s="55">
        <v>1.0</v>
      </c>
      <c r="L22" s="55">
        <v>1.0</v>
      </c>
      <c r="M22" s="55">
        <v>1.0</v>
      </c>
      <c r="N22" s="55">
        <v>1.0</v>
      </c>
      <c r="O22" s="55">
        <v>1.0</v>
      </c>
      <c r="P22" s="62">
        <v>1.0</v>
      </c>
      <c r="Q22" s="63">
        <v>1.0</v>
      </c>
      <c r="R22" s="61">
        <f t="shared" si="1"/>
        <v>1</v>
      </c>
      <c r="S22" s="64">
        <v>1.68</v>
      </c>
      <c r="T22" s="17"/>
    </row>
    <row r="23" ht="15.75" customHeight="1">
      <c r="A23" s="11"/>
      <c r="C23" s="47" t="s">
        <v>40</v>
      </c>
      <c r="D23" s="48"/>
      <c r="E23" s="49" t="s">
        <v>41</v>
      </c>
      <c r="F23" s="70">
        <v>4.0</v>
      </c>
      <c r="G23" s="70">
        <v>4.0</v>
      </c>
      <c r="H23" s="71">
        <v>5.0</v>
      </c>
      <c r="I23" s="60">
        <v>2.0</v>
      </c>
      <c r="J23" s="61">
        <v>1.0</v>
      </c>
      <c r="K23" s="55">
        <v>1.0</v>
      </c>
      <c r="L23" s="55">
        <v>2.0</v>
      </c>
      <c r="M23" s="55">
        <v>1.0</v>
      </c>
      <c r="N23" s="55">
        <v>1.0</v>
      </c>
      <c r="O23" s="55">
        <v>1.0</v>
      </c>
      <c r="P23" s="62">
        <v>2.0</v>
      </c>
      <c r="Q23" s="63">
        <v>1.0</v>
      </c>
      <c r="R23" s="61">
        <f t="shared" si="1"/>
        <v>2</v>
      </c>
      <c r="S23" s="64">
        <v>2.27</v>
      </c>
      <c r="T23" s="17"/>
    </row>
    <row r="24" ht="15.75" customHeight="1">
      <c r="A24" s="11"/>
      <c r="C24" s="47" t="s">
        <v>42</v>
      </c>
      <c r="D24" s="48"/>
      <c r="E24" s="49" t="s">
        <v>43</v>
      </c>
      <c r="F24" s="50">
        <v>8.0</v>
      </c>
      <c r="G24" s="50">
        <v>8.0</v>
      </c>
      <c r="H24" s="51">
        <v>8.0</v>
      </c>
      <c r="I24" s="60">
        <v>1.0</v>
      </c>
      <c r="J24" s="61">
        <v>1.0</v>
      </c>
      <c r="K24" s="55">
        <v>2.0</v>
      </c>
      <c r="L24" s="55">
        <v>1.0</v>
      </c>
      <c r="M24" s="55">
        <v>1.0</v>
      </c>
      <c r="N24" s="55">
        <v>2.0</v>
      </c>
      <c r="O24" s="55">
        <v>2.0</v>
      </c>
      <c r="P24" s="62">
        <v>1.0</v>
      </c>
      <c r="Q24" s="63">
        <v>2.0</v>
      </c>
      <c r="R24" s="61">
        <f t="shared" si="1"/>
        <v>2</v>
      </c>
      <c r="S24" s="64">
        <v>1.89</v>
      </c>
      <c r="T24" s="17"/>
    </row>
    <row r="25" ht="15.75" customHeight="1">
      <c r="A25" s="11"/>
      <c r="C25" s="47" t="s">
        <v>44</v>
      </c>
      <c r="D25" s="48"/>
      <c r="E25" s="74" t="s">
        <v>22</v>
      </c>
      <c r="F25" s="70">
        <v>6.0</v>
      </c>
      <c r="G25" s="70">
        <v>12.0</v>
      </c>
      <c r="H25" s="71">
        <v>10.0</v>
      </c>
      <c r="I25" s="60">
        <v>1.0</v>
      </c>
      <c r="J25" s="61">
        <v>1.0</v>
      </c>
      <c r="K25" s="75">
        <v>1.0</v>
      </c>
      <c r="L25" s="76">
        <v>1.0</v>
      </c>
      <c r="M25" s="75">
        <v>1.0</v>
      </c>
      <c r="N25" s="76">
        <v>1.0</v>
      </c>
      <c r="O25" s="76">
        <v>1.0</v>
      </c>
      <c r="P25" s="77">
        <v>2.0</v>
      </c>
      <c r="Q25" s="78">
        <v>2.0</v>
      </c>
      <c r="R25" s="61">
        <f t="shared" si="1"/>
        <v>1</v>
      </c>
      <c r="S25" s="79">
        <v>1.6</v>
      </c>
      <c r="T25" s="17"/>
    </row>
    <row r="26" ht="15.75" customHeight="1">
      <c r="A26" s="11"/>
      <c r="B26" s="80"/>
      <c r="C26" s="81"/>
      <c r="D26" s="82"/>
      <c r="E26" s="83"/>
      <c r="F26" s="84"/>
      <c r="G26" s="85"/>
      <c r="H26" s="86"/>
      <c r="I26" s="37"/>
      <c r="J26" s="87" t="s">
        <v>1</v>
      </c>
      <c r="K26" s="88" t="s">
        <v>2</v>
      </c>
      <c r="L26" s="89" t="s">
        <v>3</v>
      </c>
      <c r="M26" s="90" t="s">
        <v>4</v>
      </c>
      <c r="N26" s="91" t="s">
        <v>13</v>
      </c>
      <c r="O26" s="92" t="s">
        <v>14</v>
      </c>
      <c r="P26" s="93" t="s">
        <v>15</v>
      </c>
      <c r="Q26" s="94" t="s">
        <v>16</v>
      </c>
      <c r="R26" s="95" t="s">
        <v>9</v>
      </c>
      <c r="S26" s="96"/>
      <c r="T26" s="17"/>
    </row>
    <row r="27" ht="15.75" customHeight="1">
      <c r="A27" s="11"/>
      <c r="B27" s="97"/>
      <c r="C27" s="66" t="s">
        <v>45</v>
      </c>
      <c r="D27" s="48"/>
      <c r="E27" s="98" t="s">
        <v>20</v>
      </c>
      <c r="F27" s="50">
        <v>2.0</v>
      </c>
      <c r="G27" s="50">
        <v>4.0</v>
      </c>
      <c r="H27" s="51">
        <v>3.0</v>
      </c>
      <c r="I27" s="99">
        <v>1.0</v>
      </c>
      <c r="J27" s="53">
        <v>1.0</v>
      </c>
      <c r="K27" s="54">
        <v>2.0</v>
      </c>
      <c r="L27" s="54">
        <v>1.0</v>
      </c>
      <c r="M27" s="54">
        <v>2.0</v>
      </c>
      <c r="N27" s="54">
        <v>1.0</v>
      </c>
      <c r="O27" s="54">
        <v>2.0</v>
      </c>
      <c r="P27" s="57">
        <v>1.0</v>
      </c>
      <c r="Q27" s="58">
        <v>2.0</v>
      </c>
      <c r="R27" s="61">
        <f t="shared" ref="R27:R41" si="2">ROUND(5+(4*S27)/(4.23-1.53)-(4*4.23)/(4.23-1.53),0)</f>
        <v>2</v>
      </c>
      <c r="S27" s="100">
        <v>2.2</v>
      </c>
      <c r="T27" s="17"/>
    </row>
    <row r="28" ht="15.75" customHeight="1">
      <c r="A28" s="11"/>
      <c r="C28" s="66" t="s">
        <v>46</v>
      </c>
      <c r="D28" s="48"/>
      <c r="E28" s="98" t="s">
        <v>27</v>
      </c>
      <c r="F28" s="50">
        <v>5.0</v>
      </c>
      <c r="G28" s="50">
        <v>6.0</v>
      </c>
      <c r="H28" s="51">
        <v>3.0</v>
      </c>
      <c r="I28" s="99">
        <v>1.0</v>
      </c>
      <c r="J28" s="61">
        <v>1.0</v>
      </c>
      <c r="K28" s="55">
        <v>1.0</v>
      </c>
      <c r="L28" s="55">
        <v>1.0</v>
      </c>
      <c r="M28" s="55">
        <v>1.0</v>
      </c>
      <c r="N28" s="55">
        <v>1.0</v>
      </c>
      <c r="O28" s="55">
        <v>2.0</v>
      </c>
      <c r="P28" s="62">
        <v>1.0</v>
      </c>
      <c r="Q28" s="63">
        <v>1.0</v>
      </c>
      <c r="R28" s="61">
        <f t="shared" si="2"/>
        <v>2</v>
      </c>
      <c r="S28" s="64">
        <v>1.89</v>
      </c>
      <c r="T28" s="17"/>
    </row>
    <row r="29" ht="15.75" customHeight="1">
      <c r="A29" s="11"/>
      <c r="C29" s="66" t="s">
        <v>47</v>
      </c>
      <c r="D29" s="48"/>
      <c r="E29" s="98"/>
      <c r="F29" s="50">
        <v>3.0</v>
      </c>
      <c r="G29" s="50">
        <v>4.0</v>
      </c>
      <c r="H29" s="51">
        <v>3.0</v>
      </c>
      <c r="I29" s="99">
        <v>1.0</v>
      </c>
      <c r="J29" s="61">
        <v>1.0</v>
      </c>
      <c r="K29" s="55">
        <v>1.0</v>
      </c>
      <c r="L29" s="55">
        <v>1.0</v>
      </c>
      <c r="M29" s="55">
        <v>1.0</v>
      </c>
      <c r="N29" s="55">
        <v>1.0</v>
      </c>
      <c r="O29" s="55">
        <v>1.0</v>
      </c>
      <c r="P29" s="62">
        <v>1.0</v>
      </c>
      <c r="Q29" s="63">
        <v>1.0</v>
      </c>
      <c r="R29" s="61">
        <f t="shared" si="2"/>
        <v>1</v>
      </c>
      <c r="S29" s="64">
        <v>1.59</v>
      </c>
      <c r="T29" s="17"/>
    </row>
    <row r="30" ht="15.75" customHeight="1">
      <c r="A30" s="11"/>
      <c r="C30" s="66" t="s">
        <v>48</v>
      </c>
      <c r="D30" s="48"/>
      <c r="E30" s="98"/>
      <c r="F30" s="50">
        <v>2.0</v>
      </c>
      <c r="G30" s="50">
        <v>5.0</v>
      </c>
      <c r="H30" s="51">
        <v>3.0</v>
      </c>
      <c r="I30" s="99">
        <v>1.0</v>
      </c>
      <c r="J30" s="61">
        <v>1.0</v>
      </c>
      <c r="K30" s="55">
        <v>1.0</v>
      </c>
      <c r="L30" s="55">
        <v>1.0</v>
      </c>
      <c r="M30" s="55">
        <v>1.0</v>
      </c>
      <c r="N30" s="55">
        <v>1.0</v>
      </c>
      <c r="O30" s="55">
        <v>1.0</v>
      </c>
      <c r="P30" s="62">
        <v>1.0</v>
      </c>
      <c r="Q30" s="63">
        <v>1.0</v>
      </c>
      <c r="R30" s="61">
        <f t="shared" si="2"/>
        <v>1</v>
      </c>
      <c r="S30" s="64">
        <v>1.8</v>
      </c>
      <c r="T30" s="17"/>
    </row>
    <row r="31" ht="15.75" customHeight="1">
      <c r="A31" s="11"/>
      <c r="C31" s="101" t="s">
        <v>49</v>
      </c>
      <c r="D31" s="16"/>
      <c r="E31" s="102" t="s">
        <v>41</v>
      </c>
      <c r="F31" s="103">
        <v>3.0</v>
      </c>
      <c r="G31" s="103">
        <v>10.0</v>
      </c>
      <c r="H31" s="104">
        <v>8.0</v>
      </c>
      <c r="I31" s="99">
        <v>2.0</v>
      </c>
      <c r="J31" s="105">
        <v>1.0</v>
      </c>
      <c r="K31" s="76">
        <v>1.0</v>
      </c>
      <c r="L31" s="76">
        <v>2.0</v>
      </c>
      <c r="M31" s="76">
        <v>1.0</v>
      </c>
      <c r="N31" s="76">
        <v>1.0</v>
      </c>
      <c r="O31" s="76">
        <v>1.0</v>
      </c>
      <c r="P31" s="77">
        <v>1.0</v>
      </c>
      <c r="Q31" s="78">
        <v>1.0</v>
      </c>
      <c r="R31" s="105">
        <f t="shared" si="2"/>
        <v>1</v>
      </c>
      <c r="S31" s="79">
        <v>1.84</v>
      </c>
      <c r="T31" s="17"/>
    </row>
    <row r="32" ht="15.75" customHeight="1">
      <c r="A32" s="11"/>
      <c r="B32" s="106"/>
      <c r="C32" s="107" t="s">
        <v>50</v>
      </c>
      <c r="D32" s="108"/>
      <c r="E32" s="109" t="s">
        <v>51</v>
      </c>
      <c r="F32" s="110">
        <v>1.0</v>
      </c>
      <c r="G32" s="110">
        <v>1.0</v>
      </c>
      <c r="H32" s="111">
        <v>1.0</v>
      </c>
      <c r="I32" s="112">
        <v>1.0</v>
      </c>
      <c r="J32" s="53">
        <v>1.0</v>
      </c>
      <c r="K32" s="54">
        <v>1.0</v>
      </c>
      <c r="L32" s="54">
        <v>1.0</v>
      </c>
      <c r="M32" s="54">
        <v>1.0</v>
      </c>
      <c r="N32" s="54">
        <v>1.0</v>
      </c>
      <c r="O32" s="54">
        <v>1.0</v>
      </c>
      <c r="P32" s="57">
        <v>1.0</v>
      </c>
      <c r="Q32" s="58">
        <v>1.0</v>
      </c>
      <c r="R32" s="53">
        <f t="shared" si="2"/>
        <v>2</v>
      </c>
      <c r="S32" s="100">
        <v>2.05</v>
      </c>
      <c r="T32" s="17"/>
    </row>
    <row r="33" ht="15.75" customHeight="1">
      <c r="A33" s="11"/>
      <c r="C33" s="66" t="s">
        <v>52</v>
      </c>
      <c r="D33" s="48"/>
      <c r="E33" s="98" t="s">
        <v>20</v>
      </c>
      <c r="F33" s="50">
        <v>2.0</v>
      </c>
      <c r="G33" s="50">
        <v>3.0</v>
      </c>
      <c r="H33" s="65">
        <v>2.0</v>
      </c>
      <c r="I33" s="60">
        <v>1.0</v>
      </c>
      <c r="J33" s="61">
        <v>1.0</v>
      </c>
      <c r="K33" s="55">
        <v>2.0</v>
      </c>
      <c r="L33" s="55">
        <v>1.0</v>
      </c>
      <c r="M33" s="55">
        <v>2.0</v>
      </c>
      <c r="N33" s="55">
        <v>1.0</v>
      </c>
      <c r="O33" s="55">
        <v>2.0</v>
      </c>
      <c r="P33" s="62">
        <v>1.0</v>
      </c>
      <c r="Q33" s="63">
        <v>2.0</v>
      </c>
      <c r="R33" s="61">
        <f t="shared" si="2"/>
        <v>3</v>
      </c>
      <c r="S33" s="64">
        <v>2.64</v>
      </c>
      <c r="T33" s="17"/>
    </row>
    <row r="34" ht="15.75" customHeight="1">
      <c r="A34" s="11"/>
      <c r="C34" s="66" t="s">
        <v>53</v>
      </c>
      <c r="D34" s="48"/>
      <c r="E34" s="98" t="s">
        <v>22</v>
      </c>
      <c r="F34" s="50">
        <v>2.0</v>
      </c>
      <c r="G34" s="50">
        <v>2.0</v>
      </c>
      <c r="H34" s="65">
        <v>4.0</v>
      </c>
      <c r="I34" s="60">
        <v>1.0</v>
      </c>
      <c r="J34" s="61">
        <v>1.0</v>
      </c>
      <c r="K34" s="55">
        <v>1.0</v>
      </c>
      <c r="L34" s="55">
        <v>1.0</v>
      </c>
      <c r="M34" s="55">
        <v>1.0</v>
      </c>
      <c r="N34" s="55">
        <v>1.0</v>
      </c>
      <c r="O34" s="55">
        <v>1.0</v>
      </c>
      <c r="P34" s="62">
        <v>1.0</v>
      </c>
      <c r="Q34" s="63">
        <v>1.0</v>
      </c>
      <c r="R34" s="61">
        <f t="shared" si="2"/>
        <v>2</v>
      </c>
      <c r="S34" s="64">
        <v>1.89</v>
      </c>
      <c r="T34" s="17"/>
    </row>
    <row r="35" ht="15.75" customHeight="1">
      <c r="A35" s="11"/>
      <c r="C35" s="66" t="s">
        <v>54</v>
      </c>
      <c r="D35" s="48"/>
      <c r="E35" s="98"/>
      <c r="F35" s="50">
        <v>3.0</v>
      </c>
      <c r="G35" s="50">
        <v>3.0</v>
      </c>
      <c r="H35" s="65">
        <v>4.0</v>
      </c>
      <c r="I35" s="113">
        <v>1.0</v>
      </c>
      <c r="J35" s="61">
        <v>2.0</v>
      </c>
      <c r="K35" s="55">
        <v>2.0</v>
      </c>
      <c r="L35" s="55">
        <v>1.0</v>
      </c>
      <c r="M35" s="55">
        <v>2.0</v>
      </c>
      <c r="N35" s="55">
        <v>2.0</v>
      </c>
      <c r="O35" s="55">
        <v>2.0</v>
      </c>
      <c r="P35" s="62">
        <v>1.0</v>
      </c>
      <c r="Q35" s="63">
        <v>3.0</v>
      </c>
      <c r="R35" s="61">
        <f t="shared" si="2"/>
        <v>2</v>
      </c>
      <c r="S35" s="64">
        <v>2.43</v>
      </c>
      <c r="T35" s="17"/>
    </row>
    <row r="36" ht="15.75" customHeight="1">
      <c r="A36" s="11"/>
      <c r="C36" s="101" t="s">
        <v>55</v>
      </c>
      <c r="D36" s="16"/>
      <c r="E36" s="102" t="s">
        <v>41</v>
      </c>
      <c r="F36" s="103">
        <v>5.0</v>
      </c>
      <c r="G36" s="103">
        <v>5.0</v>
      </c>
      <c r="H36" s="114">
        <v>6.0</v>
      </c>
      <c r="I36" s="113">
        <v>1.0</v>
      </c>
      <c r="J36" s="105">
        <v>1.0</v>
      </c>
      <c r="K36" s="76">
        <v>1.0</v>
      </c>
      <c r="L36" s="76">
        <v>1.0</v>
      </c>
      <c r="M36" s="55">
        <v>1.0</v>
      </c>
      <c r="N36" s="76">
        <v>1.0</v>
      </c>
      <c r="O36" s="76">
        <v>1.0</v>
      </c>
      <c r="P36" s="77">
        <v>1.0</v>
      </c>
      <c r="Q36" s="78">
        <v>1.0</v>
      </c>
      <c r="R36" s="105">
        <f t="shared" si="2"/>
        <v>1</v>
      </c>
      <c r="S36" s="79">
        <v>1.68</v>
      </c>
      <c r="T36" s="17"/>
    </row>
    <row r="37" ht="15.75" customHeight="1">
      <c r="A37" s="11"/>
      <c r="B37" s="115"/>
      <c r="C37" s="107" t="s">
        <v>56</v>
      </c>
      <c r="D37" s="108"/>
      <c r="E37" s="109"/>
      <c r="F37" s="110">
        <v>3.0</v>
      </c>
      <c r="G37" s="110">
        <v>3.0</v>
      </c>
      <c r="H37" s="116">
        <v>3.0</v>
      </c>
      <c r="I37" s="113">
        <v>3.0</v>
      </c>
      <c r="J37" s="53">
        <v>2.0</v>
      </c>
      <c r="K37" s="54">
        <v>2.0</v>
      </c>
      <c r="L37" s="54">
        <v>3.0</v>
      </c>
      <c r="M37" s="54">
        <v>2.0</v>
      </c>
      <c r="N37" s="54">
        <v>2.0</v>
      </c>
      <c r="O37" s="54">
        <v>2.0</v>
      </c>
      <c r="P37" s="57">
        <v>2.0</v>
      </c>
      <c r="Q37" s="58">
        <v>2.0</v>
      </c>
      <c r="R37" s="53">
        <f t="shared" si="2"/>
        <v>3</v>
      </c>
      <c r="S37" s="100">
        <v>3.09</v>
      </c>
      <c r="T37" s="17"/>
    </row>
    <row r="38" ht="15.75" customHeight="1">
      <c r="A38" s="11"/>
      <c r="C38" s="66" t="s">
        <v>57</v>
      </c>
      <c r="D38" s="48"/>
      <c r="E38" s="98"/>
      <c r="F38" s="50">
        <v>4.0</v>
      </c>
      <c r="G38" s="50">
        <v>4.0</v>
      </c>
      <c r="H38" s="65">
        <v>4.0</v>
      </c>
      <c r="I38" s="113">
        <v>3.0</v>
      </c>
      <c r="J38" s="61">
        <v>3.0</v>
      </c>
      <c r="K38" s="55">
        <v>3.0</v>
      </c>
      <c r="L38" s="55">
        <v>3.0</v>
      </c>
      <c r="M38" s="55">
        <v>4.0</v>
      </c>
      <c r="N38" s="55">
        <v>4.0</v>
      </c>
      <c r="O38" s="55">
        <v>3.0</v>
      </c>
      <c r="P38" s="62">
        <v>3.0</v>
      </c>
      <c r="Q38" s="63">
        <v>4.0</v>
      </c>
      <c r="R38" s="61">
        <f t="shared" si="2"/>
        <v>5</v>
      </c>
      <c r="S38" s="64">
        <v>4.08</v>
      </c>
      <c r="T38" s="17"/>
    </row>
    <row r="39" ht="15.75" customHeight="1">
      <c r="A39" s="11"/>
      <c r="C39" s="66" t="s">
        <v>58</v>
      </c>
      <c r="D39" s="48"/>
      <c r="E39" s="98"/>
      <c r="F39" s="50">
        <v>5.0</v>
      </c>
      <c r="G39" s="50">
        <v>4.0</v>
      </c>
      <c r="H39" s="65">
        <v>4.0</v>
      </c>
      <c r="I39" s="113">
        <v>3.0</v>
      </c>
      <c r="J39" s="61">
        <v>4.0</v>
      </c>
      <c r="K39" s="55">
        <v>4.0</v>
      </c>
      <c r="L39" s="55">
        <v>3.0</v>
      </c>
      <c r="M39" s="55">
        <v>3.0</v>
      </c>
      <c r="N39" s="55">
        <v>3.0</v>
      </c>
      <c r="O39" s="55">
        <v>2.0</v>
      </c>
      <c r="P39" s="62">
        <v>4.0</v>
      </c>
      <c r="Q39" s="63">
        <v>2.0</v>
      </c>
      <c r="R39" s="61">
        <f t="shared" si="2"/>
        <v>4</v>
      </c>
      <c r="S39" s="64">
        <v>3.22</v>
      </c>
      <c r="T39" s="17"/>
    </row>
    <row r="40" ht="15.75" customHeight="1">
      <c r="A40" s="11"/>
      <c r="C40" s="66" t="s">
        <v>59</v>
      </c>
      <c r="D40" s="48"/>
      <c r="E40" s="98" t="s">
        <v>60</v>
      </c>
      <c r="F40" s="50">
        <v>4.0</v>
      </c>
      <c r="G40" s="50">
        <v>6.0</v>
      </c>
      <c r="H40" s="65">
        <v>5.0</v>
      </c>
      <c r="I40" s="113">
        <v>2.0</v>
      </c>
      <c r="J40" s="61">
        <v>3.0</v>
      </c>
      <c r="K40" s="55">
        <v>4.0</v>
      </c>
      <c r="L40" s="55">
        <v>5.0</v>
      </c>
      <c r="M40" s="55">
        <v>5.0</v>
      </c>
      <c r="N40" s="55">
        <v>5.0</v>
      </c>
      <c r="O40" s="55">
        <v>2.0</v>
      </c>
      <c r="P40" s="62">
        <v>2.0</v>
      </c>
      <c r="Q40" s="63">
        <v>3.0</v>
      </c>
      <c r="R40" s="61">
        <f t="shared" si="2"/>
        <v>4</v>
      </c>
      <c r="S40" s="64">
        <v>3.27</v>
      </c>
      <c r="T40" s="17"/>
    </row>
    <row r="41" ht="15.75" customHeight="1">
      <c r="A41" s="11"/>
      <c r="B41" s="22"/>
      <c r="C41" s="117" t="s">
        <v>61</v>
      </c>
      <c r="D41" s="23"/>
      <c r="E41" s="98" t="s">
        <v>62</v>
      </c>
      <c r="F41" s="118">
        <v>6.0</v>
      </c>
      <c r="G41" s="119">
        <v>6.0</v>
      </c>
      <c r="H41" s="65">
        <v>7.0</v>
      </c>
      <c r="I41" s="120">
        <v>1.0</v>
      </c>
      <c r="J41" s="61">
        <v>2.0</v>
      </c>
      <c r="K41" s="55">
        <v>2.0</v>
      </c>
      <c r="L41" s="55">
        <v>1.0</v>
      </c>
      <c r="M41" s="55">
        <v>2.0</v>
      </c>
      <c r="N41" s="55">
        <v>1.0</v>
      </c>
      <c r="O41" s="55">
        <v>3.0</v>
      </c>
      <c r="P41" s="62">
        <v>1.0</v>
      </c>
      <c r="Q41" s="63">
        <v>2.0</v>
      </c>
      <c r="R41" s="61">
        <f t="shared" si="2"/>
        <v>3</v>
      </c>
      <c r="S41" s="64">
        <v>2.62</v>
      </c>
      <c r="T41" s="17"/>
    </row>
    <row r="42" ht="15.75" customHeight="1">
      <c r="A42" s="11"/>
      <c r="B42" s="121"/>
      <c r="C42" s="122" t="s">
        <v>63</v>
      </c>
      <c r="D42" s="123"/>
      <c r="E42" s="124"/>
      <c r="F42" s="125"/>
      <c r="G42" s="125"/>
      <c r="H42" s="125"/>
      <c r="I42" s="126"/>
      <c r="J42" s="127"/>
      <c r="K42" s="128"/>
      <c r="L42" s="129"/>
      <c r="M42" s="130"/>
      <c r="N42" s="131"/>
      <c r="O42" s="130"/>
      <c r="P42" s="128"/>
      <c r="Q42" s="132"/>
      <c r="R42" s="133"/>
      <c r="S42" s="134"/>
      <c r="T42" s="17"/>
    </row>
    <row r="43" ht="15.75" customHeight="1">
      <c r="A43" s="11"/>
      <c r="B43" s="135"/>
      <c r="C43" s="136"/>
      <c r="D43" s="137"/>
      <c r="E43" s="138"/>
      <c r="F43" s="85"/>
      <c r="G43" s="85"/>
      <c r="H43" s="86"/>
      <c r="I43" s="120"/>
      <c r="J43" s="87" t="s">
        <v>1</v>
      </c>
      <c r="K43" s="88" t="s">
        <v>2</v>
      </c>
      <c r="L43" s="139" t="s">
        <v>3</v>
      </c>
      <c r="M43" s="140" t="s">
        <v>4</v>
      </c>
      <c r="N43" s="91" t="s">
        <v>13</v>
      </c>
      <c r="O43" s="38" t="s">
        <v>14</v>
      </c>
      <c r="P43" s="88" t="s">
        <v>15</v>
      </c>
      <c r="Q43" s="44" t="s">
        <v>16</v>
      </c>
      <c r="R43" s="95" t="s">
        <v>9</v>
      </c>
      <c r="S43" s="96"/>
      <c r="T43" s="17"/>
    </row>
    <row r="44" ht="15.75" customHeight="1">
      <c r="A44" s="11"/>
      <c r="B44" s="46" t="s">
        <v>64</v>
      </c>
      <c r="C44" s="141" t="s">
        <v>65</v>
      </c>
      <c r="D44" s="142" t="s">
        <v>66</v>
      </c>
      <c r="E44" s="143" t="s">
        <v>67</v>
      </c>
      <c r="F44" s="144" t="s">
        <v>68</v>
      </c>
      <c r="G44" s="50">
        <v>2.0</v>
      </c>
      <c r="H44" s="145">
        <v>2.0</v>
      </c>
      <c r="I44" s="113">
        <v>1.0</v>
      </c>
      <c r="J44" s="53">
        <v>1.0</v>
      </c>
      <c r="K44" s="56">
        <v>2.0</v>
      </c>
      <c r="L44" s="56">
        <v>1.0</v>
      </c>
      <c r="M44" s="56">
        <v>1.0</v>
      </c>
      <c r="N44" s="56">
        <v>2.0</v>
      </c>
      <c r="O44" s="146">
        <v>1.0</v>
      </c>
      <c r="P44" s="147">
        <v>1.0</v>
      </c>
      <c r="Q44" s="148">
        <v>2.0</v>
      </c>
      <c r="R44" s="53">
        <f t="shared" ref="R44:R53" si="3">ROUND(5+(4*S44)/(4.23-1.53)-(4*4.23)/(4.23-1.53),0)</f>
        <v>2</v>
      </c>
      <c r="S44" s="149">
        <v>2.47</v>
      </c>
      <c r="T44" s="17"/>
    </row>
    <row r="45" ht="15.75" customHeight="1">
      <c r="A45" s="11"/>
      <c r="C45" s="150" t="s">
        <v>69</v>
      </c>
      <c r="D45" s="151" t="s">
        <v>70</v>
      </c>
      <c r="E45" s="152" t="s">
        <v>71</v>
      </c>
      <c r="F45" s="153" t="s">
        <v>68</v>
      </c>
      <c r="G45" s="154" t="s">
        <v>68</v>
      </c>
      <c r="H45" s="155">
        <v>3.0</v>
      </c>
      <c r="I45" s="113">
        <v>2.0</v>
      </c>
      <c r="J45" s="61">
        <v>3.0</v>
      </c>
      <c r="K45" s="55">
        <v>4.0</v>
      </c>
      <c r="L45" s="55">
        <v>2.0</v>
      </c>
      <c r="M45" s="55">
        <v>3.0</v>
      </c>
      <c r="N45" s="55">
        <v>3.0</v>
      </c>
      <c r="O45" s="156">
        <v>2.0</v>
      </c>
      <c r="P45" s="55">
        <v>3.0</v>
      </c>
      <c r="Q45" s="157">
        <v>3.0</v>
      </c>
      <c r="R45" s="61">
        <f t="shared" si="3"/>
        <v>3</v>
      </c>
      <c r="S45" s="158">
        <v>2.64</v>
      </c>
      <c r="T45" s="17"/>
    </row>
    <row r="46" ht="15.75" customHeight="1">
      <c r="A46" s="11"/>
      <c r="C46" s="159" t="s">
        <v>72</v>
      </c>
      <c r="D46" s="160" t="s">
        <v>70</v>
      </c>
      <c r="E46" s="161" t="s">
        <v>41</v>
      </c>
      <c r="F46" s="118">
        <v>2.0</v>
      </c>
      <c r="G46" s="119">
        <v>1.0</v>
      </c>
      <c r="H46" s="162">
        <v>3.0</v>
      </c>
      <c r="I46" s="113">
        <v>2.0</v>
      </c>
      <c r="J46" s="61">
        <v>1.0</v>
      </c>
      <c r="K46" s="76">
        <v>3.0</v>
      </c>
      <c r="L46" s="76">
        <v>3.0</v>
      </c>
      <c r="M46" s="76">
        <v>2.0</v>
      </c>
      <c r="N46" s="76">
        <v>2.0</v>
      </c>
      <c r="O46" s="163">
        <v>1.0</v>
      </c>
      <c r="P46" s="76">
        <v>2.0</v>
      </c>
      <c r="Q46" s="164">
        <v>3.0</v>
      </c>
      <c r="R46" s="61">
        <f t="shared" si="3"/>
        <v>3</v>
      </c>
      <c r="S46" s="165">
        <v>2.63</v>
      </c>
      <c r="T46" s="17"/>
    </row>
    <row r="47" ht="15.75" customHeight="1">
      <c r="A47" s="11"/>
      <c r="B47" s="166"/>
      <c r="C47" s="141" t="s">
        <v>73</v>
      </c>
      <c r="D47" s="167" t="s">
        <v>70</v>
      </c>
      <c r="E47" s="168" t="s">
        <v>71</v>
      </c>
      <c r="F47" s="169" t="s">
        <v>68</v>
      </c>
      <c r="G47" s="170" t="s">
        <v>68</v>
      </c>
      <c r="H47" s="171">
        <v>1.0</v>
      </c>
      <c r="I47" s="113">
        <v>2.0</v>
      </c>
      <c r="J47" s="53">
        <v>4.0</v>
      </c>
      <c r="K47" s="54">
        <v>2.0</v>
      </c>
      <c r="L47" s="54">
        <v>1.0</v>
      </c>
      <c r="M47" s="54">
        <v>1.0</v>
      </c>
      <c r="N47" s="54">
        <v>2.0</v>
      </c>
      <c r="O47" s="146">
        <v>3.0</v>
      </c>
      <c r="P47" s="54">
        <v>1.0</v>
      </c>
      <c r="Q47" s="172">
        <v>2.0</v>
      </c>
      <c r="R47" s="53">
        <f t="shared" si="3"/>
        <v>3</v>
      </c>
      <c r="S47" s="173">
        <v>3.14</v>
      </c>
      <c r="T47" s="17"/>
    </row>
    <row r="48" ht="15.75" customHeight="1">
      <c r="A48" s="11"/>
      <c r="C48" s="150" t="s">
        <v>74</v>
      </c>
      <c r="D48" s="151" t="s">
        <v>75</v>
      </c>
      <c r="E48" s="174" t="s">
        <v>41</v>
      </c>
      <c r="F48" s="175">
        <v>3.0</v>
      </c>
      <c r="G48" s="176">
        <v>4.0</v>
      </c>
      <c r="H48" s="155">
        <v>3.0</v>
      </c>
      <c r="I48" s="113">
        <v>1.0</v>
      </c>
      <c r="J48" s="61">
        <v>1.0</v>
      </c>
      <c r="K48" s="55">
        <v>2.0</v>
      </c>
      <c r="L48" s="55">
        <v>1.0</v>
      </c>
      <c r="M48" s="55">
        <v>2.0</v>
      </c>
      <c r="N48" s="55">
        <v>1.0</v>
      </c>
      <c r="O48" s="156">
        <v>1.0</v>
      </c>
      <c r="P48" s="55">
        <v>1.0</v>
      </c>
      <c r="Q48" s="157">
        <v>2.0</v>
      </c>
      <c r="R48" s="61">
        <f t="shared" si="3"/>
        <v>2</v>
      </c>
      <c r="S48" s="158">
        <v>2.0</v>
      </c>
      <c r="T48" s="17"/>
    </row>
    <row r="49" ht="15.75" customHeight="1">
      <c r="A49" s="11"/>
      <c r="C49" s="177" t="s">
        <v>76</v>
      </c>
      <c r="D49" s="178" t="s">
        <v>70</v>
      </c>
      <c r="E49" s="179" t="s">
        <v>77</v>
      </c>
      <c r="F49" s="118">
        <v>3.0</v>
      </c>
      <c r="G49" s="119">
        <v>2.0</v>
      </c>
      <c r="H49" s="162">
        <v>3.0</v>
      </c>
      <c r="I49" s="113">
        <v>3.0</v>
      </c>
      <c r="J49" s="105">
        <v>3.0</v>
      </c>
      <c r="K49" s="76">
        <v>2.0</v>
      </c>
      <c r="L49" s="76">
        <v>2.0</v>
      </c>
      <c r="M49" s="76">
        <v>3.0</v>
      </c>
      <c r="N49" s="76">
        <v>2.0</v>
      </c>
      <c r="O49" s="163">
        <v>3.0</v>
      </c>
      <c r="P49" s="76">
        <v>4.0</v>
      </c>
      <c r="Q49" s="164">
        <v>2.0</v>
      </c>
      <c r="R49" s="105">
        <f t="shared" si="3"/>
        <v>3</v>
      </c>
      <c r="S49" s="165">
        <v>2.81</v>
      </c>
      <c r="T49" s="17"/>
    </row>
    <row r="50" ht="15.75" customHeight="1">
      <c r="A50" s="11"/>
      <c r="B50" s="180"/>
      <c r="C50" s="181" t="s">
        <v>78</v>
      </c>
      <c r="D50" s="182" t="s">
        <v>70</v>
      </c>
      <c r="E50" s="183" t="s">
        <v>41</v>
      </c>
      <c r="F50" s="184">
        <v>3.0</v>
      </c>
      <c r="G50" s="185">
        <v>6.0</v>
      </c>
      <c r="H50" s="171">
        <v>5.0</v>
      </c>
      <c r="I50" s="113">
        <v>2.0</v>
      </c>
      <c r="J50" s="53">
        <v>1.0</v>
      </c>
      <c r="K50" s="54">
        <v>1.0</v>
      </c>
      <c r="L50" s="54">
        <v>1.0</v>
      </c>
      <c r="M50" s="54">
        <v>2.0</v>
      </c>
      <c r="N50" s="54">
        <v>2.0</v>
      </c>
      <c r="O50" s="146">
        <v>1.0</v>
      </c>
      <c r="P50" s="54">
        <v>1.0</v>
      </c>
      <c r="Q50" s="172">
        <v>2.0</v>
      </c>
      <c r="R50" s="53">
        <f t="shared" si="3"/>
        <v>2</v>
      </c>
      <c r="S50" s="173">
        <v>2.41</v>
      </c>
      <c r="T50" s="17"/>
    </row>
    <row r="51" ht="15.75" customHeight="1">
      <c r="A51" s="11"/>
      <c r="C51" s="159" t="s">
        <v>79</v>
      </c>
      <c r="D51" s="186" t="s">
        <v>70</v>
      </c>
      <c r="E51" s="161" t="s">
        <v>41</v>
      </c>
      <c r="F51" s="118">
        <v>5.0</v>
      </c>
      <c r="G51" s="119">
        <v>4.0</v>
      </c>
      <c r="H51" s="162">
        <v>5.0</v>
      </c>
      <c r="I51" s="113">
        <v>1.0</v>
      </c>
      <c r="J51" s="105">
        <v>1.0</v>
      </c>
      <c r="K51" s="76">
        <v>1.0</v>
      </c>
      <c r="L51" s="76">
        <v>1.0</v>
      </c>
      <c r="M51" s="76">
        <v>1.0</v>
      </c>
      <c r="N51" s="76">
        <v>2.0</v>
      </c>
      <c r="O51" s="163">
        <v>3.0</v>
      </c>
      <c r="P51" s="76">
        <v>1.0</v>
      </c>
      <c r="Q51" s="164">
        <v>2.0</v>
      </c>
      <c r="R51" s="105">
        <f t="shared" si="3"/>
        <v>3</v>
      </c>
      <c r="S51" s="165">
        <v>2.56</v>
      </c>
      <c r="T51" s="17"/>
    </row>
    <row r="52" ht="15.75" customHeight="1">
      <c r="A52" s="11"/>
      <c r="B52" s="187"/>
      <c r="C52" s="181" t="s">
        <v>80</v>
      </c>
      <c r="D52" s="188" t="s">
        <v>75</v>
      </c>
      <c r="E52" s="183" t="s">
        <v>41</v>
      </c>
      <c r="F52" s="184">
        <v>5.0</v>
      </c>
      <c r="G52" s="185">
        <v>1.0</v>
      </c>
      <c r="H52" s="171">
        <v>8.0</v>
      </c>
      <c r="I52" s="113">
        <v>1.0</v>
      </c>
      <c r="J52" s="53">
        <v>1.0</v>
      </c>
      <c r="K52" s="54">
        <v>2.0</v>
      </c>
      <c r="L52" s="54">
        <v>3.0</v>
      </c>
      <c r="M52" s="54">
        <v>1.0</v>
      </c>
      <c r="N52" s="54">
        <v>2.0</v>
      </c>
      <c r="O52" s="146">
        <v>1.0</v>
      </c>
      <c r="P52" s="54">
        <v>1.0</v>
      </c>
      <c r="Q52" s="172">
        <v>2.0</v>
      </c>
      <c r="R52" s="53">
        <f t="shared" si="3"/>
        <v>3</v>
      </c>
      <c r="S52" s="173">
        <v>2.7</v>
      </c>
      <c r="T52" s="17"/>
    </row>
    <row r="53" ht="15.75" customHeight="1">
      <c r="A53" s="11"/>
      <c r="C53" s="150" t="s">
        <v>81</v>
      </c>
      <c r="D53" s="189" t="s">
        <v>82</v>
      </c>
      <c r="E53" s="152" t="s">
        <v>71</v>
      </c>
      <c r="F53" s="144" t="s">
        <v>68</v>
      </c>
      <c r="G53" s="144" t="s">
        <v>68</v>
      </c>
      <c r="H53" s="190">
        <v>10.0</v>
      </c>
      <c r="I53" s="191">
        <v>1.0</v>
      </c>
      <c r="J53" s="61">
        <v>1.0</v>
      </c>
      <c r="K53" s="75">
        <v>2.0</v>
      </c>
      <c r="L53" s="75">
        <v>1.0</v>
      </c>
      <c r="M53" s="75">
        <v>1.0</v>
      </c>
      <c r="N53" s="75">
        <v>1.0</v>
      </c>
      <c r="O53" s="192">
        <v>1.0</v>
      </c>
      <c r="P53" s="75">
        <v>1.0</v>
      </c>
      <c r="Q53" s="193">
        <v>3.0</v>
      </c>
      <c r="R53" s="61">
        <f t="shared" si="3"/>
        <v>3</v>
      </c>
      <c r="S53" s="194">
        <v>2.59</v>
      </c>
      <c r="T53" s="17"/>
    </row>
    <row r="54" ht="15.75" customHeight="1">
      <c r="A54" s="11"/>
      <c r="B54" s="121"/>
      <c r="C54" s="195" t="s">
        <v>83</v>
      </c>
      <c r="D54" s="196"/>
      <c r="E54" s="124"/>
      <c r="F54" s="125"/>
      <c r="G54" s="125"/>
      <c r="H54" s="125"/>
      <c r="I54" s="126"/>
      <c r="J54" s="127"/>
      <c r="K54" s="128"/>
      <c r="L54" s="129"/>
      <c r="M54" s="130"/>
      <c r="N54" s="131"/>
      <c r="O54" s="130"/>
      <c r="P54" s="128"/>
      <c r="Q54" s="132"/>
      <c r="R54" s="133"/>
      <c r="S54" s="134"/>
      <c r="T54" s="17"/>
    </row>
    <row r="55" ht="15.75" customHeight="1">
      <c r="A55" s="11"/>
      <c r="B55" s="135"/>
      <c r="C55" s="136"/>
      <c r="D55" s="137"/>
      <c r="E55" s="197"/>
      <c r="F55" s="85"/>
      <c r="G55" s="85"/>
      <c r="H55" s="86"/>
      <c r="I55" s="120"/>
      <c r="J55" s="87" t="s">
        <v>1</v>
      </c>
      <c r="K55" s="88" t="s">
        <v>2</v>
      </c>
      <c r="L55" s="139" t="s">
        <v>3</v>
      </c>
      <c r="M55" s="140" t="s">
        <v>4</v>
      </c>
      <c r="N55" s="91" t="s">
        <v>13</v>
      </c>
      <c r="O55" s="38" t="s">
        <v>14</v>
      </c>
      <c r="P55" s="88" t="s">
        <v>15</v>
      </c>
      <c r="Q55" s="44" t="s">
        <v>16</v>
      </c>
      <c r="R55" s="95" t="s">
        <v>9</v>
      </c>
      <c r="S55" s="96"/>
      <c r="T55" s="17"/>
    </row>
    <row r="56" ht="15.75" customHeight="1">
      <c r="A56" s="11"/>
      <c r="B56" s="46" t="s">
        <v>64</v>
      </c>
      <c r="C56" s="66" t="s">
        <v>84</v>
      </c>
      <c r="D56" s="48"/>
      <c r="E56" s="198" t="s">
        <v>31</v>
      </c>
      <c r="F56" s="184">
        <v>1.0</v>
      </c>
      <c r="G56" s="185">
        <v>3.0</v>
      </c>
      <c r="H56" s="69">
        <v>1.0</v>
      </c>
      <c r="I56" s="113">
        <v>2.0</v>
      </c>
      <c r="J56" s="53">
        <v>2.0</v>
      </c>
      <c r="K56" s="56">
        <v>2.0</v>
      </c>
      <c r="L56" s="56">
        <v>3.0</v>
      </c>
      <c r="M56" s="56">
        <v>1.0</v>
      </c>
      <c r="N56" s="56">
        <v>1.0</v>
      </c>
      <c r="O56" s="146">
        <v>1.0</v>
      </c>
      <c r="P56" s="147">
        <v>1.0</v>
      </c>
      <c r="Q56" s="148">
        <v>2.0</v>
      </c>
      <c r="R56" s="53">
        <f t="shared" ref="R56:R65" si="4">ROUND(5+(4*S56)/(4.23-1.53)-(4*4.23)/(4.23-1.53),0)</f>
        <v>2</v>
      </c>
      <c r="S56" s="149">
        <v>2.21</v>
      </c>
      <c r="T56" s="17"/>
    </row>
    <row r="57" ht="15.75" customHeight="1">
      <c r="A57" s="11"/>
      <c r="C57" s="66" t="s">
        <v>85</v>
      </c>
      <c r="D57" s="48"/>
      <c r="E57" s="199" t="s">
        <v>71</v>
      </c>
      <c r="F57" s="144" t="s">
        <v>68</v>
      </c>
      <c r="G57" s="144" t="s">
        <v>68</v>
      </c>
      <c r="H57" s="69">
        <v>2.0</v>
      </c>
      <c r="I57" s="113">
        <v>1.0</v>
      </c>
      <c r="J57" s="61">
        <v>1.0</v>
      </c>
      <c r="K57" s="55">
        <v>2.0</v>
      </c>
      <c r="L57" s="55">
        <v>2.0</v>
      </c>
      <c r="M57" s="55">
        <v>1.0</v>
      </c>
      <c r="N57" s="55">
        <v>1.0</v>
      </c>
      <c r="O57" s="156">
        <v>1.0</v>
      </c>
      <c r="P57" s="55">
        <v>1.0</v>
      </c>
      <c r="Q57" s="157">
        <v>1.0</v>
      </c>
      <c r="R57" s="61">
        <f t="shared" si="4"/>
        <v>1</v>
      </c>
      <c r="S57" s="158">
        <v>1.82</v>
      </c>
      <c r="T57" s="17"/>
    </row>
    <row r="58" ht="15.75" customHeight="1">
      <c r="A58" s="11"/>
      <c r="C58" s="117" t="s">
        <v>86</v>
      </c>
      <c r="D58" s="23"/>
      <c r="E58" s="200" t="s">
        <v>43</v>
      </c>
      <c r="F58" s="201">
        <v>5.0</v>
      </c>
      <c r="G58" s="202">
        <v>5.0</v>
      </c>
      <c r="H58" s="203">
        <v>5.0</v>
      </c>
      <c r="I58" s="113">
        <v>1.0</v>
      </c>
      <c r="J58" s="61">
        <v>2.0</v>
      </c>
      <c r="K58" s="76">
        <v>2.0</v>
      </c>
      <c r="L58" s="76">
        <v>1.0</v>
      </c>
      <c r="M58" s="76">
        <v>2.0</v>
      </c>
      <c r="N58" s="76">
        <v>1.0</v>
      </c>
      <c r="O58" s="163">
        <v>2.0</v>
      </c>
      <c r="P58" s="76">
        <v>2.0</v>
      </c>
      <c r="Q58" s="164">
        <v>2.0</v>
      </c>
      <c r="R58" s="61">
        <f t="shared" si="4"/>
        <v>2</v>
      </c>
      <c r="S58" s="165">
        <v>2.18</v>
      </c>
      <c r="T58" s="17"/>
    </row>
    <row r="59" ht="15.75" customHeight="1">
      <c r="A59" s="11"/>
      <c r="B59" s="166"/>
      <c r="C59" s="107" t="s">
        <v>87</v>
      </c>
      <c r="D59" s="108"/>
      <c r="E59" s="168" t="s">
        <v>71</v>
      </c>
      <c r="F59" s="204" t="s">
        <v>68</v>
      </c>
      <c r="G59" s="204" t="s">
        <v>68</v>
      </c>
      <c r="H59" s="205">
        <v>3.0</v>
      </c>
      <c r="I59" s="113">
        <v>1.0</v>
      </c>
      <c r="J59" s="53">
        <v>1.0</v>
      </c>
      <c r="K59" s="54">
        <v>2.0</v>
      </c>
      <c r="L59" s="54">
        <v>2.0</v>
      </c>
      <c r="M59" s="54">
        <v>1.0</v>
      </c>
      <c r="N59" s="54">
        <v>1.0</v>
      </c>
      <c r="O59" s="146">
        <v>2.0</v>
      </c>
      <c r="P59" s="54">
        <v>1.0</v>
      </c>
      <c r="Q59" s="172">
        <v>2.0</v>
      </c>
      <c r="R59" s="53">
        <f t="shared" si="4"/>
        <v>2</v>
      </c>
      <c r="S59" s="173">
        <v>1.97</v>
      </c>
      <c r="T59" s="17"/>
    </row>
    <row r="60" ht="15.75" customHeight="1">
      <c r="A60" s="11"/>
      <c r="C60" s="66" t="s">
        <v>88</v>
      </c>
      <c r="D60" s="48"/>
      <c r="E60" s="206"/>
      <c r="F60" s="50">
        <v>1.0</v>
      </c>
      <c r="G60" s="50">
        <v>2.0</v>
      </c>
      <c r="H60" s="69">
        <v>3.0</v>
      </c>
      <c r="I60" s="113">
        <v>1.0</v>
      </c>
      <c r="J60" s="61">
        <v>2.0</v>
      </c>
      <c r="K60" s="55">
        <v>1.0</v>
      </c>
      <c r="L60" s="55">
        <v>1.0</v>
      </c>
      <c r="M60" s="55">
        <v>1.0</v>
      </c>
      <c r="N60" s="55">
        <v>1.0</v>
      </c>
      <c r="O60" s="156">
        <v>1.0</v>
      </c>
      <c r="P60" s="55">
        <v>1.0</v>
      </c>
      <c r="Q60" s="157">
        <v>1.0</v>
      </c>
      <c r="R60" s="61">
        <f t="shared" si="4"/>
        <v>1</v>
      </c>
      <c r="S60" s="158">
        <v>1.68</v>
      </c>
      <c r="T60" s="17"/>
    </row>
    <row r="61" ht="15.75" customHeight="1">
      <c r="A61" s="11"/>
      <c r="C61" s="101" t="s">
        <v>89</v>
      </c>
      <c r="D61" s="16"/>
      <c r="E61" s="207" t="s">
        <v>77</v>
      </c>
      <c r="F61" s="50">
        <v>3.0</v>
      </c>
      <c r="G61" s="50">
        <v>2.0</v>
      </c>
      <c r="H61" s="208">
        <v>4.0</v>
      </c>
      <c r="I61" s="113">
        <v>2.0</v>
      </c>
      <c r="J61" s="105">
        <v>4.0</v>
      </c>
      <c r="K61" s="76">
        <v>1.0</v>
      </c>
      <c r="L61" s="76">
        <v>2.0</v>
      </c>
      <c r="M61" s="76">
        <v>3.0</v>
      </c>
      <c r="N61" s="76">
        <v>2.0</v>
      </c>
      <c r="O61" s="163">
        <v>1.0</v>
      </c>
      <c r="P61" s="76">
        <v>2.0</v>
      </c>
      <c r="Q61" s="164">
        <v>3.0</v>
      </c>
      <c r="R61" s="105">
        <f t="shared" si="4"/>
        <v>3</v>
      </c>
      <c r="S61" s="165">
        <v>2.6</v>
      </c>
      <c r="T61" s="17"/>
    </row>
    <row r="62" ht="15.75" customHeight="1">
      <c r="A62" s="11"/>
      <c r="B62" s="180"/>
      <c r="C62" s="107" t="s">
        <v>90</v>
      </c>
      <c r="D62" s="108"/>
      <c r="E62" s="209" t="s">
        <v>71</v>
      </c>
      <c r="F62" s="169" t="s">
        <v>68</v>
      </c>
      <c r="G62" s="170" t="s">
        <v>68</v>
      </c>
      <c r="H62" s="205">
        <v>2.0</v>
      </c>
      <c r="I62" s="113">
        <v>1.0</v>
      </c>
      <c r="J62" s="53">
        <v>2.0</v>
      </c>
      <c r="K62" s="54">
        <v>2.0</v>
      </c>
      <c r="L62" s="54">
        <v>3.0</v>
      </c>
      <c r="M62" s="54">
        <v>1.0</v>
      </c>
      <c r="N62" s="54">
        <v>1.0</v>
      </c>
      <c r="O62" s="146">
        <v>2.0</v>
      </c>
      <c r="P62" s="54">
        <v>1.0</v>
      </c>
      <c r="Q62" s="172">
        <v>3.0</v>
      </c>
      <c r="R62" s="53">
        <f t="shared" si="4"/>
        <v>2</v>
      </c>
      <c r="S62" s="173">
        <v>2.19</v>
      </c>
      <c r="T62" s="17"/>
    </row>
    <row r="63" ht="15.75" customHeight="1">
      <c r="A63" s="11"/>
      <c r="C63" s="101" t="s">
        <v>91</v>
      </c>
      <c r="D63" s="16"/>
      <c r="E63" s="210" t="s">
        <v>71</v>
      </c>
      <c r="F63" s="211" t="s">
        <v>68</v>
      </c>
      <c r="G63" s="212" t="s">
        <v>68</v>
      </c>
      <c r="H63" s="208">
        <v>6.0</v>
      </c>
      <c r="I63" s="113">
        <v>1.0</v>
      </c>
      <c r="J63" s="105">
        <v>1.0</v>
      </c>
      <c r="K63" s="76">
        <v>2.0</v>
      </c>
      <c r="L63" s="76">
        <v>2.0</v>
      </c>
      <c r="M63" s="76">
        <v>1.0</v>
      </c>
      <c r="N63" s="76">
        <v>1.0</v>
      </c>
      <c r="O63" s="163">
        <v>2.0</v>
      </c>
      <c r="P63" s="76">
        <v>1.0</v>
      </c>
      <c r="Q63" s="164">
        <v>2.0</v>
      </c>
      <c r="R63" s="105">
        <f t="shared" si="4"/>
        <v>2</v>
      </c>
      <c r="S63" s="165">
        <v>2.04</v>
      </c>
      <c r="T63" s="17"/>
    </row>
    <row r="64" ht="15.75" customHeight="1">
      <c r="A64" s="11"/>
      <c r="B64" s="187"/>
      <c r="C64" s="107" t="s">
        <v>92</v>
      </c>
      <c r="D64" s="108"/>
      <c r="E64" s="209"/>
      <c r="F64" s="184">
        <v>4.0</v>
      </c>
      <c r="G64" s="185">
        <v>3.0</v>
      </c>
      <c r="H64" s="205">
        <v>4.0</v>
      </c>
      <c r="I64" s="113">
        <v>1.0</v>
      </c>
      <c r="J64" s="53">
        <v>2.0</v>
      </c>
      <c r="K64" s="54">
        <v>1.0</v>
      </c>
      <c r="L64" s="54">
        <v>1.0</v>
      </c>
      <c r="M64" s="54">
        <v>1.0</v>
      </c>
      <c r="N64" s="54">
        <v>1.0</v>
      </c>
      <c r="O64" s="146">
        <v>1.0</v>
      </c>
      <c r="P64" s="54">
        <v>1.0</v>
      </c>
      <c r="Q64" s="172">
        <v>1.0</v>
      </c>
      <c r="R64" s="53">
        <f t="shared" si="4"/>
        <v>1</v>
      </c>
      <c r="S64" s="173">
        <v>1.82</v>
      </c>
      <c r="T64" s="17"/>
    </row>
    <row r="65" ht="15.75" customHeight="1">
      <c r="A65" s="11"/>
      <c r="C65" s="101" t="s">
        <v>93</v>
      </c>
      <c r="D65" s="16"/>
      <c r="E65" s="210" t="s">
        <v>94</v>
      </c>
      <c r="F65" s="144" t="s">
        <v>68</v>
      </c>
      <c r="G65" s="144" t="s">
        <v>68</v>
      </c>
      <c r="H65" s="208">
        <v>5.0</v>
      </c>
      <c r="I65" s="113">
        <v>2.0</v>
      </c>
      <c r="J65" s="61">
        <v>1.0</v>
      </c>
      <c r="K65" s="75">
        <v>4.0</v>
      </c>
      <c r="L65" s="75">
        <v>3.0</v>
      </c>
      <c r="M65" s="75">
        <v>1.0</v>
      </c>
      <c r="N65" s="75">
        <v>1.0</v>
      </c>
      <c r="O65" s="192">
        <v>1.0</v>
      </c>
      <c r="P65" s="75">
        <v>1.0</v>
      </c>
      <c r="Q65" s="193">
        <v>1.0</v>
      </c>
      <c r="R65" s="61">
        <f t="shared" si="4"/>
        <v>2</v>
      </c>
      <c r="S65" s="194">
        <v>2.33</v>
      </c>
      <c r="T65" s="17"/>
    </row>
    <row r="66" ht="15.75" customHeight="1">
      <c r="A66" s="11"/>
      <c r="B66" s="121"/>
      <c r="C66" s="195" t="s">
        <v>95</v>
      </c>
      <c r="D66" s="196"/>
      <c r="E66" s="124"/>
      <c r="F66" s="125"/>
      <c r="G66" s="125"/>
      <c r="H66" s="125"/>
      <c r="I66" s="126"/>
      <c r="J66" s="127"/>
      <c r="K66" s="128"/>
      <c r="L66" s="129"/>
      <c r="M66" s="130"/>
      <c r="N66" s="131"/>
      <c r="O66" s="130"/>
      <c r="P66" s="128"/>
      <c r="Q66" s="132"/>
      <c r="R66" s="133"/>
      <c r="S66" s="134"/>
      <c r="T66" s="17"/>
    </row>
    <row r="67" ht="15.75" customHeight="1">
      <c r="A67" s="11"/>
      <c r="B67" s="135"/>
      <c r="C67" s="136"/>
      <c r="D67" s="137"/>
      <c r="E67" s="138"/>
      <c r="F67" s="85"/>
      <c r="G67" s="85"/>
      <c r="H67" s="86"/>
      <c r="I67" s="120"/>
      <c r="J67" s="87" t="s">
        <v>1</v>
      </c>
      <c r="K67" s="88" t="s">
        <v>2</v>
      </c>
      <c r="L67" s="139" t="s">
        <v>3</v>
      </c>
      <c r="M67" s="140" t="s">
        <v>4</v>
      </c>
      <c r="N67" s="91" t="s">
        <v>13</v>
      </c>
      <c r="O67" s="38" t="s">
        <v>14</v>
      </c>
      <c r="P67" s="88" t="s">
        <v>15</v>
      </c>
      <c r="Q67" s="44" t="s">
        <v>16</v>
      </c>
      <c r="R67" s="95" t="s">
        <v>9</v>
      </c>
      <c r="S67" s="96"/>
      <c r="T67" s="17"/>
    </row>
    <row r="68" ht="15.75" customHeight="1">
      <c r="A68" s="11"/>
      <c r="B68" s="46"/>
      <c r="C68" s="66" t="s">
        <v>96</v>
      </c>
      <c r="D68" s="48"/>
      <c r="E68" s="213" t="s">
        <v>97</v>
      </c>
      <c r="F68" s="67">
        <v>1.0</v>
      </c>
      <c r="G68" s="68">
        <v>3.0</v>
      </c>
      <c r="H68" s="69">
        <v>1.0</v>
      </c>
      <c r="I68" s="214">
        <v>44958.0</v>
      </c>
      <c r="J68" s="53">
        <v>3.0</v>
      </c>
      <c r="K68" s="56">
        <v>2.0</v>
      </c>
      <c r="L68" s="56">
        <v>3.0</v>
      </c>
      <c r="M68" s="56">
        <v>2.0</v>
      </c>
      <c r="N68" s="56">
        <v>2.0</v>
      </c>
      <c r="O68" s="146">
        <v>3.0</v>
      </c>
      <c r="P68" s="147">
        <v>2.0</v>
      </c>
      <c r="Q68" s="148">
        <v>3.0</v>
      </c>
      <c r="R68" s="53">
        <f t="shared" ref="R68:R77" si="5">ROUND(5+(4*S68)/(4.23-1.53)-(4*4.23)/(4.23-1.53),0)</f>
        <v>3</v>
      </c>
      <c r="S68" s="149">
        <v>3.169291339</v>
      </c>
      <c r="T68" s="17"/>
    </row>
    <row r="69" ht="15.75" customHeight="1">
      <c r="A69" s="11"/>
      <c r="C69" s="66" t="s">
        <v>98</v>
      </c>
      <c r="D69" s="48"/>
      <c r="E69" s="213" t="s">
        <v>97</v>
      </c>
      <c r="F69" s="67">
        <v>2.0</v>
      </c>
      <c r="G69" s="68">
        <v>2.0</v>
      </c>
      <c r="H69" s="69">
        <v>2.0</v>
      </c>
      <c r="I69" s="214">
        <v>44958.0</v>
      </c>
      <c r="J69" s="61">
        <v>4.0</v>
      </c>
      <c r="K69" s="55">
        <v>4.0</v>
      </c>
      <c r="L69" s="55">
        <v>4.0</v>
      </c>
      <c r="M69" s="55">
        <v>3.0</v>
      </c>
      <c r="N69" s="55">
        <v>3.0</v>
      </c>
      <c r="O69" s="156">
        <v>3.0</v>
      </c>
      <c r="P69" s="55">
        <v>3.0</v>
      </c>
      <c r="Q69" s="157">
        <v>3.0</v>
      </c>
      <c r="R69" s="61">
        <f t="shared" si="5"/>
        <v>3</v>
      </c>
      <c r="S69" s="158">
        <v>2.716535433</v>
      </c>
      <c r="T69" s="17"/>
    </row>
    <row r="70" ht="15.75" customHeight="1">
      <c r="A70" s="11"/>
      <c r="C70" s="117" t="s">
        <v>99</v>
      </c>
      <c r="D70" s="23"/>
      <c r="E70" s="215" t="s">
        <v>97</v>
      </c>
      <c r="F70" s="201">
        <v>4.0</v>
      </c>
      <c r="G70" s="202">
        <v>6.0</v>
      </c>
      <c r="H70" s="203">
        <v>5.0</v>
      </c>
      <c r="I70" s="214">
        <v>44958.0</v>
      </c>
      <c r="J70" s="61">
        <v>2.0</v>
      </c>
      <c r="K70" s="76">
        <v>3.0</v>
      </c>
      <c r="L70" s="76">
        <v>2.0</v>
      </c>
      <c r="M70" s="76">
        <v>3.0</v>
      </c>
      <c r="N70" s="76">
        <v>2.0</v>
      </c>
      <c r="O70" s="163">
        <v>1.0</v>
      </c>
      <c r="P70" s="76">
        <v>3.0</v>
      </c>
      <c r="Q70" s="164">
        <v>3.0</v>
      </c>
      <c r="R70" s="61">
        <f t="shared" si="5"/>
        <v>3</v>
      </c>
      <c r="S70" s="165">
        <v>3.031496063</v>
      </c>
      <c r="T70" s="17"/>
    </row>
    <row r="71" ht="15.75" customHeight="1">
      <c r="A71" s="11"/>
      <c r="B71" s="166"/>
      <c r="C71" s="66" t="s">
        <v>100</v>
      </c>
      <c r="D71" s="48"/>
      <c r="E71" s="206" t="s">
        <v>101</v>
      </c>
      <c r="F71" s="216" t="s">
        <v>68</v>
      </c>
      <c r="G71" s="217" t="s">
        <v>68</v>
      </c>
      <c r="H71" s="69">
        <v>3.0</v>
      </c>
      <c r="I71" s="214">
        <v>44958.0</v>
      </c>
      <c r="J71" s="53">
        <v>4.0</v>
      </c>
      <c r="K71" s="54">
        <v>4.0</v>
      </c>
      <c r="L71" s="54">
        <v>4.0</v>
      </c>
      <c r="M71" s="54">
        <v>2.0</v>
      </c>
      <c r="N71" s="54">
        <v>4.0</v>
      </c>
      <c r="O71" s="146">
        <v>4.0</v>
      </c>
      <c r="P71" s="54">
        <v>2.0</v>
      </c>
      <c r="Q71" s="172">
        <v>4.0</v>
      </c>
      <c r="R71" s="53">
        <f t="shared" si="5"/>
        <v>3</v>
      </c>
      <c r="S71" s="173">
        <v>3.062992126</v>
      </c>
      <c r="T71" s="17"/>
    </row>
    <row r="72" ht="15.75" customHeight="1">
      <c r="A72" s="11"/>
      <c r="C72" s="66" t="s">
        <v>102</v>
      </c>
      <c r="D72" s="48"/>
      <c r="E72" s="206" t="s">
        <v>101</v>
      </c>
      <c r="F72" s="216" t="s">
        <v>68</v>
      </c>
      <c r="G72" s="217" t="s">
        <v>68</v>
      </c>
      <c r="H72" s="69">
        <v>3.0</v>
      </c>
      <c r="I72" s="120">
        <v>1.0</v>
      </c>
      <c r="J72" s="61">
        <v>1.0</v>
      </c>
      <c r="K72" s="55">
        <v>1.0</v>
      </c>
      <c r="L72" s="55">
        <v>1.0</v>
      </c>
      <c r="M72" s="55">
        <v>1.0</v>
      </c>
      <c r="N72" s="55">
        <v>1.0</v>
      </c>
      <c r="O72" s="156">
        <v>1.0</v>
      </c>
      <c r="P72" s="55">
        <v>1.0</v>
      </c>
      <c r="Q72" s="157">
        <v>1.0</v>
      </c>
      <c r="R72" s="61">
        <f t="shared" si="5"/>
        <v>2</v>
      </c>
      <c r="S72" s="158">
        <v>1.980237154</v>
      </c>
      <c r="T72" s="17"/>
    </row>
    <row r="73" ht="15.75" customHeight="1">
      <c r="A73" s="11"/>
      <c r="C73" s="117" t="s">
        <v>103</v>
      </c>
      <c r="D73" s="23"/>
      <c r="E73" s="218" t="s">
        <v>104</v>
      </c>
      <c r="F73" s="219" t="s">
        <v>68</v>
      </c>
      <c r="G73" s="220" t="s">
        <v>68</v>
      </c>
      <c r="H73" s="203">
        <v>6.0</v>
      </c>
      <c r="I73" s="120">
        <v>2.0</v>
      </c>
      <c r="J73" s="105">
        <v>1.0</v>
      </c>
      <c r="K73" s="76">
        <v>2.0</v>
      </c>
      <c r="L73" s="76">
        <v>2.0</v>
      </c>
      <c r="M73" s="76">
        <v>1.0</v>
      </c>
      <c r="N73" s="76">
        <v>2.0</v>
      </c>
      <c r="O73" s="163">
        <v>2.0</v>
      </c>
      <c r="P73" s="76">
        <v>2.0</v>
      </c>
      <c r="Q73" s="164">
        <v>2.0</v>
      </c>
      <c r="R73" s="105">
        <f t="shared" si="5"/>
        <v>2</v>
      </c>
      <c r="S73" s="165">
        <v>2.137795276</v>
      </c>
      <c r="T73" s="17"/>
    </row>
    <row r="74" ht="15.75" customHeight="1">
      <c r="A74" s="11"/>
      <c r="B74" s="180"/>
      <c r="C74" s="221" t="s">
        <v>105</v>
      </c>
      <c r="D74" s="222"/>
      <c r="E74" s="223" t="s">
        <v>77</v>
      </c>
      <c r="F74" s="67">
        <v>0.0</v>
      </c>
      <c r="G74" s="68">
        <v>3.0</v>
      </c>
      <c r="H74" s="224">
        <v>2.0</v>
      </c>
      <c r="I74" s="120">
        <v>3.0</v>
      </c>
      <c r="J74" s="53">
        <v>2.0</v>
      </c>
      <c r="K74" s="54">
        <v>3.0</v>
      </c>
      <c r="L74" s="54">
        <v>4.0</v>
      </c>
      <c r="M74" s="54">
        <v>5.0</v>
      </c>
      <c r="N74" s="54">
        <v>4.0</v>
      </c>
      <c r="O74" s="146">
        <v>4.0</v>
      </c>
      <c r="P74" s="54">
        <v>2.0</v>
      </c>
      <c r="Q74" s="172">
        <v>3.0</v>
      </c>
      <c r="R74" s="53">
        <f t="shared" si="5"/>
        <v>4</v>
      </c>
      <c r="S74" s="173">
        <v>3.333333333</v>
      </c>
      <c r="T74" s="17"/>
    </row>
    <row r="75" ht="15.75" customHeight="1">
      <c r="A75" s="11"/>
      <c r="C75" s="66" t="s">
        <v>106</v>
      </c>
      <c r="D75" s="48"/>
      <c r="E75" s="225"/>
      <c r="F75" s="67">
        <v>4.0</v>
      </c>
      <c r="G75" s="68">
        <v>5.0</v>
      </c>
      <c r="H75" s="69">
        <v>5.0</v>
      </c>
      <c r="I75" s="214">
        <v>44958.0</v>
      </c>
      <c r="J75" s="105">
        <v>3.0</v>
      </c>
      <c r="K75" s="76">
        <v>4.0</v>
      </c>
      <c r="L75" s="76">
        <v>3.0</v>
      </c>
      <c r="M75" s="76">
        <v>3.0</v>
      </c>
      <c r="N75" s="76">
        <v>3.0</v>
      </c>
      <c r="O75" s="163">
        <v>4.0</v>
      </c>
      <c r="P75" s="76">
        <v>3.0</v>
      </c>
      <c r="Q75" s="164">
        <v>4.0</v>
      </c>
      <c r="R75" s="105">
        <f t="shared" si="5"/>
        <v>3</v>
      </c>
      <c r="S75" s="165">
        <v>3.087301587</v>
      </c>
      <c r="T75" s="17"/>
    </row>
    <row r="76" ht="15.75" customHeight="1">
      <c r="A76" s="11"/>
      <c r="B76" s="187"/>
      <c r="C76" s="107" t="s">
        <v>107</v>
      </c>
      <c r="D76" s="108"/>
      <c r="E76" s="226"/>
      <c r="F76" s="169">
        <v>3.0</v>
      </c>
      <c r="G76" s="170">
        <v>6.0</v>
      </c>
      <c r="H76" s="205">
        <v>5.0</v>
      </c>
      <c r="I76" s="214">
        <v>44958.0</v>
      </c>
      <c r="J76" s="53">
        <v>1.0</v>
      </c>
      <c r="K76" s="54">
        <v>2.0</v>
      </c>
      <c r="L76" s="54">
        <v>1.0</v>
      </c>
      <c r="M76" s="227">
        <v>1.0</v>
      </c>
      <c r="N76" s="54">
        <v>2.0</v>
      </c>
      <c r="O76" s="146">
        <v>1.0</v>
      </c>
      <c r="P76" s="54">
        <v>2.0</v>
      </c>
      <c r="Q76" s="172">
        <v>2.0</v>
      </c>
      <c r="R76" s="53">
        <f t="shared" si="5"/>
        <v>3</v>
      </c>
      <c r="S76" s="173">
        <v>2.76284585</v>
      </c>
      <c r="T76" s="17"/>
    </row>
    <row r="77" ht="15.75" customHeight="1">
      <c r="A77" s="11"/>
      <c r="C77" s="101" t="s">
        <v>108</v>
      </c>
      <c r="D77" s="16"/>
      <c r="E77" s="210" t="s">
        <v>71</v>
      </c>
      <c r="F77" s="211" t="s">
        <v>68</v>
      </c>
      <c r="G77" s="212" t="s">
        <v>68</v>
      </c>
      <c r="H77" s="208">
        <v>6.0</v>
      </c>
      <c r="I77" s="214">
        <v>44987.0</v>
      </c>
      <c r="J77" s="61">
        <v>1.0</v>
      </c>
      <c r="K77" s="75">
        <v>3.0</v>
      </c>
      <c r="L77" s="75">
        <v>3.0</v>
      </c>
      <c r="M77" s="75">
        <v>1.0</v>
      </c>
      <c r="N77" s="75">
        <v>2.0</v>
      </c>
      <c r="O77" s="192">
        <v>3.0</v>
      </c>
      <c r="P77" s="75">
        <v>3.0</v>
      </c>
      <c r="Q77" s="193">
        <v>4.0</v>
      </c>
      <c r="R77" s="61">
        <f t="shared" si="5"/>
        <v>5</v>
      </c>
      <c r="S77" s="194">
        <v>3.968379447</v>
      </c>
      <c r="T77" s="17"/>
    </row>
    <row r="78" ht="15.75" customHeight="1">
      <c r="A78" s="11"/>
      <c r="B78" s="121"/>
      <c r="C78" s="195" t="s">
        <v>109</v>
      </c>
      <c r="D78" s="196"/>
      <c r="E78" s="124"/>
      <c r="F78" s="125"/>
      <c r="G78" s="125"/>
      <c r="H78" s="125"/>
      <c r="I78" s="126"/>
      <c r="J78" s="127"/>
      <c r="K78" s="128"/>
      <c r="L78" s="129"/>
      <c r="M78" s="130"/>
      <c r="N78" s="131"/>
      <c r="O78" s="130"/>
      <c r="P78" s="128"/>
      <c r="Q78" s="132"/>
      <c r="R78" s="133"/>
      <c r="S78" s="134"/>
      <c r="T78" s="17"/>
    </row>
    <row r="79" ht="15.75" customHeight="1">
      <c r="A79" s="11"/>
      <c r="B79" s="135"/>
      <c r="C79" s="136"/>
      <c r="D79" s="137"/>
      <c r="E79" s="138"/>
      <c r="F79" s="85"/>
      <c r="G79" s="85"/>
      <c r="H79" s="86"/>
      <c r="I79" s="120"/>
      <c r="J79" s="87" t="s">
        <v>1</v>
      </c>
      <c r="K79" s="88" t="s">
        <v>2</v>
      </c>
      <c r="L79" s="139" t="s">
        <v>3</v>
      </c>
      <c r="M79" s="140" t="s">
        <v>4</v>
      </c>
      <c r="N79" s="91" t="s">
        <v>13</v>
      </c>
      <c r="O79" s="38" t="s">
        <v>14</v>
      </c>
      <c r="P79" s="88" t="s">
        <v>15</v>
      </c>
      <c r="Q79" s="44" t="s">
        <v>16</v>
      </c>
      <c r="R79" s="95" t="s">
        <v>9</v>
      </c>
      <c r="S79" s="96"/>
      <c r="T79" s="17"/>
    </row>
    <row r="80" ht="15.75" customHeight="1">
      <c r="A80" s="11"/>
      <c r="B80" s="46"/>
      <c r="C80" s="66" t="s">
        <v>110</v>
      </c>
      <c r="D80" s="48"/>
      <c r="E80" s="228" t="s">
        <v>39</v>
      </c>
      <c r="F80" s="67">
        <v>3.0</v>
      </c>
      <c r="G80" s="68">
        <v>2.0</v>
      </c>
      <c r="H80" s="69">
        <v>2.0</v>
      </c>
      <c r="I80" s="120"/>
      <c r="J80" s="53">
        <v>2.0</v>
      </c>
      <c r="K80" s="56">
        <v>2.0</v>
      </c>
      <c r="L80" s="56">
        <v>2.0</v>
      </c>
      <c r="M80" s="56">
        <v>3.0</v>
      </c>
      <c r="N80" s="56">
        <v>2.0</v>
      </c>
      <c r="O80" s="146">
        <v>3.0</v>
      </c>
      <c r="P80" s="147">
        <v>2.0</v>
      </c>
      <c r="Q80" s="148">
        <v>3.0</v>
      </c>
      <c r="R80" s="53">
        <f t="shared" ref="R80:R89" si="6">ROUND(5+(4*S80)/(4.23-1.53)-(4*4.23)/(4.23-1.53),0)</f>
        <v>3</v>
      </c>
      <c r="S80" s="149">
        <v>2.825203252</v>
      </c>
      <c r="T80" s="17"/>
    </row>
    <row r="81" ht="15.75" customHeight="1">
      <c r="A81" s="11"/>
      <c r="C81" s="66" t="s">
        <v>111</v>
      </c>
      <c r="D81" s="48"/>
      <c r="E81" s="206" t="s">
        <v>112</v>
      </c>
      <c r="F81" s="216" t="s">
        <v>68</v>
      </c>
      <c r="G81" s="217" t="s">
        <v>68</v>
      </c>
      <c r="H81" s="69">
        <v>3.0</v>
      </c>
      <c r="I81" s="120"/>
      <c r="J81" s="61">
        <v>1.0</v>
      </c>
      <c r="K81" s="55">
        <v>2.0</v>
      </c>
      <c r="L81" s="55">
        <v>2.0</v>
      </c>
      <c r="M81" s="55">
        <v>1.0</v>
      </c>
      <c r="N81" s="55">
        <v>3.0</v>
      </c>
      <c r="O81" s="156">
        <v>2.0</v>
      </c>
      <c r="P81" s="55">
        <v>2.0</v>
      </c>
      <c r="Q81" s="157">
        <v>2.0</v>
      </c>
      <c r="R81" s="61">
        <f t="shared" si="6"/>
        <v>3</v>
      </c>
      <c r="S81" s="158">
        <v>2.573170732</v>
      </c>
      <c r="T81" s="17"/>
    </row>
    <row r="82" ht="15.75" customHeight="1">
      <c r="A82" s="11"/>
      <c r="C82" s="117" t="s">
        <v>113</v>
      </c>
      <c r="D82" s="23"/>
      <c r="E82" s="218" t="s">
        <v>71</v>
      </c>
      <c r="F82" s="219" t="s">
        <v>68</v>
      </c>
      <c r="G82" s="220" t="s">
        <v>68</v>
      </c>
      <c r="H82" s="203">
        <v>7.0</v>
      </c>
      <c r="I82" s="120"/>
      <c r="J82" s="61">
        <v>2.0</v>
      </c>
      <c r="K82" s="76">
        <v>2.0</v>
      </c>
      <c r="L82" s="76">
        <v>2.0</v>
      </c>
      <c r="M82" s="76">
        <v>1.0</v>
      </c>
      <c r="N82" s="76">
        <v>1.0</v>
      </c>
      <c r="O82" s="163">
        <v>1.0</v>
      </c>
      <c r="P82" s="76">
        <v>2.0</v>
      </c>
      <c r="Q82" s="164">
        <v>2.0</v>
      </c>
      <c r="R82" s="61">
        <f t="shared" si="6"/>
        <v>2</v>
      </c>
      <c r="S82" s="165">
        <v>2.146341463</v>
      </c>
      <c r="T82" s="17"/>
    </row>
    <row r="83" ht="15.75" customHeight="1">
      <c r="A83" s="11"/>
      <c r="B83" s="166"/>
      <c r="C83" s="66" t="s">
        <v>114</v>
      </c>
      <c r="D83" s="48"/>
      <c r="E83" s="223" t="s">
        <v>77</v>
      </c>
      <c r="F83" s="69">
        <v>2.0</v>
      </c>
      <c r="G83" s="69">
        <v>2.0</v>
      </c>
      <c r="H83" s="69">
        <v>3.0</v>
      </c>
      <c r="I83" s="120"/>
      <c r="J83" s="53">
        <v>2.0</v>
      </c>
      <c r="K83" s="54">
        <v>2.0</v>
      </c>
      <c r="L83" s="54">
        <v>3.0</v>
      </c>
      <c r="M83" s="54">
        <v>2.0</v>
      </c>
      <c r="N83" s="54">
        <v>2.0</v>
      </c>
      <c r="O83" s="146">
        <v>1.0</v>
      </c>
      <c r="P83" s="54">
        <v>2.0</v>
      </c>
      <c r="Q83" s="172">
        <v>2.0</v>
      </c>
      <c r="R83" s="53">
        <f t="shared" si="6"/>
        <v>3</v>
      </c>
      <c r="S83" s="173">
        <v>2.628571429</v>
      </c>
      <c r="T83" s="17"/>
    </row>
    <row r="84" ht="15.75" customHeight="1">
      <c r="A84" s="11"/>
      <c r="C84" s="66" t="s">
        <v>115</v>
      </c>
      <c r="D84" s="48"/>
      <c r="E84" s="213" t="s">
        <v>116</v>
      </c>
      <c r="F84" s="67">
        <v>3.0</v>
      </c>
      <c r="G84" s="68">
        <v>3.0</v>
      </c>
      <c r="H84" s="69">
        <v>4.0</v>
      </c>
      <c r="I84" s="120"/>
      <c r="J84" s="61">
        <v>2.0</v>
      </c>
      <c r="K84" s="55">
        <v>2.0</v>
      </c>
      <c r="L84" s="55">
        <v>3.0</v>
      </c>
      <c r="M84" s="55">
        <v>1.0</v>
      </c>
      <c r="N84" s="55">
        <v>2.0</v>
      </c>
      <c r="O84" s="156">
        <v>2.0</v>
      </c>
      <c r="P84" s="55">
        <v>2.0</v>
      </c>
      <c r="Q84" s="157">
        <v>2.0</v>
      </c>
      <c r="R84" s="61">
        <f t="shared" si="6"/>
        <v>2</v>
      </c>
      <c r="S84" s="158">
        <v>2.287449393</v>
      </c>
      <c r="T84" s="17"/>
    </row>
    <row r="85" ht="15.75" customHeight="1">
      <c r="A85" s="11"/>
      <c r="C85" s="117" t="s">
        <v>117</v>
      </c>
      <c r="D85" s="23"/>
      <c r="E85" s="206" t="s">
        <v>118</v>
      </c>
      <c r="F85" s="219" t="s">
        <v>68</v>
      </c>
      <c r="G85" s="220" t="s">
        <v>68</v>
      </c>
      <c r="H85" s="203">
        <v>5.0</v>
      </c>
      <c r="I85" s="120"/>
      <c r="J85" s="105">
        <v>2.0</v>
      </c>
      <c r="K85" s="76">
        <v>2.0</v>
      </c>
      <c r="L85" s="76">
        <v>3.0</v>
      </c>
      <c r="M85" s="76">
        <v>1.0</v>
      </c>
      <c r="N85" s="76">
        <v>2.0</v>
      </c>
      <c r="O85" s="163">
        <v>2.0</v>
      </c>
      <c r="P85" s="76">
        <v>3.0</v>
      </c>
      <c r="Q85" s="164">
        <v>3.0</v>
      </c>
      <c r="R85" s="105">
        <f t="shared" si="6"/>
        <v>3</v>
      </c>
      <c r="S85" s="165">
        <v>2.918699187</v>
      </c>
      <c r="T85" s="17"/>
    </row>
    <row r="86" ht="15.75" customHeight="1">
      <c r="A86" s="11"/>
      <c r="B86" s="180"/>
      <c r="C86" s="66" t="s">
        <v>119</v>
      </c>
      <c r="D86" s="48"/>
      <c r="E86" s="168" t="s">
        <v>71</v>
      </c>
      <c r="F86" s="216" t="s">
        <v>68</v>
      </c>
      <c r="G86" s="217" t="s">
        <v>68</v>
      </c>
      <c r="H86" s="69">
        <v>0.0</v>
      </c>
      <c r="I86" s="120"/>
      <c r="J86" s="53">
        <v>2.0</v>
      </c>
      <c r="K86" s="54">
        <v>2.0</v>
      </c>
      <c r="L86" s="54">
        <v>1.0</v>
      </c>
      <c r="M86" s="54">
        <v>2.0</v>
      </c>
      <c r="N86" s="54">
        <v>2.0</v>
      </c>
      <c r="O86" s="146">
        <v>1.0</v>
      </c>
      <c r="P86" s="54">
        <v>1.0</v>
      </c>
      <c r="Q86" s="172">
        <v>3.0</v>
      </c>
      <c r="R86" s="53">
        <f t="shared" si="6"/>
        <v>3</v>
      </c>
      <c r="S86" s="173">
        <v>2.63562753</v>
      </c>
      <c r="T86" s="17"/>
    </row>
    <row r="87" ht="15.75" customHeight="1">
      <c r="A87" s="11"/>
      <c r="C87" s="117" t="s">
        <v>120</v>
      </c>
      <c r="D87" s="23"/>
      <c r="E87" s="229" t="s">
        <v>51</v>
      </c>
      <c r="F87" s="201">
        <v>1.0</v>
      </c>
      <c r="G87" s="202">
        <v>2.0</v>
      </c>
      <c r="H87" s="203">
        <v>1.0</v>
      </c>
      <c r="I87" s="120"/>
      <c r="J87" s="105">
        <v>2.0</v>
      </c>
      <c r="K87" s="76">
        <v>3.0</v>
      </c>
      <c r="L87" s="76">
        <v>4.0</v>
      </c>
      <c r="M87" s="76">
        <v>2.0</v>
      </c>
      <c r="N87" s="76">
        <v>2.0</v>
      </c>
      <c r="O87" s="163">
        <v>1.0</v>
      </c>
      <c r="P87" s="76">
        <v>3.0</v>
      </c>
      <c r="Q87" s="164">
        <v>3.0</v>
      </c>
      <c r="R87" s="105">
        <f t="shared" si="6"/>
        <v>2</v>
      </c>
      <c r="S87" s="165">
        <v>2.093117409</v>
      </c>
      <c r="T87" s="17"/>
    </row>
    <row r="88" ht="15.75" customHeight="1">
      <c r="A88" s="11"/>
      <c r="B88" s="187"/>
      <c r="C88" s="107" t="s">
        <v>121</v>
      </c>
      <c r="D88" s="108"/>
      <c r="E88" s="209" t="s">
        <v>94</v>
      </c>
      <c r="F88" s="204" t="s">
        <v>68</v>
      </c>
      <c r="G88" s="204" t="s">
        <v>68</v>
      </c>
      <c r="H88" s="205">
        <v>5.0</v>
      </c>
      <c r="I88" s="120"/>
      <c r="J88" s="53">
        <v>4.0</v>
      </c>
      <c r="K88" s="54">
        <v>3.0</v>
      </c>
      <c r="L88" s="54">
        <v>3.0</v>
      </c>
      <c r="M88" s="54">
        <v>1.0</v>
      </c>
      <c r="N88" s="54">
        <v>2.0</v>
      </c>
      <c r="O88" s="146">
        <v>3.0</v>
      </c>
      <c r="P88" s="54">
        <v>3.0</v>
      </c>
      <c r="Q88" s="172">
        <v>3.0</v>
      </c>
      <c r="R88" s="53">
        <f t="shared" si="6"/>
        <v>4</v>
      </c>
      <c r="S88" s="173">
        <v>3.670682731</v>
      </c>
      <c r="T88" s="17"/>
    </row>
    <row r="89" ht="15.75" customHeight="1">
      <c r="A89" s="11"/>
      <c r="C89" s="101" t="s">
        <v>122</v>
      </c>
      <c r="D89" s="16"/>
      <c r="E89" s="230"/>
      <c r="F89" s="231">
        <v>5.0</v>
      </c>
      <c r="G89" s="232">
        <v>5.0</v>
      </c>
      <c r="H89" s="208">
        <v>5.0</v>
      </c>
      <c r="I89" s="120"/>
      <c r="J89" s="61">
        <v>2.0</v>
      </c>
      <c r="K89" s="75">
        <v>3.0</v>
      </c>
      <c r="L89" s="75">
        <v>4.0</v>
      </c>
      <c r="M89" s="75">
        <v>3.0</v>
      </c>
      <c r="N89" s="75">
        <v>2.0</v>
      </c>
      <c r="O89" s="192">
        <v>3.0</v>
      </c>
      <c r="P89" s="75">
        <v>2.0</v>
      </c>
      <c r="Q89" s="193">
        <v>3.0</v>
      </c>
      <c r="R89" s="61">
        <f t="shared" si="6"/>
        <v>3</v>
      </c>
      <c r="S89" s="194">
        <v>3.137096774</v>
      </c>
      <c r="T89" s="17"/>
    </row>
    <row r="90" ht="15.75" customHeight="1">
      <c r="A90" s="11"/>
      <c r="B90" s="121"/>
      <c r="C90" s="195" t="s">
        <v>123</v>
      </c>
      <c r="D90" s="196"/>
      <c r="E90" s="124"/>
      <c r="F90" s="125"/>
      <c r="G90" s="125"/>
      <c r="H90" s="125"/>
      <c r="I90" s="126"/>
      <c r="J90" s="127"/>
      <c r="K90" s="128"/>
      <c r="L90" s="129"/>
      <c r="M90" s="130"/>
      <c r="N90" s="131"/>
      <c r="O90" s="130"/>
      <c r="P90" s="128"/>
      <c r="Q90" s="132"/>
      <c r="R90" s="133"/>
      <c r="S90" s="134"/>
      <c r="T90" s="17"/>
    </row>
    <row r="91" ht="15.75" customHeight="1">
      <c r="A91" s="11"/>
      <c r="B91" s="135"/>
      <c r="C91" s="136"/>
      <c r="D91" s="137"/>
      <c r="E91" s="138"/>
      <c r="F91" s="85"/>
      <c r="G91" s="85"/>
      <c r="H91" s="86"/>
      <c r="I91" s="120"/>
      <c r="J91" s="87" t="s">
        <v>1</v>
      </c>
      <c r="K91" s="88" t="s">
        <v>2</v>
      </c>
      <c r="L91" s="139" t="s">
        <v>3</v>
      </c>
      <c r="M91" s="140" t="s">
        <v>4</v>
      </c>
      <c r="N91" s="91" t="s">
        <v>13</v>
      </c>
      <c r="O91" s="38" t="s">
        <v>14</v>
      </c>
      <c r="P91" s="88" t="s">
        <v>15</v>
      </c>
      <c r="Q91" s="44" t="s">
        <v>16</v>
      </c>
      <c r="R91" s="95" t="s">
        <v>9</v>
      </c>
      <c r="S91" s="96"/>
      <c r="T91" s="17"/>
    </row>
    <row r="92" ht="15.75" customHeight="1">
      <c r="A92" s="11"/>
      <c r="B92" s="46"/>
      <c r="C92" s="66" t="s">
        <v>124</v>
      </c>
      <c r="D92" s="48"/>
      <c r="E92" s="233" t="s">
        <v>71</v>
      </c>
      <c r="F92" s="216" t="s">
        <v>68</v>
      </c>
      <c r="G92" s="217" t="s">
        <v>68</v>
      </c>
      <c r="H92" s="69">
        <v>1.0</v>
      </c>
      <c r="I92" s="120"/>
      <c r="J92" s="53">
        <v>1.0</v>
      </c>
      <c r="K92" s="56">
        <v>1.0</v>
      </c>
      <c r="L92" s="56">
        <v>1.0</v>
      </c>
      <c r="M92" s="56">
        <v>1.0</v>
      </c>
      <c r="N92" s="56">
        <v>2.0</v>
      </c>
      <c r="O92" s="146">
        <v>1.0</v>
      </c>
      <c r="P92" s="147">
        <v>2.0</v>
      </c>
      <c r="Q92" s="148">
        <v>3.0</v>
      </c>
      <c r="R92" s="53">
        <f t="shared" ref="R92:R101" si="7">ROUND(5+(4*S92)/(4.23-1.53)-(4*4.23)/(4.23-1.53),0)</f>
        <v>3</v>
      </c>
      <c r="S92" s="149">
        <v>2.620967742</v>
      </c>
      <c r="T92" s="17"/>
    </row>
    <row r="93" ht="15.75" customHeight="1">
      <c r="A93" s="11"/>
      <c r="C93" s="66" t="s">
        <v>125</v>
      </c>
      <c r="D93" s="48"/>
      <c r="E93" s="213" t="s">
        <v>126</v>
      </c>
      <c r="F93" s="216">
        <v>4.0</v>
      </c>
      <c r="G93" s="217">
        <v>1.0</v>
      </c>
      <c r="H93" s="69">
        <v>2.0</v>
      </c>
      <c r="I93" s="120"/>
      <c r="J93" s="61">
        <v>2.0</v>
      </c>
      <c r="K93" s="55">
        <v>3.0</v>
      </c>
      <c r="L93" s="55">
        <v>1.0</v>
      </c>
      <c r="M93" s="55">
        <v>3.0</v>
      </c>
      <c r="N93" s="55">
        <v>2.0</v>
      </c>
      <c r="O93" s="156">
        <v>1.0</v>
      </c>
      <c r="P93" s="55">
        <v>1.0</v>
      </c>
      <c r="Q93" s="157">
        <v>3.0</v>
      </c>
      <c r="R93" s="61">
        <f t="shared" si="7"/>
        <v>2</v>
      </c>
      <c r="S93" s="158">
        <v>1.975806452</v>
      </c>
      <c r="T93" s="17"/>
    </row>
    <row r="94" ht="15.75" customHeight="1">
      <c r="A94" s="11"/>
      <c r="C94" s="101" t="s">
        <v>127</v>
      </c>
      <c r="D94" s="16"/>
      <c r="E94" s="210" t="s">
        <v>71</v>
      </c>
      <c r="F94" s="211" t="s">
        <v>68</v>
      </c>
      <c r="G94" s="212" t="s">
        <v>68</v>
      </c>
      <c r="H94" s="208">
        <v>3.0</v>
      </c>
      <c r="I94" s="120"/>
      <c r="J94" s="61">
        <v>1.0</v>
      </c>
      <c r="K94" s="76">
        <v>3.0</v>
      </c>
      <c r="L94" s="76">
        <v>3.0</v>
      </c>
      <c r="M94" s="76">
        <v>1.0</v>
      </c>
      <c r="N94" s="76">
        <v>1.0</v>
      </c>
      <c r="O94" s="163">
        <v>3.0</v>
      </c>
      <c r="P94" s="76">
        <v>1.0</v>
      </c>
      <c r="Q94" s="164">
        <v>3.0</v>
      </c>
      <c r="R94" s="61">
        <f t="shared" si="7"/>
        <v>3</v>
      </c>
      <c r="S94" s="165">
        <v>2.665322581</v>
      </c>
      <c r="T94" s="17"/>
    </row>
    <row r="95" ht="15.75" customHeight="1">
      <c r="A95" s="11"/>
      <c r="B95" s="166"/>
      <c r="C95" s="107" t="s">
        <v>128</v>
      </c>
      <c r="D95" s="108"/>
      <c r="E95" s="168" t="s">
        <v>104</v>
      </c>
      <c r="F95" s="169" t="s">
        <v>68</v>
      </c>
      <c r="G95" s="170" t="s">
        <v>68</v>
      </c>
      <c r="H95" s="205">
        <v>2.0</v>
      </c>
      <c r="I95" s="120"/>
      <c r="J95" s="53">
        <v>1.0</v>
      </c>
      <c r="K95" s="54">
        <v>2.0</v>
      </c>
      <c r="L95" s="55">
        <v>4.0</v>
      </c>
      <c r="M95" s="54">
        <v>1.0</v>
      </c>
      <c r="N95" s="54">
        <v>2.0</v>
      </c>
      <c r="O95" s="146">
        <v>2.0</v>
      </c>
      <c r="P95" s="54">
        <v>1.0</v>
      </c>
      <c r="Q95" s="172">
        <v>3.0</v>
      </c>
      <c r="R95" s="53">
        <f t="shared" si="7"/>
        <v>2</v>
      </c>
      <c r="S95" s="173">
        <v>2.48582996</v>
      </c>
      <c r="T95" s="17"/>
    </row>
    <row r="96" ht="15.75" customHeight="1">
      <c r="A96" s="11"/>
      <c r="C96" s="66" t="s">
        <v>129</v>
      </c>
      <c r="D96" s="48"/>
      <c r="E96" s="225" t="s">
        <v>20</v>
      </c>
      <c r="F96" s="67">
        <v>4.0</v>
      </c>
      <c r="G96" s="68">
        <v>3.0</v>
      </c>
      <c r="H96" s="69">
        <v>3.0</v>
      </c>
      <c r="I96" s="120"/>
      <c r="J96" s="61">
        <v>3.0</v>
      </c>
      <c r="K96" s="55">
        <v>3.0</v>
      </c>
      <c r="L96" s="55">
        <v>3.0</v>
      </c>
      <c r="M96" s="55">
        <v>1.0</v>
      </c>
      <c r="N96" s="55">
        <v>1.0</v>
      </c>
      <c r="O96" s="156">
        <v>3.0</v>
      </c>
      <c r="P96" s="55">
        <v>2.0</v>
      </c>
      <c r="Q96" s="157">
        <v>3.0</v>
      </c>
      <c r="R96" s="61">
        <f t="shared" si="7"/>
        <v>2</v>
      </c>
      <c r="S96" s="158">
        <v>2.27016129</v>
      </c>
      <c r="T96" s="17"/>
    </row>
    <row r="97" ht="15.75" customHeight="1">
      <c r="A97" s="11"/>
      <c r="C97" s="101" t="s">
        <v>130</v>
      </c>
      <c r="D97" s="16"/>
      <c r="E97" s="230"/>
      <c r="F97" s="231">
        <v>1.0</v>
      </c>
      <c r="G97" s="232">
        <v>3.0</v>
      </c>
      <c r="H97" s="208">
        <v>3.0</v>
      </c>
      <c r="I97" s="120"/>
      <c r="J97" s="105">
        <v>2.0</v>
      </c>
      <c r="K97" s="76">
        <v>3.0</v>
      </c>
      <c r="L97" s="76">
        <v>1.0</v>
      </c>
      <c r="M97" s="76">
        <v>2.0</v>
      </c>
      <c r="N97" s="76">
        <v>2.0</v>
      </c>
      <c r="O97" s="163">
        <v>1.0</v>
      </c>
      <c r="P97" s="76">
        <v>1.0</v>
      </c>
      <c r="Q97" s="164">
        <v>3.0</v>
      </c>
      <c r="R97" s="105">
        <f t="shared" si="7"/>
        <v>2</v>
      </c>
      <c r="S97" s="165">
        <v>2.497975709</v>
      </c>
      <c r="T97" s="17"/>
    </row>
    <row r="98" ht="15.75" customHeight="1">
      <c r="A98" s="11"/>
      <c r="B98" s="180"/>
      <c r="C98" s="221" t="s">
        <v>131</v>
      </c>
      <c r="D98" s="234"/>
      <c r="E98" s="235" t="s">
        <v>104</v>
      </c>
      <c r="F98" s="204" t="s">
        <v>68</v>
      </c>
      <c r="G98" s="204" t="s">
        <v>68</v>
      </c>
      <c r="H98" s="236">
        <v>1.0</v>
      </c>
      <c r="I98" s="237"/>
      <c r="J98" s="53">
        <v>4.0</v>
      </c>
      <c r="K98" s="54">
        <v>3.0</v>
      </c>
      <c r="L98" s="54">
        <v>1.0</v>
      </c>
      <c r="M98" s="54">
        <v>3.0</v>
      </c>
      <c r="N98" s="54">
        <v>3.0</v>
      </c>
      <c r="O98" s="146">
        <v>4.0</v>
      </c>
      <c r="P98" s="54">
        <v>3.0</v>
      </c>
      <c r="Q98" s="172">
        <v>4.0</v>
      </c>
      <c r="R98" s="53">
        <f t="shared" si="7"/>
        <v>4</v>
      </c>
      <c r="S98" s="173">
        <v>3.854251012</v>
      </c>
      <c r="T98" s="17"/>
    </row>
    <row r="99" ht="15.75" customHeight="1">
      <c r="A99" s="11"/>
      <c r="C99" s="238" t="s">
        <v>132</v>
      </c>
      <c r="D99" s="239"/>
      <c r="E99" s="179" t="s">
        <v>77</v>
      </c>
      <c r="F99" s="240">
        <v>2.0</v>
      </c>
      <c r="G99" s="241">
        <v>2.0</v>
      </c>
      <c r="H99" s="242">
        <v>3.0</v>
      </c>
      <c r="I99" s="237"/>
      <c r="J99" s="105">
        <v>4.0</v>
      </c>
      <c r="K99" s="76">
        <v>3.0</v>
      </c>
      <c r="L99" s="76">
        <v>3.0</v>
      </c>
      <c r="M99" s="76">
        <v>2.0</v>
      </c>
      <c r="N99" s="76">
        <v>3.0</v>
      </c>
      <c r="O99" s="163">
        <v>3.0</v>
      </c>
      <c r="P99" s="76">
        <v>1.0</v>
      </c>
      <c r="Q99" s="164">
        <v>4.0</v>
      </c>
      <c r="R99" s="105">
        <f t="shared" si="7"/>
        <v>4</v>
      </c>
      <c r="S99" s="165">
        <v>3.564516129</v>
      </c>
      <c r="T99" s="17"/>
    </row>
    <row r="100" ht="15.75" customHeight="1">
      <c r="A100" s="11"/>
      <c r="B100" s="187"/>
      <c r="C100" s="66" t="s">
        <v>133</v>
      </c>
      <c r="D100" s="48"/>
      <c r="E100" s="206" t="s">
        <v>71</v>
      </c>
      <c r="F100" s="216" t="s">
        <v>68</v>
      </c>
      <c r="G100" s="216" t="s">
        <v>68</v>
      </c>
      <c r="H100" s="243">
        <v>3.0</v>
      </c>
      <c r="I100" s="120"/>
      <c r="J100" s="53">
        <v>1.0</v>
      </c>
      <c r="K100" s="54">
        <v>2.0</v>
      </c>
      <c r="L100" s="54">
        <v>1.0</v>
      </c>
      <c r="M100" s="54">
        <v>1.0</v>
      </c>
      <c r="N100" s="54">
        <v>2.0</v>
      </c>
      <c r="O100" s="146">
        <v>3.0</v>
      </c>
      <c r="P100" s="54">
        <v>1.0</v>
      </c>
      <c r="Q100" s="172">
        <v>4.0</v>
      </c>
      <c r="R100" s="53">
        <f t="shared" si="7"/>
        <v>5</v>
      </c>
      <c r="S100" s="173">
        <v>4.044176707</v>
      </c>
      <c r="T100" s="17"/>
    </row>
    <row r="101" ht="15.75" customHeight="1">
      <c r="A101" s="11"/>
      <c r="C101" s="101" t="s">
        <v>134</v>
      </c>
      <c r="D101" s="16"/>
      <c r="E101" s="230" t="s">
        <v>20</v>
      </c>
      <c r="F101" s="231">
        <v>3.0</v>
      </c>
      <c r="G101" s="232">
        <v>4.0</v>
      </c>
      <c r="H101" s="208">
        <v>5.0</v>
      </c>
      <c r="I101" s="120"/>
      <c r="J101" s="61">
        <v>1.0</v>
      </c>
      <c r="K101" s="75">
        <v>2.0</v>
      </c>
      <c r="L101" s="75">
        <v>4.0</v>
      </c>
      <c r="M101" s="75">
        <v>2.0</v>
      </c>
      <c r="N101" s="75">
        <v>1.0</v>
      </c>
      <c r="O101" s="192">
        <v>1.0</v>
      </c>
      <c r="P101" s="75">
        <v>1.0</v>
      </c>
      <c r="Q101" s="193">
        <v>2.0</v>
      </c>
      <c r="R101" s="61">
        <f t="shared" si="7"/>
        <v>3</v>
      </c>
      <c r="S101" s="194">
        <v>2.725099602</v>
      </c>
      <c r="T101" s="17"/>
    </row>
    <row r="102" ht="15.75" customHeight="1">
      <c r="A102" s="11"/>
      <c r="B102" s="121"/>
      <c r="C102" s="195" t="s">
        <v>135</v>
      </c>
      <c r="D102" s="196"/>
      <c r="E102" s="124"/>
      <c r="F102" s="125"/>
      <c r="G102" s="125"/>
      <c r="H102" s="125"/>
      <c r="I102" s="126"/>
      <c r="J102" s="127"/>
      <c r="K102" s="128"/>
      <c r="L102" s="129"/>
      <c r="M102" s="130"/>
      <c r="N102" s="131"/>
      <c r="O102" s="130"/>
      <c r="P102" s="128"/>
      <c r="Q102" s="132"/>
      <c r="R102" s="133"/>
      <c r="S102" s="134"/>
      <c r="T102" s="17"/>
    </row>
    <row r="103" ht="15.75" customHeight="1">
      <c r="A103" s="11"/>
      <c r="B103" s="135"/>
      <c r="C103" s="136"/>
      <c r="D103" s="137"/>
      <c r="E103" s="138"/>
      <c r="F103" s="85"/>
      <c r="G103" s="85"/>
      <c r="H103" s="86"/>
      <c r="I103" s="120"/>
      <c r="J103" s="87" t="s">
        <v>1</v>
      </c>
      <c r="K103" s="88" t="s">
        <v>2</v>
      </c>
      <c r="L103" s="139" t="s">
        <v>3</v>
      </c>
      <c r="M103" s="140" t="s">
        <v>4</v>
      </c>
      <c r="N103" s="91" t="s">
        <v>13</v>
      </c>
      <c r="O103" s="38" t="s">
        <v>14</v>
      </c>
      <c r="P103" s="88" t="s">
        <v>15</v>
      </c>
      <c r="Q103" s="44" t="s">
        <v>16</v>
      </c>
      <c r="R103" s="95" t="s">
        <v>9</v>
      </c>
      <c r="S103" s="96"/>
      <c r="T103" s="17"/>
    </row>
    <row r="104" ht="15.75" customHeight="1">
      <c r="A104" s="11"/>
      <c r="B104" s="46"/>
      <c r="C104" s="66" t="s">
        <v>136</v>
      </c>
      <c r="D104" s="48"/>
      <c r="E104" s="225"/>
      <c r="F104" s="67">
        <v>1.0</v>
      </c>
      <c r="G104" s="68">
        <v>1.0</v>
      </c>
      <c r="H104" s="69">
        <v>1.0</v>
      </c>
      <c r="I104" s="120"/>
      <c r="J104" s="53">
        <v>1.0</v>
      </c>
      <c r="K104" s="56">
        <v>4.0</v>
      </c>
      <c r="L104" s="56">
        <v>3.0</v>
      </c>
      <c r="M104" s="56">
        <v>2.0</v>
      </c>
      <c r="N104" s="56">
        <v>3.0</v>
      </c>
      <c r="O104" s="146">
        <v>1.0</v>
      </c>
      <c r="P104" s="147">
        <v>1.0</v>
      </c>
      <c r="Q104" s="148">
        <v>2.0</v>
      </c>
      <c r="R104" s="53">
        <f t="shared" ref="R104:R113" si="8">ROUND(5+(4*S104)/(4.23-1.53)-(4*4.23)/(4.23-1.53),0)</f>
        <v>3</v>
      </c>
      <c r="S104" s="149">
        <v>2.906122449</v>
      </c>
      <c r="T104" s="17"/>
    </row>
    <row r="105" ht="15.75" customHeight="1">
      <c r="A105" s="11"/>
      <c r="C105" s="66" t="s">
        <v>137</v>
      </c>
      <c r="D105" s="48"/>
      <c r="E105" s="206" t="s">
        <v>71</v>
      </c>
      <c r="F105" s="216" t="s">
        <v>68</v>
      </c>
      <c r="G105" s="217" t="s">
        <v>68</v>
      </c>
      <c r="H105" s="69">
        <v>2.0</v>
      </c>
      <c r="I105" s="120"/>
      <c r="J105" s="61">
        <v>2.0</v>
      </c>
      <c r="K105" s="55">
        <v>2.0</v>
      </c>
      <c r="L105" s="55">
        <v>1.0</v>
      </c>
      <c r="M105" s="55">
        <v>2.0</v>
      </c>
      <c r="N105" s="55">
        <v>2.0</v>
      </c>
      <c r="O105" s="156">
        <v>2.0</v>
      </c>
      <c r="P105" s="55">
        <v>1.0</v>
      </c>
      <c r="Q105" s="157">
        <v>2.0</v>
      </c>
      <c r="R105" s="61">
        <f t="shared" si="8"/>
        <v>2</v>
      </c>
      <c r="S105" s="158">
        <v>2.469635628</v>
      </c>
      <c r="T105" s="17"/>
    </row>
    <row r="106" ht="15.75" customHeight="1">
      <c r="A106" s="11"/>
      <c r="C106" s="244" t="s">
        <v>138</v>
      </c>
      <c r="D106" s="245"/>
      <c r="E106" s="246" t="s">
        <v>71</v>
      </c>
      <c r="F106" s="247" t="s">
        <v>68</v>
      </c>
      <c r="G106" s="248" t="s">
        <v>68</v>
      </c>
      <c r="H106" s="249">
        <v>4.0</v>
      </c>
      <c r="I106" s="120"/>
      <c r="J106" s="61">
        <v>4.0</v>
      </c>
      <c r="K106" s="76">
        <v>4.0</v>
      </c>
      <c r="L106" s="76">
        <v>3.0</v>
      </c>
      <c r="M106" s="76">
        <v>3.0</v>
      </c>
      <c r="N106" s="76">
        <v>4.0</v>
      </c>
      <c r="O106" s="163">
        <v>4.0</v>
      </c>
      <c r="P106" s="76">
        <v>3.0</v>
      </c>
      <c r="Q106" s="164">
        <v>3.0</v>
      </c>
      <c r="R106" s="61">
        <f t="shared" si="8"/>
        <v>4</v>
      </c>
      <c r="S106" s="165">
        <v>3.581300813</v>
      </c>
      <c r="T106" s="17"/>
    </row>
    <row r="107" ht="15.75" customHeight="1">
      <c r="A107" s="11"/>
      <c r="B107" s="166"/>
      <c r="C107" s="107" t="s">
        <v>139</v>
      </c>
      <c r="D107" s="108"/>
      <c r="E107" s="228" t="s">
        <v>22</v>
      </c>
      <c r="F107" s="250">
        <v>2.0</v>
      </c>
      <c r="G107" s="251">
        <v>1.0</v>
      </c>
      <c r="H107" s="205">
        <v>2.0</v>
      </c>
      <c r="I107" s="120"/>
      <c r="J107" s="53">
        <v>4.0</v>
      </c>
      <c r="K107" s="54">
        <v>4.0</v>
      </c>
      <c r="L107" s="54">
        <v>4.0</v>
      </c>
      <c r="M107" s="54">
        <v>1.0</v>
      </c>
      <c r="N107" s="54">
        <v>2.0</v>
      </c>
      <c r="O107" s="146">
        <v>4.0</v>
      </c>
      <c r="P107" s="54">
        <v>4.0</v>
      </c>
      <c r="Q107" s="172">
        <v>4.0</v>
      </c>
      <c r="R107" s="53">
        <f t="shared" si="8"/>
        <v>4</v>
      </c>
      <c r="S107" s="173">
        <v>3.744939271</v>
      </c>
      <c r="T107" s="17"/>
    </row>
    <row r="108" ht="15.75" customHeight="1">
      <c r="A108" s="11"/>
      <c r="C108" s="66" t="s">
        <v>140</v>
      </c>
      <c r="D108" s="48"/>
      <c r="E108" s="206"/>
      <c r="F108" s="67">
        <v>4.0</v>
      </c>
      <c r="G108" s="68">
        <v>5.0</v>
      </c>
      <c r="H108" s="69">
        <v>5.0</v>
      </c>
      <c r="I108" s="120"/>
      <c r="J108" s="61">
        <v>5.0</v>
      </c>
      <c r="K108" s="55">
        <v>4.0</v>
      </c>
      <c r="L108" s="55">
        <v>5.0</v>
      </c>
      <c r="M108" s="55">
        <v>4.0</v>
      </c>
      <c r="N108" s="55">
        <v>3.0</v>
      </c>
      <c r="O108" s="156">
        <v>2.0</v>
      </c>
      <c r="P108" s="55">
        <v>2.0</v>
      </c>
      <c r="Q108" s="157">
        <v>3.0</v>
      </c>
      <c r="R108" s="61">
        <f t="shared" si="8"/>
        <v>3</v>
      </c>
      <c r="S108" s="158">
        <v>3.117408907</v>
      </c>
      <c r="T108" s="17"/>
    </row>
    <row r="109" ht="15.75" customHeight="1">
      <c r="A109" s="11"/>
      <c r="C109" s="117" t="s">
        <v>141</v>
      </c>
      <c r="D109" s="23"/>
      <c r="E109" s="218" t="s">
        <v>118</v>
      </c>
      <c r="F109" s="219" t="s">
        <v>68</v>
      </c>
      <c r="G109" s="220" t="s">
        <v>68</v>
      </c>
      <c r="H109" s="203">
        <v>7.0</v>
      </c>
      <c r="I109" s="120"/>
      <c r="J109" s="105">
        <v>2.0</v>
      </c>
      <c r="K109" s="76">
        <v>2.0</v>
      </c>
      <c r="L109" s="76">
        <v>1.0</v>
      </c>
      <c r="M109" s="76">
        <v>2.0</v>
      </c>
      <c r="N109" s="76">
        <v>2.0</v>
      </c>
      <c r="O109" s="163">
        <v>2.0</v>
      </c>
      <c r="P109" s="76">
        <v>2.0</v>
      </c>
      <c r="Q109" s="164">
        <v>1.0</v>
      </c>
      <c r="R109" s="105">
        <f t="shared" si="8"/>
        <v>2</v>
      </c>
      <c r="S109" s="165">
        <v>2.028455285</v>
      </c>
      <c r="T109" s="17"/>
    </row>
    <row r="110" ht="15.75" customHeight="1">
      <c r="A110" s="11"/>
      <c r="B110" s="180"/>
      <c r="C110" s="107" t="s">
        <v>142</v>
      </c>
      <c r="D110" s="108"/>
      <c r="E110" s="228" t="s">
        <v>143</v>
      </c>
      <c r="F110" s="252">
        <v>1.0</v>
      </c>
      <c r="G110" s="253">
        <v>2.0</v>
      </c>
      <c r="H110" s="205">
        <v>1.0</v>
      </c>
      <c r="I110" s="120"/>
      <c r="J110" s="53">
        <v>3.0</v>
      </c>
      <c r="K110" s="54">
        <v>4.0</v>
      </c>
      <c r="L110" s="54">
        <v>4.0</v>
      </c>
      <c r="M110" s="54">
        <v>3.0</v>
      </c>
      <c r="N110" s="54">
        <v>2.0</v>
      </c>
      <c r="O110" s="146">
        <v>4.0</v>
      </c>
      <c r="P110" s="54">
        <v>4.0</v>
      </c>
      <c r="Q110" s="172">
        <v>2.0</v>
      </c>
      <c r="R110" s="53">
        <f t="shared" si="8"/>
        <v>4</v>
      </c>
      <c r="S110" s="173">
        <v>3.719512195</v>
      </c>
      <c r="T110" s="17"/>
    </row>
    <row r="111" ht="15.75" customHeight="1">
      <c r="A111" s="11"/>
      <c r="C111" s="117" t="s">
        <v>144</v>
      </c>
      <c r="D111" s="23"/>
      <c r="E111" s="179" t="s">
        <v>77</v>
      </c>
      <c r="F111" s="201">
        <v>2.0</v>
      </c>
      <c r="G111" s="202">
        <v>3.0</v>
      </c>
      <c r="H111" s="203">
        <v>4.0</v>
      </c>
      <c r="I111" s="120"/>
      <c r="J111" s="105">
        <v>5.0</v>
      </c>
      <c r="K111" s="76">
        <v>4.0</v>
      </c>
      <c r="L111" s="76">
        <v>4.0</v>
      </c>
      <c r="M111" s="76">
        <v>3.0</v>
      </c>
      <c r="N111" s="76">
        <v>2.0</v>
      </c>
      <c r="O111" s="163">
        <v>1.0</v>
      </c>
      <c r="P111" s="76">
        <v>2.0</v>
      </c>
      <c r="Q111" s="164">
        <v>4.0</v>
      </c>
      <c r="R111" s="105">
        <f t="shared" si="8"/>
        <v>3</v>
      </c>
      <c r="S111" s="165">
        <v>2.551020408</v>
      </c>
      <c r="T111" s="17"/>
    </row>
    <row r="112" ht="15.75" customHeight="1">
      <c r="A112" s="11"/>
      <c r="B112" s="187"/>
      <c r="C112" s="107" t="s">
        <v>145</v>
      </c>
      <c r="D112" s="108"/>
      <c r="E112" s="209" t="s">
        <v>118</v>
      </c>
      <c r="F112" s="250" t="s">
        <v>68</v>
      </c>
      <c r="G112" s="251" t="s">
        <v>68</v>
      </c>
      <c r="H112" s="205">
        <v>4.0</v>
      </c>
      <c r="I112" s="120"/>
      <c r="J112" s="53">
        <v>2.0</v>
      </c>
      <c r="K112" s="54">
        <v>1.0</v>
      </c>
      <c r="L112" s="54">
        <v>1.0</v>
      </c>
      <c r="M112" s="54">
        <v>2.0</v>
      </c>
      <c r="N112" s="54">
        <v>1.0</v>
      </c>
      <c r="O112" s="146">
        <v>1.0</v>
      </c>
      <c r="P112" s="54">
        <v>2.0</v>
      </c>
      <c r="Q112" s="172">
        <v>2.0</v>
      </c>
      <c r="R112" s="53">
        <f t="shared" si="8"/>
        <v>2</v>
      </c>
      <c r="S112" s="173">
        <v>2.243902439</v>
      </c>
      <c r="T112" s="17"/>
    </row>
    <row r="113" ht="15.75" customHeight="1">
      <c r="A113" s="11"/>
      <c r="C113" s="101" t="s">
        <v>146</v>
      </c>
      <c r="D113" s="16"/>
      <c r="E113" s="230" t="s">
        <v>31</v>
      </c>
      <c r="F113" s="231">
        <v>6.0</v>
      </c>
      <c r="G113" s="232">
        <v>6.0</v>
      </c>
      <c r="H113" s="208">
        <v>7.0</v>
      </c>
      <c r="I113" s="120"/>
      <c r="J113" s="61">
        <v>2.0</v>
      </c>
      <c r="K113" s="75">
        <v>2.0</v>
      </c>
      <c r="L113" s="75">
        <v>2.0</v>
      </c>
      <c r="M113" s="75">
        <v>2.0</v>
      </c>
      <c r="N113" s="75">
        <v>2.0</v>
      </c>
      <c r="O113" s="192">
        <v>2.0</v>
      </c>
      <c r="P113" s="75">
        <v>2.0</v>
      </c>
      <c r="Q113" s="193">
        <v>2.0</v>
      </c>
      <c r="R113" s="61">
        <f t="shared" si="8"/>
        <v>2</v>
      </c>
      <c r="S113" s="194">
        <v>2.48582996</v>
      </c>
      <c r="T113" s="17"/>
    </row>
    <row r="114" ht="15.75" customHeight="1">
      <c r="A114" s="11"/>
      <c r="B114" s="121"/>
      <c r="C114" s="195" t="s">
        <v>147</v>
      </c>
      <c r="D114" s="196"/>
      <c r="E114" s="124"/>
      <c r="F114" s="125"/>
      <c r="G114" s="125"/>
      <c r="H114" s="125"/>
      <c r="I114" s="126"/>
      <c r="J114" s="127"/>
      <c r="K114" s="128"/>
      <c r="L114" s="129"/>
      <c r="M114" s="130"/>
      <c r="N114" s="131"/>
      <c r="O114" s="130"/>
      <c r="P114" s="128"/>
      <c r="Q114" s="132"/>
      <c r="R114" s="133"/>
      <c r="S114" s="134"/>
      <c r="T114" s="17"/>
    </row>
    <row r="115" ht="15.75" customHeight="1">
      <c r="A115" s="11"/>
      <c r="B115" s="135"/>
      <c r="C115" s="136"/>
      <c r="D115" s="137"/>
      <c r="E115" s="138"/>
      <c r="F115" s="85"/>
      <c r="G115" s="85"/>
      <c r="H115" s="86"/>
      <c r="I115" s="120"/>
      <c r="J115" s="87" t="s">
        <v>1</v>
      </c>
      <c r="K115" s="88" t="s">
        <v>2</v>
      </c>
      <c r="L115" s="139" t="s">
        <v>3</v>
      </c>
      <c r="M115" s="140" t="s">
        <v>4</v>
      </c>
      <c r="N115" s="91" t="s">
        <v>13</v>
      </c>
      <c r="O115" s="38" t="s">
        <v>14</v>
      </c>
      <c r="P115" s="88" t="s">
        <v>15</v>
      </c>
      <c r="Q115" s="44" t="s">
        <v>16</v>
      </c>
      <c r="R115" s="95" t="s">
        <v>9</v>
      </c>
      <c r="S115" s="96"/>
      <c r="T115" s="17"/>
    </row>
    <row r="116" ht="15.75" customHeight="1">
      <c r="A116" s="11"/>
      <c r="B116" s="46"/>
      <c r="C116" s="66" t="s">
        <v>148</v>
      </c>
      <c r="D116" s="48"/>
      <c r="E116" s="254" t="s">
        <v>31</v>
      </c>
      <c r="F116" s="250">
        <v>1.0</v>
      </c>
      <c r="G116" s="251">
        <v>3.0</v>
      </c>
      <c r="H116" s="69">
        <v>1.0</v>
      </c>
      <c r="I116" s="120"/>
      <c r="J116" s="53">
        <v>3.0</v>
      </c>
      <c r="K116" s="56">
        <v>3.0</v>
      </c>
      <c r="L116" s="56">
        <v>4.0</v>
      </c>
      <c r="M116" s="56">
        <v>3.0</v>
      </c>
      <c r="N116" s="56">
        <v>3.0</v>
      </c>
      <c r="O116" s="146">
        <v>2.0</v>
      </c>
      <c r="P116" s="147">
        <v>3.0</v>
      </c>
      <c r="Q116" s="148">
        <v>3.0</v>
      </c>
      <c r="R116" s="53">
        <f t="shared" ref="R116:R125" si="9">ROUND(5+(4*S116)/(4.23-1.53)-(4*4.23)/(4.23-1.53),0)</f>
        <v>3</v>
      </c>
      <c r="S116" s="149">
        <v>2.587755102</v>
      </c>
      <c r="T116" s="17"/>
    </row>
    <row r="117" ht="15.75" customHeight="1">
      <c r="A117" s="11"/>
      <c r="C117" s="66" t="s">
        <v>149</v>
      </c>
      <c r="D117" s="48"/>
      <c r="E117" s="206" t="s">
        <v>71</v>
      </c>
      <c r="F117" s="216" t="s">
        <v>68</v>
      </c>
      <c r="G117" s="217" t="s">
        <v>68</v>
      </c>
      <c r="H117" s="69">
        <v>1.0</v>
      </c>
      <c r="I117" s="120"/>
      <c r="J117" s="61">
        <v>2.0</v>
      </c>
      <c r="K117" s="55">
        <v>2.0</v>
      </c>
      <c r="L117" s="55">
        <v>3.0</v>
      </c>
      <c r="M117" s="55">
        <v>3.0</v>
      </c>
      <c r="N117" s="55">
        <v>3.0</v>
      </c>
      <c r="O117" s="156">
        <v>3.0</v>
      </c>
      <c r="P117" s="55">
        <v>3.0</v>
      </c>
      <c r="Q117" s="157">
        <v>2.0</v>
      </c>
      <c r="R117" s="61">
        <f t="shared" si="9"/>
        <v>2</v>
      </c>
      <c r="S117" s="158">
        <v>2.375510204</v>
      </c>
      <c r="T117" s="17"/>
    </row>
    <row r="118" ht="15.75" customHeight="1">
      <c r="A118" s="11"/>
      <c r="C118" s="101" t="s">
        <v>150</v>
      </c>
      <c r="D118" s="16"/>
      <c r="E118" s="230" t="s">
        <v>39</v>
      </c>
      <c r="F118" s="231">
        <v>2.0</v>
      </c>
      <c r="G118" s="232">
        <v>3.0</v>
      </c>
      <c r="H118" s="208">
        <v>2.0</v>
      </c>
      <c r="I118" s="120"/>
      <c r="J118" s="61">
        <v>2.0</v>
      </c>
      <c r="K118" s="76">
        <v>2.0</v>
      </c>
      <c r="L118" s="76">
        <v>2.0</v>
      </c>
      <c r="M118" s="76">
        <v>1.0</v>
      </c>
      <c r="N118" s="76">
        <v>1.0</v>
      </c>
      <c r="O118" s="163">
        <v>3.0</v>
      </c>
      <c r="P118" s="76">
        <v>2.0</v>
      </c>
      <c r="Q118" s="164">
        <v>2.0</v>
      </c>
      <c r="R118" s="61">
        <f t="shared" si="9"/>
        <v>2</v>
      </c>
      <c r="S118" s="165">
        <v>2.447154472</v>
      </c>
      <c r="T118" s="17"/>
    </row>
    <row r="119" ht="15.75" customHeight="1">
      <c r="A119" s="11"/>
      <c r="B119" s="166"/>
      <c r="C119" s="107" t="s">
        <v>151</v>
      </c>
      <c r="D119" s="108"/>
      <c r="E119" s="168" t="s">
        <v>71</v>
      </c>
      <c r="F119" s="169" t="s">
        <v>68</v>
      </c>
      <c r="G119" s="170" t="s">
        <v>68</v>
      </c>
      <c r="H119" s="205">
        <v>2.0</v>
      </c>
      <c r="I119" s="120"/>
      <c r="J119" s="53">
        <v>3.0</v>
      </c>
      <c r="K119" s="54">
        <v>2.0</v>
      </c>
      <c r="L119" s="54">
        <v>2.0</v>
      </c>
      <c r="M119" s="54">
        <v>1.0</v>
      </c>
      <c r="N119" s="54">
        <v>1.0</v>
      </c>
      <c r="O119" s="146">
        <v>1.0</v>
      </c>
      <c r="P119" s="54">
        <v>2.0</v>
      </c>
      <c r="Q119" s="172">
        <v>2.0</v>
      </c>
      <c r="R119" s="53">
        <f t="shared" si="9"/>
        <v>2</v>
      </c>
      <c r="S119" s="173">
        <v>2.032653061</v>
      </c>
      <c r="T119" s="17"/>
    </row>
    <row r="120" ht="15.75" customHeight="1">
      <c r="A120" s="11"/>
      <c r="C120" s="66" t="s">
        <v>152</v>
      </c>
      <c r="D120" s="48"/>
      <c r="E120" s="206" t="s">
        <v>71</v>
      </c>
      <c r="F120" s="216" t="s">
        <v>68</v>
      </c>
      <c r="G120" s="217" t="s">
        <v>68</v>
      </c>
      <c r="H120" s="69">
        <v>5.0</v>
      </c>
      <c r="I120" s="120"/>
      <c r="J120" s="61">
        <v>1.0</v>
      </c>
      <c r="K120" s="55">
        <v>1.0</v>
      </c>
      <c r="L120" s="55">
        <v>2.0</v>
      </c>
      <c r="M120" s="55">
        <v>1.0</v>
      </c>
      <c r="N120" s="255">
        <v>0.0</v>
      </c>
      <c r="O120" s="156">
        <v>1.0</v>
      </c>
      <c r="P120" s="55">
        <v>1.0</v>
      </c>
      <c r="Q120" s="157">
        <v>1.0</v>
      </c>
      <c r="R120" s="61">
        <f t="shared" si="9"/>
        <v>1</v>
      </c>
      <c r="S120" s="158">
        <v>1.783673469</v>
      </c>
      <c r="T120" s="17"/>
    </row>
    <row r="121" ht="15.75" customHeight="1">
      <c r="A121" s="11"/>
      <c r="C121" s="101" t="s">
        <v>153</v>
      </c>
      <c r="D121" s="16"/>
      <c r="E121" s="256" t="s">
        <v>22</v>
      </c>
      <c r="F121" s="201">
        <v>5.0</v>
      </c>
      <c r="G121" s="202">
        <v>6.0</v>
      </c>
      <c r="H121" s="208">
        <v>10.0</v>
      </c>
      <c r="I121" s="120"/>
      <c r="J121" s="105">
        <v>1.0</v>
      </c>
      <c r="K121" s="76">
        <v>1.0</v>
      </c>
      <c r="L121" s="76">
        <v>1.0</v>
      </c>
      <c r="M121" s="76">
        <v>1.0</v>
      </c>
      <c r="N121" s="76">
        <v>1.0</v>
      </c>
      <c r="O121" s="163">
        <v>1.0</v>
      </c>
      <c r="P121" s="76">
        <v>1.0</v>
      </c>
      <c r="Q121" s="164">
        <v>1.0</v>
      </c>
      <c r="R121" s="105">
        <f t="shared" si="9"/>
        <v>2</v>
      </c>
      <c r="S121" s="165">
        <v>2.164658635</v>
      </c>
      <c r="T121" s="17"/>
    </row>
    <row r="122" ht="15.75" customHeight="1">
      <c r="A122" s="11"/>
      <c r="B122" s="180"/>
      <c r="C122" s="107" t="s">
        <v>154</v>
      </c>
      <c r="D122" s="108"/>
      <c r="E122" s="168"/>
      <c r="F122" s="250">
        <v>4.0</v>
      </c>
      <c r="G122" s="251">
        <v>2.0</v>
      </c>
      <c r="H122" s="205">
        <v>3.0</v>
      </c>
      <c r="I122" s="120"/>
      <c r="J122" s="53">
        <v>1.0</v>
      </c>
      <c r="K122" s="54">
        <v>2.0</v>
      </c>
      <c r="L122" s="54">
        <v>1.0</v>
      </c>
      <c r="M122" s="54">
        <v>2.0</v>
      </c>
      <c r="N122" s="54">
        <v>1.0</v>
      </c>
      <c r="O122" s="146">
        <v>1.0</v>
      </c>
      <c r="P122" s="54">
        <v>3.0</v>
      </c>
      <c r="Q122" s="172">
        <v>2.0</v>
      </c>
      <c r="R122" s="53">
        <f t="shared" si="9"/>
        <v>3</v>
      </c>
      <c r="S122" s="173">
        <v>2.599190283</v>
      </c>
      <c r="T122" s="17"/>
    </row>
    <row r="123" ht="15.75" customHeight="1">
      <c r="A123" s="11"/>
      <c r="C123" s="101" t="s">
        <v>155</v>
      </c>
      <c r="D123" s="16"/>
      <c r="E123" s="179" t="s">
        <v>77</v>
      </c>
      <c r="F123" s="231">
        <v>4.0</v>
      </c>
      <c r="G123" s="232">
        <v>2.0</v>
      </c>
      <c r="H123" s="208">
        <v>4.0</v>
      </c>
      <c r="I123" s="120"/>
      <c r="J123" s="105">
        <v>2.0</v>
      </c>
      <c r="K123" s="76">
        <v>2.0</v>
      </c>
      <c r="L123" s="76">
        <v>3.0</v>
      </c>
      <c r="M123" s="76">
        <v>1.0</v>
      </c>
      <c r="N123" s="76">
        <v>1.0</v>
      </c>
      <c r="O123" s="163">
        <v>1.0</v>
      </c>
      <c r="P123" s="76">
        <v>2.0</v>
      </c>
      <c r="Q123" s="164">
        <v>2.0</v>
      </c>
      <c r="R123" s="105">
        <f t="shared" si="9"/>
        <v>2</v>
      </c>
      <c r="S123" s="165">
        <v>2.518218623</v>
      </c>
      <c r="T123" s="17"/>
    </row>
    <row r="124" ht="15.75" customHeight="1">
      <c r="A124" s="11"/>
      <c r="B124" s="187"/>
      <c r="C124" s="221" t="s">
        <v>156</v>
      </c>
      <c r="D124" s="222"/>
      <c r="E124" s="257" t="s">
        <v>22</v>
      </c>
      <c r="F124" s="252">
        <v>10.0</v>
      </c>
      <c r="G124" s="253">
        <v>10.0</v>
      </c>
      <c r="H124" s="224">
        <v>6.0</v>
      </c>
      <c r="I124" s="120"/>
      <c r="J124" s="53">
        <v>3.0</v>
      </c>
      <c r="K124" s="54">
        <v>2.0</v>
      </c>
      <c r="L124" s="54">
        <v>3.0</v>
      </c>
      <c r="M124" s="54">
        <v>1.0</v>
      </c>
      <c r="N124" s="54">
        <v>1.0</v>
      </c>
      <c r="O124" s="146">
        <v>2.0</v>
      </c>
      <c r="P124" s="54">
        <v>3.0</v>
      </c>
      <c r="Q124" s="172">
        <v>3.0</v>
      </c>
      <c r="R124" s="53">
        <f t="shared" si="9"/>
        <v>4</v>
      </c>
      <c r="S124" s="173">
        <v>3.636</v>
      </c>
      <c r="T124" s="17"/>
    </row>
    <row r="125" ht="15.75" customHeight="1">
      <c r="A125" s="11"/>
      <c r="C125" s="66" t="s">
        <v>157</v>
      </c>
      <c r="D125" s="48"/>
      <c r="E125" s="206" t="s">
        <v>71</v>
      </c>
      <c r="F125" s="216" t="s">
        <v>68</v>
      </c>
      <c r="G125" s="217" t="s">
        <v>68</v>
      </c>
      <c r="H125" s="69">
        <v>10.0</v>
      </c>
      <c r="I125" s="120"/>
      <c r="J125" s="61">
        <v>2.0</v>
      </c>
      <c r="K125" s="75">
        <v>2.0</v>
      </c>
      <c r="L125" s="75">
        <v>1.0</v>
      </c>
      <c r="M125" s="75">
        <v>1.0</v>
      </c>
      <c r="N125" s="75">
        <v>1.0</v>
      </c>
      <c r="O125" s="192">
        <v>2.0</v>
      </c>
      <c r="P125" s="75">
        <v>2.0</v>
      </c>
      <c r="Q125" s="193">
        <v>2.0</v>
      </c>
      <c r="R125" s="61">
        <f t="shared" si="9"/>
        <v>3</v>
      </c>
      <c r="S125" s="194">
        <v>3.10483871</v>
      </c>
      <c r="T125" s="17"/>
    </row>
    <row r="126" ht="15.75" customHeight="1">
      <c r="A126" s="11"/>
      <c r="B126" s="121"/>
      <c r="C126" s="195" t="s">
        <v>158</v>
      </c>
      <c r="D126" s="196"/>
      <c r="E126" s="124"/>
      <c r="F126" s="125"/>
      <c r="G126" s="125"/>
      <c r="H126" s="125"/>
      <c r="I126" s="126"/>
      <c r="J126" s="127"/>
      <c r="K126" s="128"/>
      <c r="L126" s="129"/>
      <c r="M126" s="130"/>
      <c r="N126" s="131"/>
      <c r="O126" s="130"/>
      <c r="P126" s="128"/>
      <c r="Q126" s="132"/>
      <c r="R126" s="133"/>
      <c r="S126" s="134"/>
      <c r="T126" s="17"/>
    </row>
    <row r="127" ht="15.75" customHeight="1">
      <c r="A127" s="11"/>
      <c r="B127" s="135"/>
      <c r="C127" s="136"/>
      <c r="D127" s="137"/>
      <c r="E127" s="138"/>
      <c r="F127" s="85"/>
      <c r="G127" s="85"/>
      <c r="H127" s="86"/>
      <c r="I127" s="120"/>
      <c r="J127" s="87" t="s">
        <v>1</v>
      </c>
      <c r="K127" s="88" t="s">
        <v>2</v>
      </c>
      <c r="L127" s="139" t="s">
        <v>3</v>
      </c>
      <c r="M127" s="140" t="s">
        <v>4</v>
      </c>
      <c r="N127" s="91" t="s">
        <v>13</v>
      </c>
      <c r="O127" s="38" t="s">
        <v>14</v>
      </c>
      <c r="P127" s="88" t="s">
        <v>15</v>
      </c>
      <c r="Q127" s="44" t="s">
        <v>16</v>
      </c>
      <c r="R127" s="95" t="s">
        <v>9</v>
      </c>
      <c r="S127" s="96"/>
      <c r="T127" s="17"/>
    </row>
    <row r="128" ht="15.75" customHeight="1">
      <c r="A128" s="11"/>
      <c r="B128" s="46"/>
      <c r="C128" s="66" t="s">
        <v>159</v>
      </c>
      <c r="D128" s="48"/>
      <c r="E128" s="258" t="s">
        <v>77</v>
      </c>
      <c r="F128" s="69">
        <v>0.0</v>
      </c>
      <c r="G128" s="69">
        <v>2.0</v>
      </c>
      <c r="H128" s="69">
        <v>1.0</v>
      </c>
      <c r="I128" s="120"/>
      <c r="J128" s="53">
        <v>1.0</v>
      </c>
      <c r="K128" s="56">
        <v>2.0</v>
      </c>
      <c r="L128" s="56">
        <v>1.0</v>
      </c>
      <c r="M128" s="56">
        <v>1.0</v>
      </c>
      <c r="N128" s="56">
        <v>2.0</v>
      </c>
      <c r="O128" s="146">
        <v>1.0</v>
      </c>
      <c r="P128" s="147">
        <v>1.0</v>
      </c>
      <c r="Q128" s="148">
        <v>1.0</v>
      </c>
      <c r="R128" s="53">
        <f t="shared" ref="R128:R137" si="10">ROUND(5+(4*S128)/(4.23-1.53)-(4*4.23)/(4.23-1.53),0)</f>
        <v>2</v>
      </c>
      <c r="S128" s="149">
        <v>2.530120482</v>
      </c>
      <c r="T128" s="17"/>
    </row>
    <row r="129" ht="15.75" customHeight="1">
      <c r="A129" s="11"/>
      <c r="C129" s="66" t="s">
        <v>160</v>
      </c>
      <c r="D129" s="48"/>
      <c r="E129" s="143" t="s">
        <v>67</v>
      </c>
      <c r="F129" s="144" t="s">
        <v>68</v>
      </c>
      <c r="G129" s="68">
        <v>2.0</v>
      </c>
      <c r="H129" s="69">
        <v>1.0</v>
      </c>
      <c r="I129" s="120"/>
      <c r="J129" s="61">
        <v>3.0</v>
      </c>
      <c r="K129" s="55">
        <v>3.0</v>
      </c>
      <c r="L129" s="55">
        <v>3.0</v>
      </c>
      <c r="M129" s="55">
        <v>4.0</v>
      </c>
      <c r="N129" s="55">
        <v>4.0</v>
      </c>
      <c r="O129" s="156">
        <v>3.0</v>
      </c>
      <c r="P129" s="55">
        <v>3.0</v>
      </c>
      <c r="Q129" s="157">
        <v>3.0</v>
      </c>
      <c r="R129" s="61">
        <f t="shared" si="10"/>
        <v>4</v>
      </c>
      <c r="S129" s="158">
        <v>3.35483871</v>
      </c>
      <c r="T129" s="17"/>
    </row>
    <row r="130" ht="15.75" customHeight="1">
      <c r="A130" s="11"/>
      <c r="C130" s="117" t="s">
        <v>161</v>
      </c>
      <c r="D130" s="23"/>
      <c r="E130" s="218" t="s">
        <v>162</v>
      </c>
      <c r="F130" s="144" t="s">
        <v>68</v>
      </c>
      <c r="G130" s="144" t="s">
        <v>68</v>
      </c>
      <c r="H130" s="69">
        <v>3.0</v>
      </c>
      <c r="I130" s="120"/>
      <c r="J130" s="61">
        <v>2.0</v>
      </c>
      <c r="K130" s="76">
        <v>2.0</v>
      </c>
      <c r="L130" s="76">
        <v>1.0</v>
      </c>
      <c r="M130" s="76">
        <v>2.0</v>
      </c>
      <c r="N130" s="76">
        <v>2.0</v>
      </c>
      <c r="O130" s="163">
        <v>3.0</v>
      </c>
      <c r="P130" s="76">
        <v>1.0</v>
      </c>
      <c r="Q130" s="164">
        <v>2.0</v>
      </c>
      <c r="R130" s="61">
        <f t="shared" si="10"/>
        <v>3</v>
      </c>
      <c r="S130" s="165">
        <v>2.568548387</v>
      </c>
      <c r="T130" s="17"/>
    </row>
    <row r="131" ht="15.75" customHeight="1">
      <c r="A131" s="11"/>
      <c r="B131" s="166"/>
      <c r="C131" s="107" t="s">
        <v>163</v>
      </c>
      <c r="D131" s="108"/>
      <c r="E131" s="228" t="s">
        <v>39</v>
      </c>
      <c r="F131" s="250">
        <v>1.0</v>
      </c>
      <c r="G131" s="251">
        <v>2.0</v>
      </c>
      <c r="H131" s="205">
        <v>2.0</v>
      </c>
      <c r="I131" s="120"/>
      <c r="J131" s="53">
        <v>3.0</v>
      </c>
      <c r="K131" s="54">
        <v>3.0</v>
      </c>
      <c r="L131" s="54">
        <v>2.0</v>
      </c>
      <c r="M131" s="54">
        <v>2.0</v>
      </c>
      <c r="N131" s="54">
        <v>2.0</v>
      </c>
      <c r="O131" s="146">
        <v>1.0</v>
      </c>
      <c r="P131" s="54">
        <v>2.0</v>
      </c>
      <c r="Q131" s="172">
        <v>2.0</v>
      </c>
      <c r="R131" s="53">
        <f t="shared" si="10"/>
        <v>2</v>
      </c>
      <c r="S131" s="173">
        <v>2.534412955</v>
      </c>
      <c r="T131" s="17"/>
    </row>
    <row r="132" ht="15.75" customHeight="1">
      <c r="A132" s="11"/>
      <c r="C132" s="66" t="s">
        <v>164</v>
      </c>
      <c r="D132" s="48"/>
      <c r="E132" s="206" t="s">
        <v>104</v>
      </c>
      <c r="F132" s="216" t="s">
        <v>68</v>
      </c>
      <c r="G132" s="217" t="s">
        <v>68</v>
      </c>
      <c r="H132" s="69">
        <v>3.0</v>
      </c>
      <c r="I132" s="120"/>
      <c r="J132" s="61">
        <v>2.0</v>
      </c>
      <c r="K132" s="55">
        <v>2.0</v>
      </c>
      <c r="L132" s="55">
        <v>1.0</v>
      </c>
      <c r="M132" s="55">
        <v>3.0</v>
      </c>
      <c r="N132" s="55">
        <v>3.0</v>
      </c>
      <c r="O132" s="156">
        <v>3.0</v>
      </c>
      <c r="P132" s="55">
        <v>2.0</v>
      </c>
      <c r="Q132" s="157">
        <v>3.0</v>
      </c>
      <c r="R132" s="61">
        <f t="shared" si="10"/>
        <v>3</v>
      </c>
      <c r="S132" s="158">
        <v>2.97983871</v>
      </c>
      <c r="T132" s="17"/>
    </row>
    <row r="133" ht="15.75" customHeight="1">
      <c r="A133" s="11"/>
      <c r="C133" s="117" t="s">
        <v>165</v>
      </c>
      <c r="D133" s="23"/>
      <c r="E133" s="218" t="s">
        <v>162</v>
      </c>
      <c r="F133" s="219" t="s">
        <v>68</v>
      </c>
      <c r="G133" s="220" t="s">
        <v>68</v>
      </c>
      <c r="H133" s="203">
        <v>6.0</v>
      </c>
      <c r="I133" s="120"/>
      <c r="J133" s="105">
        <v>2.0</v>
      </c>
      <c r="K133" s="76">
        <v>3.0</v>
      </c>
      <c r="L133" s="76">
        <v>1.0</v>
      </c>
      <c r="M133" s="76">
        <v>2.0</v>
      </c>
      <c r="N133" s="76">
        <v>2.0</v>
      </c>
      <c r="O133" s="163">
        <v>2.0</v>
      </c>
      <c r="P133" s="76">
        <v>2.0</v>
      </c>
      <c r="Q133" s="164">
        <v>3.0</v>
      </c>
      <c r="R133" s="105">
        <f t="shared" si="10"/>
        <v>3</v>
      </c>
      <c r="S133" s="165">
        <v>2.911290323</v>
      </c>
      <c r="T133" s="17"/>
    </row>
    <row r="134" ht="15.75" customHeight="1">
      <c r="A134" s="11"/>
      <c r="B134" s="180"/>
      <c r="C134" s="107" t="s">
        <v>166</v>
      </c>
      <c r="D134" s="108"/>
      <c r="E134" s="226" t="s">
        <v>41</v>
      </c>
      <c r="F134" s="250">
        <v>2.0</v>
      </c>
      <c r="G134" s="251">
        <v>5.0</v>
      </c>
      <c r="H134" s="205">
        <v>3.0</v>
      </c>
      <c r="I134" s="120"/>
      <c r="J134" s="53">
        <v>4.0</v>
      </c>
      <c r="K134" s="54">
        <v>3.0</v>
      </c>
      <c r="L134" s="54">
        <v>3.0</v>
      </c>
      <c r="M134" s="54">
        <v>1.0</v>
      </c>
      <c r="N134" s="54">
        <v>2.0</v>
      </c>
      <c r="O134" s="146">
        <v>1.0</v>
      </c>
      <c r="P134" s="54">
        <v>2.0</v>
      </c>
      <c r="Q134" s="172">
        <v>1.0</v>
      </c>
      <c r="R134" s="53">
        <f t="shared" si="10"/>
        <v>3</v>
      </c>
      <c r="S134" s="173">
        <v>2.558704453</v>
      </c>
      <c r="T134" s="17"/>
    </row>
    <row r="135" ht="15.75" customHeight="1">
      <c r="A135" s="11"/>
      <c r="C135" s="117" t="s">
        <v>167</v>
      </c>
      <c r="D135" s="23"/>
      <c r="E135" s="218" t="s">
        <v>104</v>
      </c>
      <c r="F135" s="219" t="s">
        <v>68</v>
      </c>
      <c r="G135" s="220" t="s">
        <v>68</v>
      </c>
      <c r="H135" s="203">
        <v>4.0</v>
      </c>
      <c r="I135" s="120"/>
      <c r="J135" s="105">
        <v>2.0</v>
      </c>
      <c r="K135" s="76">
        <v>2.0</v>
      </c>
      <c r="L135" s="76">
        <v>3.0</v>
      </c>
      <c r="M135" s="76">
        <v>3.0</v>
      </c>
      <c r="N135" s="76">
        <v>3.0</v>
      </c>
      <c r="O135" s="163">
        <v>4.0</v>
      </c>
      <c r="P135" s="76">
        <v>1.0</v>
      </c>
      <c r="Q135" s="164">
        <v>3.0</v>
      </c>
      <c r="R135" s="105">
        <f t="shared" si="10"/>
        <v>4</v>
      </c>
      <c r="S135" s="165">
        <v>3.276</v>
      </c>
      <c r="T135" s="17"/>
    </row>
    <row r="136" ht="15.75" customHeight="1">
      <c r="A136" s="11"/>
      <c r="B136" s="187"/>
      <c r="C136" s="107" t="s">
        <v>168</v>
      </c>
      <c r="D136" s="108"/>
      <c r="E136" s="209" t="s">
        <v>162</v>
      </c>
      <c r="F136" s="169" t="s">
        <v>68</v>
      </c>
      <c r="G136" s="170" t="s">
        <v>68</v>
      </c>
      <c r="H136" s="205">
        <v>3.0</v>
      </c>
      <c r="I136" s="120"/>
      <c r="J136" s="53">
        <v>4.0</v>
      </c>
      <c r="K136" s="54">
        <v>4.0</v>
      </c>
      <c r="L136" s="54">
        <v>3.0</v>
      </c>
      <c r="M136" s="54">
        <v>4.0</v>
      </c>
      <c r="N136" s="54">
        <v>4.0</v>
      </c>
      <c r="O136" s="146">
        <v>4.0</v>
      </c>
      <c r="P136" s="54">
        <v>4.0</v>
      </c>
      <c r="Q136" s="172">
        <v>4.0</v>
      </c>
      <c r="R136" s="53">
        <f t="shared" si="10"/>
        <v>5</v>
      </c>
      <c r="S136" s="173">
        <v>4.234126984</v>
      </c>
      <c r="T136" s="17"/>
    </row>
    <row r="137" ht="15.75" customHeight="1">
      <c r="A137" s="11"/>
      <c r="C137" s="101" t="s">
        <v>169</v>
      </c>
      <c r="D137" s="16"/>
      <c r="E137" s="230"/>
      <c r="F137" s="231">
        <v>4.0</v>
      </c>
      <c r="G137" s="232">
        <v>8.0</v>
      </c>
      <c r="H137" s="208">
        <v>4.0</v>
      </c>
      <c r="I137" s="120"/>
      <c r="J137" s="61">
        <v>3.0</v>
      </c>
      <c r="K137" s="75">
        <v>3.0</v>
      </c>
      <c r="L137" s="75">
        <v>1.0</v>
      </c>
      <c r="M137" s="75">
        <v>1.0</v>
      </c>
      <c r="N137" s="75">
        <v>4.0</v>
      </c>
      <c r="O137" s="192">
        <v>1.0</v>
      </c>
      <c r="P137" s="75">
        <v>2.0</v>
      </c>
      <c r="Q137" s="193">
        <v>3.0</v>
      </c>
      <c r="R137" s="61">
        <f t="shared" si="10"/>
        <v>3</v>
      </c>
      <c r="S137" s="194">
        <v>2.892</v>
      </c>
      <c r="T137" s="17"/>
    </row>
    <row r="138" ht="15.75" customHeight="1">
      <c r="A138" s="11"/>
      <c r="B138" s="121"/>
      <c r="C138" s="195" t="s">
        <v>170</v>
      </c>
      <c r="D138" s="196"/>
      <c r="E138" s="124"/>
      <c r="F138" s="125"/>
      <c r="G138" s="125"/>
      <c r="H138" s="125"/>
      <c r="I138" s="126"/>
      <c r="J138" s="127"/>
      <c r="K138" s="128"/>
      <c r="L138" s="129"/>
      <c r="M138" s="130"/>
      <c r="N138" s="131"/>
      <c r="O138" s="130"/>
      <c r="P138" s="128"/>
      <c r="Q138" s="132"/>
      <c r="R138" s="133"/>
      <c r="S138" s="134"/>
      <c r="T138" s="17"/>
    </row>
    <row r="139" ht="15.75" customHeight="1">
      <c r="A139" s="11"/>
      <c r="B139" s="135"/>
      <c r="C139" s="136"/>
      <c r="D139" s="137"/>
      <c r="E139" s="138"/>
      <c r="F139" s="85"/>
      <c r="G139" s="85"/>
      <c r="H139" s="86"/>
      <c r="I139" s="120"/>
      <c r="J139" s="87" t="s">
        <v>1</v>
      </c>
      <c r="K139" s="88" t="s">
        <v>2</v>
      </c>
      <c r="L139" s="139" t="s">
        <v>3</v>
      </c>
      <c r="M139" s="140" t="s">
        <v>4</v>
      </c>
      <c r="N139" s="91" t="s">
        <v>13</v>
      </c>
      <c r="O139" s="38" t="s">
        <v>14</v>
      </c>
      <c r="P139" s="88" t="s">
        <v>15</v>
      </c>
      <c r="Q139" s="44" t="s">
        <v>16</v>
      </c>
      <c r="R139" s="95" t="s">
        <v>9</v>
      </c>
      <c r="S139" s="96"/>
      <c r="T139" s="17"/>
    </row>
    <row r="140" ht="15.75" customHeight="1">
      <c r="A140" s="11"/>
      <c r="B140" s="46"/>
      <c r="C140" s="66" t="s">
        <v>171</v>
      </c>
      <c r="D140" s="48"/>
      <c r="E140" s="168" t="s">
        <v>71</v>
      </c>
      <c r="F140" s="211" t="s">
        <v>68</v>
      </c>
      <c r="G140" s="212" t="s">
        <v>68</v>
      </c>
      <c r="H140" s="69">
        <v>1.0</v>
      </c>
      <c r="I140" s="120"/>
      <c r="J140" s="53">
        <v>1.0</v>
      </c>
      <c r="K140" s="56">
        <v>1.0</v>
      </c>
      <c r="L140" s="56">
        <v>1.0</v>
      </c>
      <c r="M140" s="56">
        <v>1.0</v>
      </c>
      <c r="N140" s="56">
        <v>1.0</v>
      </c>
      <c r="O140" s="146">
        <v>1.0</v>
      </c>
      <c r="P140" s="147">
        <v>1.0</v>
      </c>
      <c r="Q140" s="148">
        <v>1.0</v>
      </c>
      <c r="R140" s="53">
        <f t="shared" ref="R140:R149" si="11">ROUND(5+(4*S140)/(4.23-1.53)-(4*4.23)/(4.23-1.53),0)</f>
        <v>2</v>
      </c>
      <c r="S140" s="149">
        <v>1.947368421</v>
      </c>
      <c r="T140" s="17"/>
    </row>
    <row r="141" ht="15.75" customHeight="1">
      <c r="A141" s="11"/>
      <c r="C141" s="66" t="s">
        <v>172</v>
      </c>
      <c r="D141" s="48"/>
      <c r="E141" s="213" t="s">
        <v>20</v>
      </c>
      <c r="F141" s="259">
        <v>4.0</v>
      </c>
      <c r="G141" s="260">
        <v>3.0</v>
      </c>
      <c r="H141" s="69">
        <v>3.0</v>
      </c>
      <c r="I141" s="120"/>
      <c r="J141" s="61">
        <v>3.0</v>
      </c>
      <c r="K141" s="55">
        <v>3.0</v>
      </c>
      <c r="L141" s="55">
        <v>1.0</v>
      </c>
      <c r="M141" s="55">
        <v>1.0</v>
      </c>
      <c r="N141" s="55">
        <v>1.0</v>
      </c>
      <c r="O141" s="156">
        <v>1.0</v>
      </c>
      <c r="P141" s="55">
        <v>1.0</v>
      </c>
      <c r="Q141" s="157">
        <v>3.0</v>
      </c>
      <c r="R141" s="61">
        <f t="shared" si="11"/>
        <v>3</v>
      </c>
      <c r="S141" s="158">
        <v>2.633064516</v>
      </c>
      <c r="T141" s="17"/>
    </row>
    <row r="142" ht="15.75" customHeight="1">
      <c r="A142" s="11"/>
      <c r="C142" s="101" t="s">
        <v>173</v>
      </c>
      <c r="D142" s="16"/>
      <c r="E142" s="230" t="s">
        <v>39</v>
      </c>
      <c r="F142" s="231">
        <v>2.0</v>
      </c>
      <c r="G142" s="232">
        <v>4.0</v>
      </c>
      <c r="H142" s="208">
        <v>4.0</v>
      </c>
      <c r="I142" s="120"/>
      <c r="J142" s="61">
        <v>1.0</v>
      </c>
      <c r="K142" s="76">
        <v>2.0</v>
      </c>
      <c r="L142" s="76">
        <v>3.0</v>
      </c>
      <c r="M142" s="76">
        <v>2.0</v>
      </c>
      <c r="N142" s="76">
        <v>2.0</v>
      </c>
      <c r="O142" s="163">
        <v>2.0</v>
      </c>
      <c r="P142" s="76">
        <v>2.0</v>
      </c>
      <c r="Q142" s="164">
        <v>2.0</v>
      </c>
      <c r="R142" s="61">
        <f t="shared" si="11"/>
        <v>2</v>
      </c>
      <c r="S142" s="165">
        <v>2.427419355</v>
      </c>
      <c r="T142" s="17"/>
    </row>
    <row r="143" ht="15.75" customHeight="1">
      <c r="A143" s="11"/>
      <c r="B143" s="166"/>
      <c r="C143" s="107" t="s">
        <v>174</v>
      </c>
      <c r="D143" s="108"/>
      <c r="E143" s="223" t="s">
        <v>77</v>
      </c>
      <c r="F143" s="250">
        <v>0.0</v>
      </c>
      <c r="G143" s="251">
        <v>3.0</v>
      </c>
      <c r="H143" s="205">
        <v>2.0</v>
      </c>
      <c r="I143" s="120"/>
      <c r="J143" s="53">
        <v>4.0</v>
      </c>
      <c r="K143" s="54">
        <v>3.0</v>
      </c>
      <c r="L143" s="54">
        <v>5.0</v>
      </c>
      <c r="M143" s="54">
        <v>3.0</v>
      </c>
      <c r="N143" s="54">
        <v>3.0</v>
      </c>
      <c r="O143" s="146">
        <v>3.0</v>
      </c>
      <c r="P143" s="54">
        <v>2.0</v>
      </c>
      <c r="Q143" s="172">
        <v>2.0</v>
      </c>
      <c r="R143" s="53">
        <f t="shared" si="11"/>
        <v>3</v>
      </c>
      <c r="S143" s="173">
        <v>2.788617886</v>
      </c>
      <c r="T143" s="17"/>
    </row>
    <row r="144" ht="15.75" customHeight="1">
      <c r="A144" s="11"/>
      <c r="C144" s="66" t="s">
        <v>175</v>
      </c>
      <c r="D144" s="48"/>
      <c r="E144" s="206" t="s">
        <v>176</v>
      </c>
      <c r="F144" s="216" t="s">
        <v>68</v>
      </c>
      <c r="G144" s="217" t="s">
        <v>68</v>
      </c>
      <c r="H144" s="69">
        <v>2.0</v>
      </c>
      <c r="I144" s="120"/>
      <c r="J144" s="61">
        <v>4.0</v>
      </c>
      <c r="K144" s="55">
        <v>3.0</v>
      </c>
      <c r="L144" s="55">
        <v>2.0</v>
      </c>
      <c r="M144" s="55">
        <v>4.0</v>
      </c>
      <c r="N144" s="55">
        <v>4.0</v>
      </c>
      <c r="O144" s="156">
        <v>4.0</v>
      </c>
      <c r="P144" s="55">
        <v>2.0</v>
      </c>
      <c r="Q144" s="157">
        <v>4.0</v>
      </c>
      <c r="R144" s="61">
        <f t="shared" si="11"/>
        <v>4</v>
      </c>
      <c r="S144" s="158">
        <v>3.333333333</v>
      </c>
      <c r="T144" s="17"/>
    </row>
    <row r="145" ht="15.75" customHeight="1">
      <c r="A145" s="11"/>
      <c r="C145" s="66" t="s">
        <v>177</v>
      </c>
      <c r="D145" s="48"/>
      <c r="E145" s="206" t="s">
        <v>176</v>
      </c>
      <c r="F145" s="261" t="s">
        <v>68</v>
      </c>
      <c r="G145" s="262" t="s">
        <v>68</v>
      </c>
      <c r="H145" s="69">
        <v>3.0</v>
      </c>
      <c r="I145" s="120"/>
      <c r="J145" s="105">
        <v>4.0</v>
      </c>
      <c r="K145" s="76">
        <v>3.0</v>
      </c>
      <c r="L145" s="76">
        <v>3.0</v>
      </c>
      <c r="M145" s="76">
        <v>2.0</v>
      </c>
      <c r="N145" s="76">
        <v>2.0</v>
      </c>
      <c r="O145" s="163">
        <v>2.0</v>
      </c>
      <c r="P145" s="76">
        <v>1.0</v>
      </c>
      <c r="Q145" s="164">
        <v>3.0</v>
      </c>
      <c r="R145" s="105">
        <f t="shared" si="11"/>
        <v>3</v>
      </c>
      <c r="S145" s="165">
        <v>2.772357724</v>
      </c>
      <c r="T145" s="17"/>
    </row>
    <row r="146" ht="15.75" customHeight="1">
      <c r="A146" s="11"/>
      <c r="B146" s="180"/>
      <c r="C146" s="107" t="s">
        <v>178</v>
      </c>
      <c r="D146" s="108"/>
      <c r="E146" s="226"/>
      <c r="F146" s="250">
        <v>3.0</v>
      </c>
      <c r="G146" s="251">
        <v>4.0</v>
      </c>
      <c r="H146" s="205">
        <v>3.0</v>
      </c>
      <c r="I146" s="120"/>
      <c r="J146" s="53">
        <v>3.0</v>
      </c>
      <c r="K146" s="54">
        <v>2.0</v>
      </c>
      <c r="L146" s="54">
        <v>4.0</v>
      </c>
      <c r="M146" s="54">
        <v>2.0</v>
      </c>
      <c r="N146" s="54">
        <v>1.0</v>
      </c>
      <c r="O146" s="146">
        <v>3.0</v>
      </c>
      <c r="P146" s="54">
        <v>2.0</v>
      </c>
      <c r="Q146" s="172">
        <v>2.0</v>
      </c>
      <c r="R146" s="53">
        <f t="shared" si="11"/>
        <v>3</v>
      </c>
      <c r="S146" s="173">
        <v>2.638211382</v>
      </c>
      <c r="T146" s="17"/>
    </row>
    <row r="147" ht="15.75" customHeight="1">
      <c r="A147" s="11"/>
      <c r="C147" s="101" t="s">
        <v>179</v>
      </c>
      <c r="D147" s="16"/>
      <c r="E147" s="206" t="s">
        <v>176</v>
      </c>
      <c r="F147" s="261" t="s">
        <v>68</v>
      </c>
      <c r="G147" s="262" t="s">
        <v>68</v>
      </c>
      <c r="H147" s="208">
        <v>4.0</v>
      </c>
      <c r="I147" s="120"/>
      <c r="J147" s="105">
        <v>4.0</v>
      </c>
      <c r="K147" s="76">
        <v>4.0</v>
      </c>
      <c r="L147" s="76">
        <v>4.0</v>
      </c>
      <c r="M147" s="76">
        <v>2.0</v>
      </c>
      <c r="N147" s="76">
        <v>3.0</v>
      </c>
      <c r="O147" s="163">
        <v>3.0</v>
      </c>
      <c r="P147" s="76">
        <v>2.0</v>
      </c>
      <c r="Q147" s="164">
        <v>3.0</v>
      </c>
      <c r="R147" s="105">
        <f t="shared" si="11"/>
        <v>4</v>
      </c>
      <c r="S147" s="165">
        <v>3.489878543</v>
      </c>
      <c r="T147" s="17"/>
    </row>
    <row r="148" ht="15.75" customHeight="1">
      <c r="A148" s="11"/>
      <c r="B148" s="187"/>
      <c r="C148" s="107" t="s">
        <v>180</v>
      </c>
      <c r="D148" s="108"/>
      <c r="E148" s="209" t="s">
        <v>71</v>
      </c>
      <c r="F148" s="169" t="s">
        <v>68</v>
      </c>
      <c r="G148" s="170" t="s">
        <v>68</v>
      </c>
      <c r="H148" s="205">
        <v>2.0</v>
      </c>
      <c r="I148" s="120"/>
      <c r="J148" s="53">
        <v>2.0</v>
      </c>
      <c r="K148" s="54">
        <v>3.0</v>
      </c>
      <c r="L148" s="54">
        <v>1.0</v>
      </c>
      <c r="M148" s="54">
        <v>3.0</v>
      </c>
      <c r="N148" s="54">
        <v>3.0</v>
      </c>
      <c r="O148" s="146">
        <v>4.0</v>
      </c>
      <c r="P148" s="54">
        <v>4.0</v>
      </c>
      <c r="Q148" s="172">
        <v>3.0</v>
      </c>
      <c r="R148" s="53">
        <f t="shared" si="11"/>
        <v>4</v>
      </c>
      <c r="S148" s="173">
        <v>3.28</v>
      </c>
      <c r="T148" s="17"/>
    </row>
    <row r="149" ht="15.75" customHeight="1">
      <c r="A149" s="11"/>
      <c r="C149" s="101" t="s">
        <v>181</v>
      </c>
      <c r="D149" s="16"/>
      <c r="E149" s="230"/>
      <c r="F149" s="231">
        <v>8.0</v>
      </c>
      <c r="G149" s="232">
        <v>8.0</v>
      </c>
      <c r="H149" s="208">
        <v>10.0</v>
      </c>
      <c r="I149" s="120"/>
      <c r="J149" s="61">
        <v>4.0</v>
      </c>
      <c r="K149" s="75">
        <v>2.0</v>
      </c>
      <c r="L149" s="75">
        <v>2.0</v>
      </c>
      <c r="M149" s="75">
        <v>1.0</v>
      </c>
      <c r="N149" s="75">
        <v>1.0</v>
      </c>
      <c r="O149" s="192">
        <v>1.0</v>
      </c>
      <c r="P149" s="75">
        <v>1.0</v>
      </c>
      <c r="Q149" s="193">
        <v>2.0</v>
      </c>
      <c r="R149" s="61">
        <f t="shared" si="11"/>
        <v>3</v>
      </c>
      <c r="S149" s="194">
        <v>2.836</v>
      </c>
      <c r="T149" s="17"/>
    </row>
    <row r="150" ht="15.75" customHeight="1">
      <c r="A150" s="11"/>
      <c r="B150" s="121"/>
      <c r="C150" s="195" t="s">
        <v>182</v>
      </c>
      <c r="D150" s="196"/>
      <c r="E150" s="124"/>
      <c r="F150" s="125"/>
      <c r="G150" s="125"/>
      <c r="H150" s="125"/>
      <c r="I150" s="126"/>
      <c r="J150" s="127"/>
      <c r="K150" s="128"/>
      <c r="L150" s="129"/>
      <c r="M150" s="130"/>
      <c r="N150" s="131"/>
      <c r="O150" s="130"/>
      <c r="P150" s="128"/>
      <c r="Q150" s="132"/>
      <c r="R150" s="133"/>
      <c r="S150" s="134"/>
      <c r="T150" s="17"/>
    </row>
    <row r="151" ht="15.75" customHeight="1">
      <c r="A151" s="11"/>
      <c r="B151" s="135"/>
      <c r="C151" s="136"/>
      <c r="D151" s="137"/>
      <c r="E151" s="138"/>
      <c r="F151" s="85"/>
      <c r="G151" s="85"/>
      <c r="H151" s="86"/>
      <c r="I151" s="120"/>
      <c r="J151" s="87" t="s">
        <v>1</v>
      </c>
      <c r="K151" s="88" t="s">
        <v>2</v>
      </c>
      <c r="L151" s="139" t="s">
        <v>3</v>
      </c>
      <c r="M151" s="140" t="s">
        <v>4</v>
      </c>
      <c r="N151" s="91" t="s">
        <v>13</v>
      </c>
      <c r="O151" s="38" t="s">
        <v>14</v>
      </c>
      <c r="P151" s="88" t="s">
        <v>15</v>
      </c>
      <c r="Q151" s="44" t="s">
        <v>16</v>
      </c>
      <c r="R151" s="95" t="s">
        <v>9</v>
      </c>
      <c r="S151" s="96"/>
      <c r="T151" s="17"/>
    </row>
    <row r="152" ht="15.75" customHeight="1">
      <c r="A152" s="11"/>
      <c r="B152" s="46"/>
      <c r="C152" s="66" t="s">
        <v>183</v>
      </c>
      <c r="D152" s="48"/>
      <c r="E152" s="223" t="s">
        <v>77</v>
      </c>
      <c r="F152" s="67">
        <v>2.0</v>
      </c>
      <c r="G152" s="68">
        <v>2.0</v>
      </c>
      <c r="H152" s="69">
        <v>2.0</v>
      </c>
      <c r="I152" s="120"/>
      <c r="J152" s="53">
        <v>4.0</v>
      </c>
      <c r="K152" s="56">
        <v>1.0</v>
      </c>
      <c r="L152" s="56">
        <v>5.0</v>
      </c>
      <c r="M152" s="56">
        <v>2.0</v>
      </c>
      <c r="N152" s="56">
        <v>3.0</v>
      </c>
      <c r="O152" s="146">
        <v>1.0</v>
      </c>
      <c r="P152" s="147">
        <v>4.0</v>
      </c>
      <c r="Q152" s="148">
        <v>3.0</v>
      </c>
      <c r="R152" s="53">
        <f t="shared" ref="R152:R161" si="12">ROUND(5+(4*S152)/(4.23-1.53)-(4*4.23)/(4.23-1.53),0)</f>
        <v>3</v>
      </c>
      <c r="S152" s="149">
        <v>2.943089431</v>
      </c>
      <c r="T152" s="17"/>
    </row>
    <row r="153" ht="15.75" customHeight="1">
      <c r="A153" s="11"/>
      <c r="C153" s="66" t="s">
        <v>184</v>
      </c>
      <c r="D153" s="48"/>
      <c r="E153" s="263" t="s">
        <v>51</v>
      </c>
      <c r="F153" s="264">
        <v>2.0</v>
      </c>
      <c r="G153" s="265">
        <v>2.0</v>
      </c>
      <c r="H153" s="69">
        <v>3.0</v>
      </c>
      <c r="I153" s="120"/>
      <c r="J153" s="61">
        <v>2.0</v>
      </c>
      <c r="K153" s="55">
        <v>3.0</v>
      </c>
      <c r="L153" s="55">
        <v>3.0</v>
      </c>
      <c r="M153" s="55">
        <v>1.0</v>
      </c>
      <c r="N153" s="55">
        <v>1.0</v>
      </c>
      <c r="O153" s="156">
        <v>3.0</v>
      </c>
      <c r="P153" s="55">
        <v>2.0</v>
      </c>
      <c r="Q153" s="157">
        <v>3.0</v>
      </c>
      <c r="R153" s="61">
        <f t="shared" si="12"/>
        <v>3</v>
      </c>
      <c r="S153" s="158">
        <v>2.819672131</v>
      </c>
      <c r="T153" s="17"/>
    </row>
    <row r="154" ht="15.75" customHeight="1">
      <c r="A154" s="11"/>
      <c r="C154" s="101" t="s">
        <v>185</v>
      </c>
      <c r="D154" s="16"/>
      <c r="E154" s="210" t="s">
        <v>162</v>
      </c>
      <c r="F154" s="211" t="s">
        <v>68</v>
      </c>
      <c r="G154" s="212" t="s">
        <v>68</v>
      </c>
      <c r="H154" s="208">
        <v>3.0</v>
      </c>
      <c r="I154" s="120"/>
      <c r="J154" s="61">
        <v>2.0</v>
      </c>
      <c r="K154" s="76">
        <v>3.0</v>
      </c>
      <c r="L154" s="76">
        <v>4.0</v>
      </c>
      <c r="M154" s="76">
        <v>3.0</v>
      </c>
      <c r="N154" s="76">
        <v>1.0</v>
      </c>
      <c r="O154" s="163">
        <v>1.0</v>
      </c>
      <c r="P154" s="76">
        <v>1.0</v>
      </c>
      <c r="Q154" s="164">
        <v>3.0</v>
      </c>
      <c r="R154" s="61">
        <f t="shared" si="12"/>
        <v>2</v>
      </c>
      <c r="S154" s="165">
        <v>2.178861789</v>
      </c>
      <c r="T154" s="17"/>
    </row>
    <row r="155" ht="15.75" customHeight="1">
      <c r="A155" s="11"/>
      <c r="B155" s="166"/>
      <c r="C155" s="266" t="s">
        <v>186</v>
      </c>
      <c r="D155" s="234"/>
      <c r="E155" s="267" t="s">
        <v>22</v>
      </c>
      <c r="F155" s="268">
        <v>4.0</v>
      </c>
      <c r="G155" s="269">
        <v>3.0</v>
      </c>
      <c r="H155" s="236">
        <v>4.0</v>
      </c>
      <c r="I155" s="237"/>
      <c r="J155" s="53">
        <v>3.0</v>
      </c>
      <c r="K155" s="54">
        <v>3.0</v>
      </c>
      <c r="L155" s="54">
        <v>4.0</v>
      </c>
      <c r="M155" s="54">
        <v>3.0</v>
      </c>
      <c r="N155" s="54">
        <v>2.0</v>
      </c>
      <c r="O155" s="146">
        <v>3.0</v>
      </c>
      <c r="P155" s="54">
        <v>2.0</v>
      </c>
      <c r="Q155" s="172">
        <v>3.0</v>
      </c>
      <c r="R155" s="53">
        <f t="shared" si="12"/>
        <v>3</v>
      </c>
      <c r="S155" s="173">
        <v>3.016260163</v>
      </c>
      <c r="T155" s="17"/>
    </row>
    <row r="156" ht="15.75" customHeight="1">
      <c r="A156" s="11"/>
      <c r="C156" s="270" t="s">
        <v>187</v>
      </c>
      <c r="D156" s="271"/>
      <c r="E156" s="272" t="s">
        <v>162</v>
      </c>
      <c r="F156" s="261" t="s">
        <v>68</v>
      </c>
      <c r="G156" s="262" t="s">
        <v>68</v>
      </c>
      <c r="H156" s="273">
        <v>5.0</v>
      </c>
      <c r="I156" s="237"/>
      <c r="J156" s="61">
        <v>1.0</v>
      </c>
      <c r="K156" s="55">
        <v>1.0</v>
      </c>
      <c r="L156" s="55">
        <v>1.0</v>
      </c>
      <c r="M156" s="55">
        <v>1.0</v>
      </c>
      <c r="N156" s="55">
        <v>1.0</v>
      </c>
      <c r="O156" s="156">
        <v>1.0</v>
      </c>
      <c r="P156" s="55">
        <v>1.0</v>
      </c>
      <c r="Q156" s="157">
        <v>1.0</v>
      </c>
      <c r="R156" s="61">
        <f t="shared" si="12"/>
        <v>1</v>
      </c>
      <c r="S156" s="158">
        <v>1.804878049</v>
      </c>
      <c r="T156" s="17"/>
    </row>
    <row r="157" ht="15.75" customHeight="1">
      <c r="A157" s="11"/>
      <c r="C157" s="274" t="s">
        <v>188</v>
      </c>
      <c r="D157" s="275"/>
      <c r="E157" s="199"/>
      <c r="F157" s="264">
        <v>4.0</v>
      </c>
      <c r="G157" s="265">
        <v>2.0</v>
      </c>
      <c r="H157" s="276">
        <v>6.0</v>
      </c>
      <c r="I157" s="120"/>
      <c r="J157" s="105">
        <v>1.0</v>
      </c>
      <c r="K157" s="76">
        <v>1.0</v>
      </c>
      <c r="L157" s="76">
        <v>1.0</v>
      </c>
      <c r="M157" s="76">
        <v>1.0</v>
      </c>
      <c r="N157" s="76">
        <v>1.0</v>
      </c>
      <c r="O157" s="163">
        <v>1.0</v>
      </c>
      <c r="P157" s="76">
        <v>2.0</v>
      </c>
      <c r="Q157" s="164">
        <v>2.0</v>
      </c>
      <c r="R157" s="105">
        <f t="shared" si="12"/>
        <v>2</v>
      </c>
      <c r="S157" s="165">
        <v>1.983739837</v>
      </c>
      <c r="T157" s="17"/>
    </row>
    <row r="158" ht="15.75" customHeight="1">
      <c r="A158" s="11"/>
      <c r="B158" s="180"/>
      <c r="C158" s="107" t="s">
        <v>189</v>
      </c>
      <c r="D158" s="108"/>
      <c r="E158" s="235" t="s">
        <v>162</v>
      </c>
      <c r="F158" s="169" t="s">
        <v>68</v>
      </c>
      <c r="G158" s="170" t="s">
        <v>68</v>
      </c>
      <c r="H158" s="205">
        <v>2.0</v>
      </c>
      <c r="I158" s="120"/>
      <c r="J158" s="53">
        <v>2.0</v>
      </c>
      <c r="K158" s="54">
        <v>3.0</v>
      </c>
      <c r="L158" s="54">
        <v>4.0</v>
      </c>
      <c r="M158" s="54">
        <v>3.0</v>
      </c>
      <c r="N158" s="54">
        <v>3.0</v>
      </c>
      <c r="O158" s="146">
        <v>3.0</v>
      </c>
      <c r="P158" s="54">
        <v>2.0</v>
      </c>
      <c r="Q158" s="172">
        <v>3.0</v>
      </c>
      <c r="R158" s="53">
        <f t="shared" si="12"/>
        <v>3</v>
      </c>
      <c r="S158" s="173">
        <v>3.093117409</v>
      </c>
      <c r="T158" s="17"/>
    </row>
    <row r="159" ht="15.75" customHeight="1">
      <c r="A159" s="11"/>
      <c r="C159" s="101" t="s">
        <v>190</v>
      </c>
      <c r="D159" s="16"/>
      <c r="E159" s="230" t="s">
        <v>20</v>
      </c>
      <c r="F159" s="231">
        <v>3.0</v>
      </c>
      <c r="G159" s="232">
        <v>6.0</v>
      </c>
      <c r="H159" s="208">
        <v>9.0</v>
      </c>
      <c r="I159" s="120"/>
      <c r="J159" s="105">
        <v>2.0</v>
      </c>
      <c r="K159" s="76">
        <v>1.0</v>
      </c>
      <c r="L159" s="76">
        <v>2.0</v>
      </c>
      <c r="M159" s="76">
        <v>1.0</v>
      </c>
      <c r="N159" s="76">
        <v>1.0</v>
      </c>
      <c r="O159" s="163">
        <v>3.0</v>
      </c>
      <c r="P159" s="76">
        <v>2.0</v>
      </c>
      <c r="Q159" s="164">
        <v>2.0</v>
      </c>
      <c r="R159" s="105">
        <f t="shared" si="12"/>
        <v>3</v>
      </c>
      <c r="S159" s="165">
        <v>2.754032258</v>
      </c>
      <c r="T159" s="17"/>
    </row>
    <row r="160" ht="15.75" customHeight="1">
      <c r="A160" s="11"/>
      <c r="B160" s="187"/>
      <c r="C160" s="107" t="s">
        <v>191</v>
      </c>
      <c r="D160" s="108"/>
      <c r="E160" s="235" t="s">
        <v>162</v>
      </c>
      <c r="F160" s="204" t="s">
        <v>68</v>
      </c>
      <c r="G160" s="204" t="s">
        <v>68</v>
      </c>
      <c r="H160" s="205">
        <v>3.0</v>
      </c>
      <c r="I160" s="120"/>
      <c r="J160" s="53">
        <v>1.0</v>
      </c>
      <c r="K160" s="54">
        <v>1.0</v>
      </c>
      <c r="L160" s="54">
        <v>2.0</v>
      </c>
      <c r="M160" s="54">
        <v>3.0</v>
      </c>
      <c r="N160" s="54">
        <v>3.0</v>
      </c>
      <c r="O160" s="146">
        <v>4.0</v>
      </c>
      <c r="P160" s="54">
        <v>3.0</v>
      </c>
      <c r="Q160" s="172">
        <v>3.0</v>
      </c>
      <c r="R160" s="53">
        <f t="shared" si="12"/>
        <v>5</v>
      </c>
      <c r="S160" s="173">
        <v>3.903225806</v>
      </c>
      <c r="T160" s="17"/>
    </row>
    <row r="161" ht="15.75" customHeight="1">
      <c r="A161" s="11"/>
      <c r="C161" s="101" t="s">
        <v>192</v>
      </c>
      <c r="D161" s="16"/>
      <c r="E161" s="230"/>
      <c r="F161" s="231">
        <v>3.0</v>
      </c>
      <c r="G161" s="232">
        <v>3.0</v>
      </c>
      <c r="H161" s="208">
        <v>5.0</v>
      </c>
      <c r="I161" s="120"/>
      <c r="J161" s="61">
        <v>2.0</v>
      </c>
      <c r="K161" s="75">
        <v>1.0</v>
      </c>
      <c r="L161" s="75">
        <v>4.0</v>
      </c>
      <c r="M161" s="75">
        <v>1.0</v>
      </c>
      <c r="N161" s="75">
        <v>1.0</v>
      </c>
      <c r="O161" s="192">
        <v>1.0</v>
      </c>
      <c r="P161" s="75">
        <v>3.0</v>
      </c>
      <c r="Q161" s="193">
        <v>2.0</v>
      </c>
      <c r="R161" s="61">
        <f t="shared" si="12"/>
        <v>3</v>
      </c>
      <c r="S161" s="194">
        <v>2.952</v>
      </c>
      <c r="T161" s="17"/>
    </row>
    <row r="162" ht="15.75" customHeight="1">
      <c r="A162" s="11"/>
      <c r="B162" s="277"/>
      <c r="C162" s="195" t="s">
        <v>193</v>
      </c>
      <c r="D162" s="196"/>
      <c r="E162" s="124"/>
      <c r="F162" s="125"/>
      <c r="G162" s="125"/>
      <c r="H162" s="125"/>
      <c r="I162" s="126"/>
      <c r="J162" s="127"/>
      <c r="K162" s="128"/>
      <c r="L162" s="129"/>
      <c r="M162" s="130"/>
      <c r="N162" s="131"/>
      <c r="O162" s="130"/>
      <c r="P162" s="128"/>
      <c r="Q162" s="132"/>
      <c r="R162" s="133"/>
      <c r="S162" s="134"/>
      <c r="T162" s="17"/>
    </row>
    <row r="163" ht="15.75" customHeight="1">
      <c r="A163" s="11"/>
      <c r="B163" s="278"/>
      <c r="C163" s="279"/>
      <c r="D163" s="137"/>
      <c r="E163" s="138"/>
      <c r="F163" s="85"/>
      <c r="G163" s="85"/>
      <c r="H163" s="86"/>
      <c r="I163" s="120"/>
      <c r="J163" s="87" t="s">
        <v>1</v>
      </c>
      <c r="K163" s="88" t="s">
        <v>2</v>
      </c>
      <c r="L163" s="139" t="s">
        <v>3</v>
      </c>
      <c r="M163" s="140" t="s">
        <v>4</v>
      </c>
      <c r="N163" s="91" t="s">
        <v>13</v>
      </c>
      <c r="O163" s="38" t="s">
        <v>14</v>
      </c>
      <c r="P163" s="88" t="s">
        <v>15</v>
      </c>
      <c r="Q163" s="44" t="s">
        <v>16</v>
      </c>
      <c r="R163" s="95" t="s">
        <v>9</v>
      </c>
      <c r="S163" s="96"/>
      <c r="T163" s="17"/>
    </row>
    <row r="164" ht="15.75" customHeight="1">
      <c r="A164" s="11"/>
      <c r="B164" s="280"/>
      <c r="C164" s="66" t="s">
        <v>194</v>
      </c>
      <c r="D164" s="48"/>
      <c r="E164" s="206" t="s">
        <v>101</v>
      </c>
      <c r="F164" s="216" t="s">
        <v>68</v>
      </c>
      <c r="G164" s="217" t="s">
        <v>68</v>
      </c>
      <c r="H164" s="69">
        <v>1.0</v>
      </c>
      <c r="I164" s="120"/>
      <c r="J164" s="53">
        <v>2.0</v>
      </c>
      <c r="K164" s="56">
        <v>2.0</v>
      </c>
      <c r="L164" s="56">
        <v>2.0</v>
      </c>
      <c r="M164" s="56">
        <v>3.0</v>
      </c>
      <c r="N164" s="56">
        <v>3.0</v>
      </c>
      <c r="O164" s="146">
        <v>2.0</v>
      </c>
      <c r="P164" s="147">
        <v>2.0</v>
      </c>
      <c r="Q164" s="148">
        <v>3.0</v>
      </c>
      <c r="R164" s="53">
        <f t="shared" ref="R164:R173" si="13">ROUND(5+(4*S164)/(4.23-1.53)-(4*4.23)/(4.23-1.53),0)</f>
        <v>4</v>
      </c>
      <c r="S164" s="149">
        <v>3.243902439</v>
      </c>
      <c r="T164" s="17"/>
    </row>
    <row r="165" ht="15.75" customHeight="1">
      <c r="A165" s="11"/>
      <c r="C165" s="66" t="s">
        <v>195</v>
      </c>
      <c r="D165" s="48"/>
      <c r="E165" s="281" t="s">
        <v>71</v>
      </c>
      <c r="F165" s="216" t="s">
        <v>68</v>
      </c>
      <c r="G165" s="217" t="s">
        <v>68</v>
      </c>
      <c r="H165" s="69">
        <v>2.0</v>
      </c>
      <c r="I165" s="120"/>
      <c r="J165" s="61">
        <v>3.0</v>
      </c>
      <c r="K165" s="55">
        <v>3.0</v>
      </c>
      <c r="L165" s="55">
        <v>2.0</v>
      </c>
      <c r="M165" s="55">
        <v>1.0</v>
      </c>
      <c r="N165" s="55">
        <v>1.0</v>
      </c>
      <c r="O165" s="156">
        <v>1.0</v>
      </c>
      <c r="P165" s="55">
        <v>1.0</v>
      </c>
      <c r="Q165" s="157">
        <v>2.0</v>
      </c>
      <c r="R165" s="61">
        <f t="shared" si="13"/>
        <v>2</v>
      </c>
      <c r="S165" s="158">
        <v>2.348178138</v>
      </c>
      <c r="T165" s="17"/>
    </row>
    <row r="166" ht="15.75" customHeight="1">
      <c r="A166" s="11"/>
      <c r="C166" s="101" t="s">
        <v>196</v>
      </c>
      <c r="D166" s="16"/>
      <c r="E166" s="282"/>
      <c r="F166" s="231">
        <v>4.0</v>
      </c>
      <c r="G166" s="232">
        <v>3.0</v>
      </c>
      <c r="H166" s="208">
        <v>5.0</v>
      </c>
      <c r="I166" s="120"/>
      <c r="J166" s="61">
        <v>2.0</v>
      </c>
      <c r="K166" s="76">
        <v>2.0</v>
      </c>
      <c r="L166" s="76">
        <v>2.0</v>
      </c>
      <c r="M166" s="76">
        <v>2.0</v>
      </c>
      <c r="N166" s="76">
        <v>2.0</v>
      </c>
      <c r="O166" s="163">
        <v>1.0</v>
      </c>
      <c r="P166" s="76">
        <v>1.0</v>
      </c>
      <c r="Q166" s="164">
        <v>3.0</v>
      </c>
      <c r="R166" s="61">
        <f t="shared" si="13"/>
        <v>3</v>
      </c>
      <c r="S166" s="165">
        <v>2.789473684</v>
      </c>
      <c r="T166" s="17"/>
    </row>
    <row r="167" ht="15.75" customHeight="1">
      <c r="A167" s="11"/>
      <c r="B167" s="283"/>
      <c r="C167" s="107" t="s">
        <v>197</v>
      </c>
      <c r="D167" s="108"/>
      <c r="E167" s="284" t="s">
        <v>39</v>
      </c>
      <c r="F167" s="250">
        <v>1.0</v>
      </c>
      <c r="G167" s="251">
        <v>1.0</v>
      </c>
      <c r="H167" s="205">
        <v>2.0</v>
      </c>
      <c r="I167" s="120"/>
      <c r="J167" s="53">
        <v>2.0</v>
      </c>
      <c r="K167" s="54">
        <v>2.0</v>
      </c>
      <c r="L167" s="54">
        <v>2.0</v>
      </c>
      <c r="M167" s="54">
        <v>1.0</v>
      </c>
      <c r="N167" s="54">
        <v>1.0</v>
      </c>
      <c r="O167" s="146">
        <v>1.0</v>
      </c>
      <c r="P167" s="54">
        <v>1.0</v>
      </c>
      <c r="Q167" s="172">
        <v>2.0</v>
      </c>
      <c r="R167" s="53">
        <f t="shared" si="13"/>
        <v>2</v>
      </c>
      <c r="S167" s="173">
        <v>2.13877551</v>
      </c>
      <c r="T167" s="17"/>
    </row>
    <row r="168" ht="15.75" customHeight="1">
      <c r="A168" s="11"/>
      <c r="C168" s="66" t="s">
        <v>198</v>
      </c>
      <c r="D168" s="48"/>
      <c r="E168" s="281" t="s">
        <v>71</v>
      </c>
      <c r="F168" s="216"/>
      <c r="G168" s="217"/>
      <c r="H168" s="69"/>
      <c r="I168" s="120"/>
      <c r="J168" s="61">
        <v>3.0</v>
      </c>
      <c r="K168" s="55">
        <v>4.0</v>
      </c>
      <c r="L168" s="55">
        <v>3.0</v>
      </c>
      <c r="M168" s="55">
        <v>3.0</v>
      </c>
      <c r="N168" s="55">
        <v>3.0</v>
      </c>
      <c r="O168" s="156">
        <v>1.0</v>
      </c>
      <c r="P168" s="55">
        <v>2.0</v>
      </c>
      <c r="Q168" s="157">
        <v>3.0</v>
      </c>
      <c r="R168" s="61">
        <f t="shared" si="13"/>
        <v>3</v>
      </c>
      <c r="S168" s="158">
        <v>2.967346939</v>
      </c>
      <c r="T168" s="17"/>
    </row>
    <row r="169" ht="15.75" customHeight="1">
      <c r="A169" s="11"/>
      <c r="C169" s="101" t="s">
        <v>199</v>
      </c>
      <c r="D169" s="16"/>
      <c r="E169" s="285" t="s">
        <v>77</v>
      </c>
      <c r="F169" s="231">
        <v>4.0</v>
      </c>
      <c r="G169" s="232">
        <v>2.0</v>
      </c>
      <c r="H169" s="208">
        <v>4.0</v>
      </c>
      <c r="I169" s="120"/>
      <c r="J169" s="105">
        <v>5.0</v>
      </c>
      <c r="K169" s="76">
        <v>5.0</v>
      </c>
      <c r="L169" s="76">
        <v>5.0</v>
      </c>
      <c r="M169" s="76">
        <v>5.0</v>
      </c>
      <c r="N169" s="76">
        <v>4.0</v>
      </c>
      <c r="O169" s="163">
        <v>3.0</v>
      </c>
      <c r="P169" s="76">
        <v>2.0</v>
      </c>
      <c r="Q169" s="164">
        <v>5.0</v>
      </c>
      <c r="R169" s="105">
        <f t="shared" si="13"/>
        <v>4</v>
      </c>
      <c r="S169" s="165">
        <v>3.636734694</v>
      </c>
      <c r="T169" s="17"/>
    </row>
    <row r="170" ht="15.75" customHeight="1">
      <c r="A170" s="11"/>
      <c r="B170" s="180"/>
      <c r="C170" s="107" t="s">
        <v>200</v>
      </c>
      <c r="D170" s="108"/>
      <c r="E170" s="226" t="s">
        <v>97</v>
      </c>
      <c r="F170" s="250">
        <v>2.0</v>
      </c>
      <c r="G170" s="251">
        <v>3.0</v>
      </c>
      <c r="H170" s="205">
        <v>2.0</v>
      </c>
      <c r="I170" s="120"/>
      <c r="J170" s="53">
        <v>1.0</v>
      </c>
      <c r="K170" s="54">
        <v>1.0</v>
      </c>
      <c r="L170" s="54">
        <v>1.0</v>
      </c>
      <c r="M170" s="54">
        <v>4.0</v>
      </c>
      <c r="N170" s="54">
        <v>3.0</v>
      </c>
      <c r="O170" s="146">
        <v>1.0</v>
      </c>
      <c r="P170" s="54">
        <v>2.0</v>
      </c>
      <c r="Q170" s="172">
        <v>3.0</v>
      </c>
      <c r="R170" s="53">
        <f t="shared" si="13"/>
        <v>3</v>
      </c>
      <c r="S170" s="173">
        <v>2.657258065</v>
      </c>
      <c r="T170" s="17"/>
    </row>
    <row r="171" ht="15.75" customHeight="1">
      <c r="A171" s="11"/>
      <c r="C171" s="101" t="s">
        <v>201</v>
      </c>
      <c r="D171" s="16"/>
      <c r="E171" s="230"/>
      <c r="F171" s="231">
        <v>3.0</v>
      </c>
      <c r="G171" s="232">
        <v>6.0</v>
      </c>
      <c r="H171" s="208">
        <v>4.0</v>
      </c>
      <c r="I171" s="120"/>
      <c r="J171" s="105">
        <v>1.0</v>
      </c>
      <c r="K171" s="76">
        <v>2.0</v>
      </c>
      <c r="L171" s="76">
        <v>1.0</v>
      </c>
      <c r="M171" s="76">
        <v>2.0</v>
      </c>
      <c r="N171" s="76">
        <v>1.0</v>
      </c>
      <c r="O171" s="163">
        <v>1.0</v>
      </c>
      <c r="P171" s="76">
        <v>1.0</v>
      </c>
      <c r="Q171" s="164">
        <v>2.0</v>
      </c>
      <c r="R171" s="105">
        <f t="shared" si="13"/>
        <v>2</v>
      </c>
      <c r="S171" s="165">
        <v>2.255060729</v>
      </c>
      <c r="T171" s="17"/>
    </row>
    <row r="172" ht="15.75" customHeight="1">
      <c r="A172" s="286"/>
      <c r="B172" s="187"/>
      <c r="C172" s="107" t="s">
        <v>202</v>
      </c>
      <c r="D172" s="108"/>
      <c r="E172" s="223"/>
      <c r="F172" s="250">
        <v>4.0</v>
      </c>
      <c r="G172" s="251">
        <v>3.0</v>
      </c>
      <c r="H172" s="205">
        <v>4.0</v>
      </c>
      <c r="I172" s="120"/>
      <c r="J172" s="53">
        <v>4.0</v>
      </c>
      <c r="K172" s="54">
        <v>4.0</v>
      </c>
      <c r="L172" s="54">
        <v>4.0</v>
      </c>
      <c r="M172" s="54">
        <v>1.0</v>
      </c>
      <c r="N172" s="54">
        <v>2.0</v>
      </c>
      <c r="O172" s="146">
        <v>1.0</v>
      </c>
      <c r="P172" s="54">
        <v>1.0</v>
      </c>
      <c r="Q172" s="172">
        <v>2.0</v>
      </c>
      <c r="R172" s="53">
        <f t="shared" si="13"/>
        <v>3</v>
      </c>
      <c r="S172" s="173">
        <v>2.661290323</v>
      </c>
      <c r="T172" s="287"/>
    </row>
    <row r="173" ht="15.75" customHeight="1">
      <c r="A173" s="288"/>
      <c r="B173" s="22"/>
      <c r="C173" s="117" t="s">
        <v>203</v>
      </c>
      <c r="D173" s="23"/>
      <c r="E173" s="289" t="s">
        <v>71</v>
      </c>
      <c r="F173" s="219" t="s">
        <v>68</v>
      </c>
      <c r="G173" s="220" t="s">
        <v>68</v>
      </c>
      <c r="H173" s="203">
        <v>5.0</v>
      </c>
      <c r="I173" s="120"/>
      <c r="J173" s="61">
        <v>1.0</v>
      </c>
      <c r="K173" s="75">
        <v>2.0</v>
      </c>
      <c r="L173" s="75">
        <v>1.0</v>
      </c>
      <c r="M173" s="75">
        <v>4.0</v>
      </c>
      <c r="N173" s="75">
        <v>3.0</v>
      </c>
      <c r="O173" s="192">
        <v>2.0</v>
      </c>
      <c r="P173" s="75">
        <v>1.0</v>
      </c>
      <c r="Q173" s="193">
        <v>3.0</v>
      </c>
      <c r="R173" s="61">
        <f t="shared" si="13"/>
        <v>4</v>
      </c>
      <c r="S173" s="194">
        <v>3.322709163</v>
      </c>
      <c r="T173" s="288"/>
    </row>
    <row r="174" ht="15.75" customHeight="1">
      <c r="A174" s="288"/>
      <c r="B174" s="290"/>
      <c r="C174" s="291"/>
      <c r="D174" s="292"/>
      <c r="E174" s="293"/>
      <c r="F174" s="291"/>
      <c r="G174" s="291"/>
      <c r="H174" s="291"/>
      <c r="I174" s="294"/>
      <c r="J174" s="295"/>
      <c r="K174" s="295"/>
      <c r="L174" s="295"/>
      <c r="M174" s="295"/>
      <c r="N174" s="295"/>
      <c r="O174" s="295"/>
      <c r="P174" s="296"/>
      <c r="Q174" s="297"/>
      <c r="R174" s="298"/>
      <c r="S174" s="299"/>
      <c r="T174" s="288"/>
    </row>
    <row r="175" ht="15.75" customHeight="1">
      <c r="A175" s="288"/>
      <c r="B175" s="300"/>
      <c r="C175" s="301"/>
      <c r="D175" s="302"/>
      <c r="E175" s="303"/>
      <c r="G175" s="17"/>
      <c r="H175" s="304"/>
      <c r="I175" s="305"/>
      <c r="J175" s="87" t="s">
        <v>1</v>
      </c>
      <c r="K175" s="88" t="s">
        <v>2</v>
      </c>
      <c r="L175" s="88" t="s">
        <v>3</v>
      </c>
      <c r="M175" s="140" t="s">
        <v>4</v>
      </c>
      <c r="N175" s="91" t="s">
        <v>13</v>
      </c>
      <c r="O175" s="92" t="s">
        <v>14</v>
      </c>
      <c r="P175" s="88" t="s">
        <v>15</v>
      </c>
      <c r="Q175" s="88" t="s">
        <v>16</v>
      </c>
      <c r="R175" s="306" t="s">
        <v>9</v>
      </c>
      <c r="S175" s="96"/>
      <c r="T175" s="288"/>
    </row>
    <row r="176" ht="15.75" customHeight="1">
      <c r="A176" s="288"/>
      <c r="B176" s="307"/>
      <c r="C176" s="307"/>
      <c r="D176" s="308"/>
      <c r="G176" s="17"/>
      <c r="H176" s="309"/>
      <c r="I176" s="310" t="s">
        <v>204</v>
      </c>
      <c r="J176" s="311">
        <f t="shared" ref="J176:S176" si="14">IFERROR(AVERAGE(J6:J25,J27:J41,J56:J65,J68:J77,J80:J89,J92:J101,J104:J113,J116:J125,J128:J137,J140:J149,J152:J161,J164:J173,J44:J53),"")</f>
        <v>2.103448276</v>
      </c>
      <c r="K176" s="311">
        <f t="shared" si="14"/>
        <v>2.220689655</v>
      </c>
      <c r="L176" s="311">
        <f t="shared" si="14"/>
        <v>2.213793103</v>
      </c>
      <c r="M176" s="311">
        <f t="shared" si="14"/>
        <v>1.862068966</v>
      </c>
      <c r="N176" s="311">
        <f t="shared" si="14"/>
        <v>1.862068966</v>
      </c>
      <c r="O176" s="311">
        <f t="shared" si="14"/>
        <v>1.896551724</v>
      </c>
      <c r="P176" s="311">
        <f t="shared" si="14"/>
        <v>1.772413793</v>
      </c>
      <c r="Q176" s="311">
        <f t="shared" si="14"/>
        <v>2.303448276</v>
      </c>
      <c r="R176" s="311">
        <f t="shared" si="14"/>
        <v>2.606896552</v>
      </c>
      <c r="S176" s="312">
        <f t="shared" si="14"/>
        <v>2.590853747</v>
      </c>
      <c r="T176" s="288"/>
    </row>
    <row r="177" ht="33.75" customHeight="1">
      <c r="A177" s="288"/>
      <c r="B177" s="313"/>
      <c r="C177" s="313"/>
      <c r="D177" s="308"/>
      <c r="G177" s="17"/>
      <c r="H177" s="314"/>
      <c r="I177" s="315" t="s">
        <v>205</v>
      </c>
      <c r="J177" s="311">
        <f t="shared" ref="J177:S177" si="15">IFERROR(STDEV(J6:J25,J27:J41,J44:J53,J56:J65,J68:J77,J80:J89,J92:J101,J104:J113,J116:J125,J128:J137,J140:J149,J152:J161,J164:J173),"")</f>
        <v>1.122522815</v>
      </c>
      <c r="K177" s="311">
        <f t="shared" si="15"/>
        <v>0.9751706796</v>
      </c>
      <c r="L177" s="311">
        <f t="shared" si="15"/>
        <v>1.185480487</v>
      </c>
      <c r="M177" s="311">
        <f t="shared" si="15"/>
        <v>1.018036575</v>
      </c>
      <c r="N177" s="311">
        <f t="shared" si="15"/>
        <v>0.9546719161</v>
      </c>
      <c r="O177" s="311">
        <f t="shared" si="15"/>
        <v>1.011902347</v>
      </c>
      <c r="P177" s="311">
        <f t="shared" si="15"/>
        <v>0.8639768161</v>
      </c>
      <c r="Q177" s="311">
        <f t="shared" si="15"/>
        <v>0.9077149113</v>
      </c>
      <c r="R177" s="311">
        <f t="shared" si="15"/>
        <v>0.9739421022</v>
      </c>
      <c r="S177" s="312">
        <f t="shared" si="15"/>
        <v>0.6039873074</v>
      </c>
      <c r="T177" s="288"/>
    </row>
    <row r="178" ht="15.75" customHeight="1">
      <c r="A178" s="288"/>
      <c r="B178" s="300"/>
      <c r="C178" s="301"/>
      <c r="D178" s="302"/>
      <c r="G178" s="17"/>
      <c r="H178" s="316" t="s">
        <v>206</v>
      </c>
      <c r="I178" s="317"/>
      <c r="O178" s="318"/>
      <c r="P178" s="319"/>
      <c r="Q178" s="319"/>
      <c r="R178" s="320"/>
      <c r="S178" s="321"/>
      <c r="T178" s="288"/>
    </row>
    <row r="179" ht="15.75" customHeight="1">
      <c r="A179" s="288"/>
      <c r="B179" s="322"/>
      <c r="C179" s="323"/>
      <c r="D179" s="324"/>
      <c r="G179" s="17"/>
      <c r="H179" s="316">
        <v>1.0</v>
      </c>
      <c r="I179" s="325"/>
      <c r="J179" s="316">
        <f t="shared" ref="J179:S179" si="16">COUNTIF(J6:J173,$H$179)</f>
        <v>56</v>
      </c>
      <c r="K179" s="316">
        <f t="shared" si="16"/>
        <v>36</v>
      </c>
      <c r="L179" s="316">
        <f t="shared" si="16"/>
        <v>55</v>
      </c>
      <c r="M179" s="316">
        <f t="shared" si="16"/>
        <v>70</v>
      </c>
      <c r="N179" s="316">
        <f t="shared" si="16"/>
        <v>62</v>
      </c>
      <c r="O179" s="316">
        <f t="shared" si="16"/>
        <v>70</v>
      </c>
      <c r="P179" s="316">
        <f t="shared" si="16"/>
        <v>67</v>
      </c>
      <c r="Q179" s="316">
        <f t="shared" si="16"/>
        <v>30</v>
      </c>
      <c r="R179" s="326">
        <f t="shared" si="16"/>
        <v>18</v>
      </c>
      <c r="S179" s="327">
        <f t="shared" si="16"/>
        <v>0</v>
      </c>
      <c r="T179" s="288"/>
    </row>
    <row r="180" ht="15.75" customHeight="1">
      <c r="A180" s="288"/>
      <c r="B180" s="328"/>
      <c r="C180" s="323"/>
      <c r="D180" s="324"/>
      <c r="G180" s="17"/>
      <c r="H180" s="316">
        <v>2.0</v>
      </c>
      <c r="I180" s="325"/>
      <c r="J180" s="316">
        <f t="shared" ref="J180:L180" si="17">COUNTIF(J6:J173,$H$180)</f>
        <v>43</v>
      </c>
      <c r="K180" s="316">
        <f t="shared" si="17"/>
        <v>60</v>
      </c>
      <c r="L180" s="316">
        <f t="shared" si="17"/>
        <v>33</v>
      </c>
      <c r="M180" s="316">
        <f>COUNTIF(M28:M174,$H$180)</f>
        <v>32</v>
      </c>
      <c r="N180" s="316">
        <f>COUNTIF(N6:N173,$H$180)</f>
        <v>49</v>
      </c>
      <c r="O180" s="316">
        <f t="shared" ref="O180:S180" si="18">COUNTIF(O28:O174,$H$180)</f>
        <v>28</v>
      </c>
      <c r="P180" s="316">
        <f t="shared" si="18"/>
        <v>46</v>
      </c>
      <c r="Q180" s="316">
        <f t="shared" si="18"/>
        <v>46</v>
      </c>
      <c r="R180" s="326">
        <f t="shared" si="18"/>
        <v>40</v>
      </c>
      <c r="S180" s="327">
        <f t="shared" si="18"/>
        <v>1</v>
      </c>
      <c r="T180" s="288"/>
    </row>
    <row r="181" ht="15.75" customHeight="1">
      <c r="A181" s="288"/>
      <c r="B181" s="328"/>
      <c r="C181" s="323"/>
      <c r="D181" s="324"/>
      <c r="G181" s="17"/>
      <c r="H181" s="316">
        <v>3.0</v>
      </c>
      <c r="I181" s="325"/>
      <c r="J181" s="316">
        <f t="shared" ref="J181:L181" si="19">COUNTIF(J6:J173,$H$181)</f>
        <v>24</v>
      </c>
      <c r="K181" s="316">
        <f t="shared" si="19"/>
        <v>31</v>
      </c>
      <c r="L181" s="316">
        <f t="shared" si="19"/>
        <v>33</v>
      </c>
      <c r="M181" s="316">
        <f>COUNTIF(M6:M175,$H$181)</f>
        <v>27</v>
      </c>
      <c r="N181" s="316">
        <f>COUNTIF(N6:N173,$H$181)</f>
        <v>23</v>
      </c>
      <c r="O181" s="316">
        <f t="shared" ref="O181:S181" si="20">COUNTIF(O6:O175,$H$181)</f>
        <v>31</v>
      </c>
      <c r="P181" s="316">
        <f t="shared" si="20"/>
        <v>20</v>
      </c>
      <c r="Q181" s="316">
        <f t="shared" si="20"/>
        <v>49</v>
      </c>
      <c r="R181" s="326">
        <f t="shared" si="20"/>
        <v>55</v>
      </c>
      <c r="S181" s="327">
        <f t="shared" si="20"/>
        <v>0</v>
      </c>
      <c r="T181" s="288"/>
    </row>
    <row r="182" ht="15.75" customHeight="1">
      <c r="A182" s="288"/>
      <c r="B182" s="328"/>
      <c r="C182" s="323"/>
      <c r="D182" s="324"/>
      <c r="G182" s="17"/>
      <c r="H182" s="316">
        <v>4.0</v>
      </c>
      <c r="I182" s="325"/>
      <c r="J182" s="316">
        <f t="shared" ref="J182:L182" si="21">COUNTIF(J6:J173,$H$182)</f>
        <v>19</v>
      </c>
      <c r="K182" s="316">
        <f t="shared" si="21"/>
        <v>17</v>
      </c>
      <c r="L182" s="316">
        <f t="shared" si="21"/>
        <v>19</v>
      </c>
      <c r="M182" s="316">
        <f>COUNTIF(M7:M176,$H$182)</f>
        <v>7</v>
      </c>
      <c r="N182" s="316">
        <f>COUNTIF(N6:N173,$H$182)</f>
        <v>9</v>
      </c>
      <c r="O182" s="316">
        <f t="shared" ref="O182:S182" si="22">COUNTIF(O7:O176,$H$182)</f>
        <v>12</v>
      </c>
      <c r="P182" s="316">
        <f t="shared" si="22"/>
        <v>7</v>
      </c>
      <c r="Q182" s="316">
        <f t="shared" si="22"/>
        <v>11</v>
      </c>
      <c r="R182" s="326">
        <f t="shared" si="22"/>
        <v>18</v>
      </c>
      <c r="S182" s="327">
        <f t="shared" si="22"/>
        <v>0</v>
      </c>
      <c r="T182" s="288"/>
    </row>
    <row r="183" ht="15.75" customHeight="1">
      <c r="A183" s="288"/>
      <c r="B183" s="328"/>
      <c r="C183" s="323"/>
      <c r="D183" s="324"/>
      <c r="G183" s="17"/>
      <c r="H183" s="329">
        <v>5.0</v>
      </c>
      <c r="I183" s="325"/>
      <c r="J183" s="329">
        <f t="shared" ref="J183:L183" si="23">COUNTIF(J6:J173,$H$183)</f>
        <v>3</v>
      </c>
      <c r="K183" s="329">
        <f t="shared" si="23"/>
        <v>1</v>
      </c>
      <c r="L183" s="329">
        <f t="shared" si="23"/>
        <v>5</v>
      </c>
      <c r="M183" s="329">
        <f>COUNTIF(M8:M177,$H$183)</f>
        <v>3</v>
      </c>
      <c r="N183" s="329">
        <f>COUNTIF(N6:N173,$H$183)</f>
        <v>1</v>
      </c>
      <c r="O183" s="329">
        <f t="shared" ref="O183:S183" si="24">COUNTIF(O8:O177,$H$183)</f>
        <v>0</v>
      </c>
      <c r="P183" s="329">
        <f t="shared" si="24"/>
        <v>0</v>
      </c>
      <c r="Q183" s="329">
        <f t="shared" si="24"/>
        <v>1</v>
      </c>
      <c r="R183" s="330">
        <f t="shared" si="24"/>
        <v>5</v>
      </c>
      <c r="S183" s="331">
        <f t="shared" si="24"/>
        <v>0</v>
      </c>
      <c r="T183" s="288"/>
    </row>
    <row r="184" ht="15.75" customHeight="1">
      <c r="A184" s="288"/>
      <c r="B184" s="332"/>
      <c r="C184" s="333"/>
      <c r="D184" s="324"/>
      <c r="E184" s="334"/>
      <c r="F184" s="334"/>
      <c r="G184" s="287"/>
      <c r="H184" s="291"/>
      <c r="I184" s="294"/>
      <c r="J184" s="291"/>
      <c r="K184" s="291"/>
      <c r="L184" s="291"/>
      <c r="M184" s="291"/>
      <c r="N184" s="291"/>
      <c r="O184" s="291"/>
      <c r="P184" s="291"/>
      <c r="Q184" s="335"/>
      <c r="R184" s="336"/>
      <c r="S184" s="337"/>
      <c r="T184" s="288"/>
    </row>
    <row r="185">
      <c r="A185" s="288"/>
      <c r="D185" s="338"/>
      <c r="E185" s="339"/>
      <c r="I185" s="340"/>
      <c r="R185" s="341"/>
      <c r="S185" s="342"/>
      <c r="T185" s="288"/>
    </row>
    <row r="186">
      <c r="A186" s="288"/>
      <c r="D186" s="338"/>
      <c r="E186" s="339"/>
      <c r="I186" s="340"/>
      <c r="R186" s="341"/>
      <c r="S186" s="342"/>
      <c r="T186" s="288"/>
    </row>
    <row r="187">
      <c r="A187" s="288"/>
      <c r="D187" s="338"/>
      <c r="E187" s="339"/>
      <c r="I187" s="340"/>
      <c r="R187" s="341"/>
      <c r="S187" s="342"/>
      <c r="T187" s="288"/>
    </row>
    <row r="188">
      <c r="A188" s="288"/>
      <c r="D188" s="338"/>
      <c r="E188" s="339"/>
      <c r="I188" s="340"/>
      <c r="R188" s="341"/>
      <c r="S188" s="342"/>
      <c r="T188" s="288"/>
    </row>
    <row r="189">
      <c r="A189" s="288"/>
      <c r="D189" s="338"/>
      <c r="E189" s="339"/>
      <c r="I189" s="340"/>
      <c r="R189" s="341"/>
      <c r="S189" s="342"/>
      <c r="T189" s="288"/>
    </row>
    <row r="190">
      <c r="A190" s="288"/>
      <c r="D190" s="338"/>
      <c r="E190" s="339"/>
      <c r="I190" s="340"/>
      <c r="R190" s="341"/>
      <c r="S190" s="342"/>
      <c r="T190" s="288"/>
    </row>
    <row r="191">
      <c r="A191" s="288"/>
      <c r="D191" s="338"/>
      <c r="E191" s="339"/>
      <c r="I191" s="340"/>
      <c r="R191" s="341"/>
      <c r="S191" s="342"/>
      <c r="T191" s="288"/>
    </row>
    <row r="192">
      <c r="A192" s="288"/>
      <c r="D192" s="338"/>
      <c r="E192" s="339"/>
      <c r="I192" s="340"/>
      <c r="R192" s="341"/>
      <c r="S192" s="342"/>
      <c r="T192" s="288"/>
    </row>
    <row r="193">
      <c r="A193" s="288"/>
      <c r="D193" s="338"/>
      <c r="E193" s="339"/>
      <c r="I193" s="340"/>
      <c r="R193" s="341"/>
      <c r="S193" s="342"/>
      <c r="T193" s="288"/>
    </row>
    <row r="194">
      <c r="A194" s="288"/>
      <c r="D194" s="338"/>
      <c r="E194" s="339"/>
      <c r="I194" s="340"/>
      <c r="R194" s="341"/>
      <c r="S194" s="342"/>
      <c r="T194" s="288"/>
    </row>
    <row r="195">
      <c r="A195" s="288"/>
      <c r="D195" s="338"/>
      <c r="E195" s="339"/>
      <c r="I195" s="340"/>
      <c r="R195" s="341"/>
      <c r="S195" s="342"/>
      <c r="T195" s="288"/>
    </row>
    <row r="196">
      <c r="A196" s="288"/>
      <c r="D196" s="338"/>
      <c r="E196" s="339"/>
      <c r="I196" s="340"/>
      <c r="R196" s="341"/>
      <c r="S196" s="342"/>
      <c r="T196" s="288"/>
    </row>
    <row r="197">
      <c r="A197" s="288"/>
      <c r="D197" s="338"/>
      <c r="E197" s="339"/>
      <c r="I197" s="340"/>
      <c r="R197" s="341"/>
      <c r="S197" s="342"/>
      <c r="T197" s="288"/>
    </row>
    <row r="198">
      <c r="A198" s="288"/>
      <c r="D198" s="338"/>
      <c r="E198" s="339"/>
      <c r="I198" s="340"/>
      <c r="R198" s="341"/>
      <c r="S198" s="342"/>
      <c r="T198" s="288"/>
    </row>
    <row r="199">
      <c r="A199" s="288"/>
      <c r="D199" s="338"/>
      <c r="E199" s="339"/>
      <c r="I199" s="340"/>
      <c r="R199" s="341"/>
      <c r="S199" s="342"/>
      <c r="T199" s="288"/>
    </row>
    <row r="200">
      <c r="A200" s="288"/>
      <c r="D200" s="338"/>
      <c r="E200" s="339"/>
      <c r="I200" s="340"/>
      <c r="R200" s="341"/>
      <c r="S200" s="342"/>
      <c r="T200" s="288"/>
    </row>
    <row r="201">
      <c r="A201" s="288"/>
      <c r="D201" s="338"/>
      <c r="E201" s="339"/>
      <c r="I201" s="340"/>
      <c r="R201" s="341"/>
      <c r="S201" s="342"/>
      <c r="T201" s="288"/>
    </row>
    <row r="202">
      <c r="A202" s="288"/>
      <c r="D202" s="338"/>
      <c r="E202" s="339"/>
      <c r="I202" s="340"/>
      <c r="R202" s="341"/>
      <c r="S202" s="342"/>
      <c r="T202" s="288"/>
    </row>
    <row r="203">
      <c r="A203" s="288"/>
      <c r="D203" s="338"/>
      <c r="E203" s="339"/>
      <c r="I203" s="340"/>
      <c r="R203" s="341"/>
      <c r="S203" s="342"/>
      <c r="T203" s="288"/>
    </row>
    <row r="204">
      <c r="A204" s="288"/>
      <c r="D204" s="338"/>
      <c r="E204" s="339"/>
      <c r="I204" s="340"/>
      <c r="R204" s="341"/>
      <c r="S204" s="342"/>
      <c r="T204" s="288"/>
    </row>
    <row r="205">
      <c r="A205" s="288"/>
      <c r="D205" s="338"/>
      <c r="E205" s="339"/>
      <c r="I205" s="340"/>
      <c r="R205" s="341"/>
      <c r="S205" s="342"/>
      <c r="T205" s="288"/>
    </row>
    <row r="206">
      <c r="A206" s="288"/>
      <c r="D206" s="338"/>
      <c r="E206" s="339"/>
      <c r="I206" s="340"/>
      <c r="R206" s="341"/>
      <c r="S206" s="342"/>
      <c r="T206" s="288"/>
    </row>
    <row r="207">
      <c r="A207" s="288"/>
      <c r="B207" s="288"/>
      <c r="C207" s="335"/>
      <c r="D207" s="343"/>
      <c r="E207" s="303"/>
      <c r="F207" s="344"/>
      <c r="G207" s="344"/>
      <c r="H207" s="335"/>
      <c r="I207" s="345"/>
      <c r="J207" s="335"/>
      <c r="K207" s="335"/>
      <c r="L207" s="335"/>
      <c r="M207" s="335"/>
      <c r="N207" s="335"/>
      <c r="O207" s="335"/>
      <c r="P207" s="335"/>
      <c r="Q207" s="335"/>
      <c r="R207" s="336"/>
      <c r="S207" s="337"/>
      <c r="T207" s="288"/>
    </row>
    <row r="208">
      <c r="A208" s="288"/>
      <c r="B208" s="288"/>
      <c r="C208" s="335"/>
      <c r="D208" s="343"/>
      <c r="E208" s="303"/>
      <c r="F208" s="344"/>
      <c r="G208" s="344"/>
      <c r="H208" s="335"/>
      <c r="I208" s="345"/>
      <c r="J208" s="335"/>
      <c r="K208" s="335"/>
      <c r="L208" s="335"/>
      <c r="M208" s="335"/>
      <c r="N208" s="335"/>
      <c r="O208" s="335"/>
      <c r="P208" s="335"/>
      <c r="Q208" s="335"/>
      <c r="R208" s="336"/>
      <c r="S208" s="337"/>
      <c r="T208" s="288"/>
    </row>
    <row r="209">
      <c r="A209" s="288"/>
      <c r="B209" s="288"/>
      <c r="C209" s="335"/>
      <c r="D209" s="343"/>
      <c r="E209" s="303"/>
      <c r="F209" s="344"/>
      <c r="G209" s="344"/>
      <c r="H209" s="335"/>
      <c r="I209" s="345"/>
      <c r="J209" s="335"/>
      <c r="K209" s="335"/>
      <c r="L209" s="335"/>
      <c r="M209" s="335"/>
      <c r="N209" s="335"/>
      <c r="O209" s="335"/>
      <c r="P209" s="335"/>
      <c r="Q209" s="335"/>
      <c r="R209" s="336"/>
      <c r="S209" s="337"/>
      <c r="T209" s="288"/>
    </row>
    <row r="210">
      <c r="A210" s="288"/>
      <c r="B210" s="288"/>
      <c r="C210" s="335"/>
      <c r="D210" s="343"/>
      <c r="E210" s="303"/>
      <c r="F210" s="344"/>
      <c r="G210" s="344"/>
      <c r="H210" s="335"/>
      <c r="I210" s="345"/>
      <c r="J210" s="335"/>
      <c r="K210" s="335"/>
      <c r="L210" s="335"/>
      <c r="M210" s="335"/>
      <c r="N210" s="335"/>
      <c r="O210" s="335"/>
      <c r="P210" s="335"/>
      <c r="Q210" s="335"/>
      <c r="R210" s="336"/>
      <c r="S210" s="337"/>
      <c r="T210" s="288"/>
    </row>
    <row r="211">
      <c r="A211" s="288"/>
      <c r="B211" s="288"/>
      <c r="C211" s="335"/>
      <c r="D211" s="343"/>
      <c r="E211" s="303"/>
      <c r="F211" s="344"/>
      <c r="G211" s="344"/>
      <c r="H211" s="335"/>
      <c r="I211" s="345"/>
      <c r="J211" s="335"/>
      <c r="K211" s="335"/>
      <c r="L211" s="335"/>
      <c r="M211" s="335"/>
      <c r="N211" s="335"/>
      <c r="O211" s="335"/>
      <c r="P211" s="335"/>
      <c r="Q211" s="335"/>
      <c r="R211" s="336"/>
      <c r="S211" s="337"/>
      <c r="T211" s="288"/>
    </row>
    <row r="212">
      <c r="A212" s="288"/>
      <c r="B212" s="288"/>
      <c r="C212" s="335"/>
      <c r="D212" s="343"/>
      <c r="E212" s="303"/>
      <c r="F212" s="344"/>
      <c r="G212" s="344"/>
      <c r="H212" s="335"/>
      <c r="I212" s="345"/>
      <c r="J212" s="335"/>
      <c r="K212" s="335"/>
      <c r="L212" s="335"/>
      <c r="M212" s="335"/>
      <c r="N212" s="335"/>
      <c r="O212" s="335"/>
      <c r="P212" s="335"/>
      <c r="Q212" s="335"/>
      <c r="R212" s="336"/>
      <c r="S212" s="337"/>
      <c r="T212" s="288"/>
    </row>
    <row r="213">
      <c r="A213" s="288"/>
      <c r="B213" s="288"/>
      <c r="C213" s="335"/>
      <c r="D213" s="343"/>
      <c r="E213" s="303"/>
      <c r="F213" s="344"/>
      <c r="G213" s="344"/>
      <c r="H213" s="335"/>
      <c r="I213" s="345"/>
      <c r="J213" s="335"/>
      <c r="K213" s="335"/>
      <c r="L213" s="335"/>
      <c r="M213" s="335"/>
      <c r="N213" s="335"/>
      <c r="O213" s="335"/>
      <c r="P213" s="335"/>
      <c r="Q213" s="335"/>
      <c r="R213" s="336"/>
      <c r="S213" s="337"/>
      <c r="T213" s="288"/>
    </row>
    <row r="214">
      <c r="A214" s="288"/>
      <c r="B214" s="288"/>
      <c r="C214" s="335"/>
      <c r="D214" s="343"/>
      <c r="E214" s="303"/>
      <c r="F214" s="344"/>
      <c r="G214" s="344"/>
      <c r="H214" s="335"/>
      <c r="I214" s="345"/>
      <c r="J214" s="335"/>
      <c r="K214" s="335"/>
      <c r="L214" s="335"/>
      <c r="M214" s="335"/>
      <c r="N214" s="335"/>
      <c r="O214" s="335"/>
      <c r="P214" s="335"/>
      <c r="Q214" s="335"/>
      <c r="R214" s="336"/>
      <c r="S214" s="337"/>
      <c r="T214" s="288"/>
    </row>
    <row r="215">
      <c r="A215" s="288"/>
      <c r="B215" s="288"/>
      <c r="C215" s="335"/>
      <c r="D215" s="343"/>
      <c r="E215" s="303"/>
      <c r="F215" s="344"/>
      <c r="G215" s="344"/>
      <c r="H215" s="335"/>
      <c r="I215" s="345"/>
      <c r="J215" s="335"/>
      <c r="K215" s="335"/>
      <c r="L215" s="335"/>
      <c r="M215" s="335"/>
      <c r="N215" s="335"/>
      <c r="O215" s="335"/>
      <c r="P215" s="335"/>
      <c r="Q215" s="335"/>
      <c r="R215" s="336"/>
      <c r="S215" s="337"/>
      <c r="T215" s="288"/>
    </row>
    <row r="216">
      <c r="A216" s="288"/>
      <c r="B216" s="288"/>
      <c r="C216" s="335"/>
      <c r="D216" s="343"/>
      <c r="E216" s="303"/>
      <c r="F216" s="344"/>
      <c r="G216" s="344"/>
      <c r="H216" s="335"/>
      <c r="I216" s="345"/>
      <c r="J216" s="335"/>
      <c r="K216" s="335"/>
      <c r="L216" s="335"/>
      <c r="M216" s="335"/>
      <c r="N216" s="335"/>
      <c r="O216" s="335"/>
      <c r="P216" s="335"/>
      <c r="Q216" s="335"/>
      <c r="R216" s="336"/>
      <c r="S216" s="337"/>
      <c r="T216" s="288"/>
    </row>
    <row r="217">
      <c r="A217" s="288"/>
      <c r="B217" s="288"/>
      <c r="C217" s="335"/>
      <c r="D217" s="343"/>
      <c r="E217" s="303"/>
      <c r="F217" s="344"/>
      <c r="G217" s="344"/>
      <c r="H217" s="335"/>
      <c r="I217" s="345"/>
      <c r="J217" s="335"/>
      <c r="K217" s="335"/>
      <c r="L217" s="335"/>
      <c r="M217" s="335"/>
      <c r="N217" s="335"/>
      <c r="O217" s="335"/>
      <c r="P217" s="335"/>
      <c r="Q217" s="335"/>
      <c r="R217" s="336"/>
      <c r="S217" s="337"/>
      <c r="T217" s="288"/>
    </row>
    <row r="218">
      <c r="A218" s="288"/>
      <c r="B218" s="288"/>
      <c r="C218" s="335"/>
      <c r="D218" s="343"/>
      <c r="E218" s="303"/>
      <c r="F218" s="344"/>
      <c r="G218" s="344"/>
      <c r="H218" s="335"/>
      <c r="I218" s="345"/>
      <c r="J218" s="335"/>
      <c r="K218" s="335"/>
      <c r="L218" s="335"/>
      <c r="M218" s="335"/>
      <c r="N218" s="335"/>
      <c r="O218" s="335"/>
      <c r="P218" s="335"/>
      <c r="Q218" s="335"/>
      <c r="R218" s="336"/>
      <c r="S218" s="337"/>
      <c r="T218" s="288"/>
    </row>
    <row r="219">
      <c r="A219" s="288"/>
      <c r="B219" s="288"/>
      <c r="C219" s="335"/>
      <c r="D219" s="343"/>
      <c r="E219" s="303"/>
      <c r="F219" s="344"/>
      <c r="G219" s="344"/>
      <c r="H219" s="335"/>
      <c r="I219" s="345"/>
      <c r="J219" s="335"/>
      <c r="K219" s="335"/>
      <c r="L219" s="335"/>
      <c r="M219" s="335"/>
      <c r="N219" s="335"/>
      <c r="O219" s="335"/>
      <c r="P219" s="335"/>
      <c r="Q219" s="335"/>
      <c r="R219" s="336"/>
      <c r="S219" s="337"/>
      <c r="T219" s="288"/>
    </row>
    <row r="220">
      <c r="A220" s="288"/>
      <c r="B220" s="288"/>
      <c r="C220" s="335"/>
      <c r="D220" s="343"/>
      <c r="E220" s="303"/>
      <c r="F220" s="344"/>
      <c r="G220" s="344"/>
      <c r="H220" s="335"/>
      <c r="I220" s="345"/>
      <c r="J220" s="335"/>
      <c r="K220" s="335"/>
      <c r="L220" s="335"/>
      <c r="M220" s="335"/>
      <c r="N220" s="335"/>
      <c r="O220" s="335"/>
      <c r="P220" s="335"/>
      <c r="Q220" s="335"/>
      <c r="R220" s="336"/>
      <c r="S220" s="337"/>
      <c r="T220" s="288"/>
    </row>
    <row r="221">
      <c r="A221" s="288"/>
      <c r="B221" s="288"/>
      <c r="C221" s="335"/>
      <c r="D221" s="343"/>
      <c r="E221" s="303"/>
      <c r="F221" s="344"/>
      <c r="G221" s="344"/>
      <c r="H221" s="335"/>
      <c r="I221" s="345"/>
      <c r="J221" s="335"/>
      <c r="K221" s="335"/>
      <c r="L221" s="335"/>
      <c r="M221" s="335"/>
      <c r="N221" s="335"/>
      <c r="O221" s="335"/>
      <c r="P221" s="335"/>
      <c r="Q221" s="335"/>
      <c r="R221" s="336"/>
      <c r="S221" s="337"/>
      <c r="T221" s="288"/>
    </row>
    <row r="222">
      <c r="A222" s="288"/>
      <c r="B222" s="288"/>
      <c r="C222" s="335"/>
      <c r="D222" s="343"/>
      <c r="E222" s="303"/>
      <c r="F222" s="344"/>
      <c r="G222" s="344"/>
      <c r="H222" s="335"/>
      <c r="I222" s="345"/>
      <c r="J222" s="335"/>
      <c r="K222" s="335"/>
      <c r="L222" s="335"/>
      <c r="M222" s="335"/>
      <c r="N222" s="335"/>
      <c r="O222" s="335"/>
      <c r="P222" s="335"/>
      <c r="Q222" s="335"/>
      <c r="R222" s="336"/>
      <c r="S222" s="337"/>
      <c r="T222" s="288"/>
    </row>
  </sheetData>
  <mergeCells count="214">
    <mergeCell ref="C108:D108"/>
    <mergeCell ref="C109:D109"/>
    <mergeCell ref="B110:B111"/>
    <mergeCell ref="C110:D110"/>
    <mergeCell ref="C111:D111"/>
    <mergeCell ref="B112:B113"/>
    <mergeCell ref="C112:D112"/>
    <mergeCell ref="C113:D113"/>
    <mergeCell ref="B116:B118"/>
    <mergeCell ref="C116:D116"/>
    <mergeCell ref="C117:D117"/>
    <mergeCell ref="C118:D118"/>
    <mergeCell ref="B119:B121"/>
    <mergeCell ref="C119:D119"/>
    <mergeCell ref="C120:D120"/>
    <mergeCell ref="C121:D121"/>
    <mergeCell ref="B122:B123"/>
    <mergeCell ref="C122:D122"/>
    <mergeCell ref="C123:D123"/>
    <mergeCell ref="B124:B125"/>
    <mergeCell ref="C124:D124"/>
    <mergeCell ref="C130:D130"/>
    <mergeCell ref="C131:D131"/>
    <mergeCell ref="C132:D132"/>
    <mergeCell ref="C133:D133"/>
    <mergeCell ref="C13:D13"/>
    <mergeCell ref="C14:D14"/>
    <mergeCell ref="C125:D125"/>
    <mergeCell ref="B128:B130"/>
    <mergeCell ref="C128:D128"/>
    <mergeCell ref="C129:D129"/>
    <mergeCell ref="B131:B133"/>
    <mergeCell ref="C144:D144"/>
    <mergeCell ref="C145:D145"/>
    <mergeCell ref="B136:B137"/>
    <mergeCell ref="B140:B142"/>
    <mergeCell ref="C140:D140"/>
    <mergeCell ref="C141:D141"/>
    <mergeCell ref="C142:D142"/>
    <mergeCell ref="B143:B145"/>
    <mergeCell ref="C143:D143"/>
    <mergeCell ref="C157:D157"/>
    <mergeCell ref="C158:D158"/>
    <mergeCell ref="B158:B159"/>
    <mergeCell ref="B160:B161"/>
    <mergeCell ref="B164:B166"/>
    <mergeCell ref="B167:B169"/>
    <mergeCell ref="B170:B171"/>
    <mergeCell ref="B152:B154"/>
    <mergeCell ref="C152:D152"/>
    <mergeCell ref="C153:D153"/>
    <mergeCell ref="C154:D154"/>
    <mergeCell ref="B155:B157"/>
    <mergeCell ref="C155:D155"/>
    <mergeCell ref="C159:D159"/>
    <mergeCell ref="C169:D169"/>
    <mergeCell ref="C170:D170"/>
    <mergeCell ref="C171:D171"/>
    <mergeCell ref="C172:D172"/>
    <mergeCell ref="C160:D160"/>
    <mergeCell ref="C161:D161"/>
    <mergeCell ref="C164:D164"/>
    <mergeCell ref="C165:D165"/>
    <mergeCell ref="C166:D166"/>
    <mergeCell ref="C167:D167"/>
    <mergeCell ref="C168:D168"/>
    <mergeCell ref="R139:S139"/>
    <mergeCell ref="R151:S151"/>
    <mergeCell ref="R163:S163"/>
    <mergeCell ref="R175:S175"/>
    <mergeCell ref="O1:O3"/>
    <mergeCell ref="P1:P3"/>
    <mergeCell ref="Q1:Q3"/>
    <mergeCell ref="R1:S3"/>
    <mergeCell ref="T1:T172"/>
    <mergeCell ref="R5:S5"/>
    <mergeCell ref="R26:S26"/>
    <mergeCell ref="B2:B3"/>
    <mergeCell ref="C2:I3"/>
    <mergeCell ref="C11:D11"/>
    <mergeCell ref="C12:D12"/>
    <mergeCell ref="R43:S43"/>
    <mergeCell ref="R55:S55"/>
    <mergeCell ref="R67:S67"/>
    <mergeCell ref="R79:S79"/>
    <mergeCell ref="R91:S91"/>
    <mergeCell ref="R103:S103"/>
    <mergeCell ref="B146:B147"/>
    <mergeCell ref="C146:D146"/>
    <mergeCell ref="C147:D147"/>
    <mergeCell ref="B148:B149"/>
    <mergeCell ref="C148:D148"/>
    <mergeCell ref="C149:D149"/>
    <mergeCell ref="R115:S115"/>
    <mergeCell ref="R127:S127"/>
    <mergeCell ref="B134:B135"/>
    <mergeCell ref="C134:D134"/>
    <mergeCell ref="C135:D135"/>
    <mergeCell ref="C136:D136"/>
    <mergeCell ref="C137:D137"/>
    <mergeCell ref="C21:D21"/>
    <mergeCell ref="C22:D22"/>
    <mergeCell ref="C23:D23"/>
    <mergeCell ref="C24:D24"/>
    <mergeCell ref="C25:D25"/>
    <mergeCell ref="C26:D26"/>
    <mergeCell ref="B27:B31"/>
    <mergeCell ref="C27:D27"/>
    <mergeCell ref="C28:D28"/>
    <mergeCell ref="C29:D29"/>
    <mergeCell ref="C30:D30"/>
    <mergeCell ref="C31:D31"/>
    <mergeCell ref="B32:B36"/>
    <mergeCell ref="C32:D32"/>
    <mergeCell ref="C33:D33"/>
    <mergeCell ref="C34:D34"/>
    <mergeCell ref="C35:D35"/>
    <mergeCell ref="C36:D36"/>
    <mergeCell ref="B37:B41"/>
    <mergeCell ref="C37:D37"/>
    <mergeCell ref="C38:D38"/>
    <mergeCell ref="C39:D39"/>
    <mergeCell ref="C40:D40"/>
    <mergeCell ref="C41:D41"/>
    <mergeCell ref="B44:B46"/>
    <mergeCell ref="B47:B49"/>
    <mergeCell ref="C17:D17"/>
    <mergeCell ref="C18:D18"/>
    <mergeCell ref="C19:D19"/>
    <mergeCell ref="C20:D20"/>
    <mergeCell ref="B50:B51"/>
    <mergeCell ref="B52:B53"/>
    <mergeCell ref="C56:D56"/>
    <mergeCell ref="C57:D57"/>
    <mergeCell ref="C58:D58"/>
    <mergeCell ref="C59:D59"/>
    <mergeCell ref="C60:D60"/>
    <mergeCell ref="C61:D61"/>
    <mergeCell ref="B62:B63"/>
    <mergeCell ref="C62:D62"/>
    <mergeCell ref="C63:D63"/>
    <mergeCell ref="B64:B65"/>
    <mergeCell ref="C64:D64"/>
    <mergeCell ref="C65:D65"/>
    <mergeCell ref="B68:B70"/>
    <mergeCell ref="C68:D68"/>
    <mergeCell ref="C69:D69"/>
    <mergeCell ref="C70:D70"/>
    <mergeCell ref="B71:B73"/>
    <mergeCell ref="C71:D71"/>
    <mergeCell ref="C72:D72"/>
    <mergeCell ref="C73:D73"/>
    <mergeCell ref="B74:B75"/>
    <mergeCell ref="C74:D74"/>
    <mergeCell ref="C75:D75"/>
    <mergeCell ref="B76:B77"/>
    <mergeCell ref="C76:D76"/>
    <mergeCell ref="C82:D82"/>
    <mergeCell ref="C83:D83"/>
    <mergeCell ref="B56:B58"/>
    <mergeCell ref="B59:B61"/>
    <mergeCell ref="C77:D77"/>
    <mergeCell ref="B80:B82"/>
    <mergeCell ref="C80:D80"/>
    <mergeCell ref="C81:D81"/>
    <mergeCell ref="B83:B85"/>
    <mergeCell ref="C84:D84"/>
    <mergeCell ref="C85:D85"/>
    <mergeCell ref="B86:B87"/>
    <mergeCell ref="C86:D86"/>
    <mergeCell ref="C87:D87"/>
    <mergeCell ref="B88:B89"/>
    <mergeCell ref="C88:D88"/>
    <mergeCell ref="C89:D89"/>
    <mergeCell ref="B92:B94"/>
    <mergeCell ref="C92:D92"/>
    <mergeCell ref="C93:D93"/>
    <mergeCell ref="C94:D94"/>
    <mergeCell ref="B95:B97"/>
    <mergeCell ref="C95:D95"/>
    <mergeCell ref="C96:D96"/>
    <mergeCell ref="C97:D97"/>
    <mergeCell ref="B98:B99"/>
    <mergeCell ref="C98:D98"/>
    <mergeCell ref="C99:D99"/>
    <mergeCell ref="B100:B101"/>
    <mergeCell ref="C100:D100"/>
    <mergeCell ref="C106:D106"/>
    <mergeCell ref="C107:D107"/>
    <mergeCell ref="C15:D15"/>
    <mergeCell ref="C16:D16"/>
    <mergeCell ref="C101:D101"/>
    <mergeCell ref="B104:B106"/>
    <mergeCell ref="C104:D104"/>
    <mergeCell ref="C105:D105"/>
    <mergeCell ref="B107:B109"/>
    <mergeCell ref="C4:I4"/>
    <mergeCell ref="B6:B25"/>
    <mergeCell ref="C6:D6"/>
    <mergeCell ref="C7:D7"/>
    <mergeCell ref="C8:D8"/>
    <mergeCell ref="C9:D9"/>
    <mergeCell ref="C10:D10"/>
    <mergeCell ref="B172:B173"/>
    <mergeCell ref="C173:D173"/>
    <mergeCell ref="E175:G184"/>
    <mergeCell ref="A1:A172"/>
    <mergeCell ref="B1:I1"/>
    <mergeCell ref="J1:J3"/>
    <mergeCell ref="K1:K3"/>
    <mergeCell ref="L1:L3"/>
    <mergeCell ref="M1:M3"/>
    <mergeCell ref="N1:N3"/>
    <mergeCell ref="I178:N178"/>
  </mergeCells>
  <conditionalFormatting sqref="S6:S25 S27:S41 S44:S53 S56:S65 S68:S77 S80:S89 S92:S101 S104:S113 S116:S125 S128:S137 S140:S149 S152:S161 S164:S173">
    <cfRule type="colorScale" priority="1">
      <colorScale>
        <cfvo type="min"/>
        <cfvo type="percentile" val="50"/>
        <cfvo type="max"/>
        <color rgb="FFEA4335"/>
        <color rgb="FFFFFFFF"/>
        <color rgb="FF34A853"/>
      </colorScale>
    </cfRule>
  </conditionalFormatting>
  <conditionalFormatting sqref="J6:S25 J27:S41 J44:S53 J56:S65 J68:S77 J80:S89 J92:S101 J104:S113 J116:S125 J128:S137 J140:S149 J152:S161 J164:S173">
    <cfRule type="cellIs" dxfId="0" priority="2" operator="equal">
      <formula>1</formula>
    </cfRule>
  </conditionalFormatting>
  <conditionalFormatting sqref="J6:S25 J27:S41 J44:S53 J56:S65 J68:S77 J80:S89 J92:S101 J104:S113 J116:S125 J128:S137 J140:S149 J152:S161 J164:S173">
    <cfRule type="cellIs" dxfId="1" priority="3" operator="equal">
      <formula>2</formula>
    </cfRule>
  </conditionalFormatting>
  <conditionalFormatting sqref="J6:S25 J27:S41 J44:S53 J56:S65 J68:S77 J80:S89 J92:S101 J104:S113 J116:S125 J128:S137 J140:S149 J152:S161 J164:S173">
    <cfRule type="cellIs" dxfId="2" priority="4" operator="equal">
      <formula>5</formula>
    </cfRule>
  </conditionalFormatting>
  <conditionalFormatting sqref="J6:S25 J27:S41 J44:S53 J56:S65 J68:S77 J80:S89 J92:S101 J104:S113 J116:S125 J128:S137 J140:S149 J152:S161 J164:S173">
    <cfRule type="cellIs" dxfId="3" priority="5" operator="equal">
      <formula>3</formula>
    </cfRule>
  </conditionalFormatting>
  <conditionalFormatting sqref="J6:S25 J27:S41 J44:S53 J56:S65 J68:S77 J80:S89 J92:S101 J104:S113 J116:S125 J128:S137 J140:S149 J152:S161 J164:S173">
    <cfRule type="cellIs" dxfId="4" priority="6" operator="equal">
      <formula>4</formula>
    </cfRule>
  </conditionalFormatting>
  <conditionalFormatting sqref="A1:A9 T1 A27:A28 A32 A37 A162 T162:T222 A165:A222">
    <cfRule type="notContainsBlanks" dxfId="5" priority="7">
      <formula>LEN(TRIM(A1))&gt;0</formula>
    </cfRule>
  </conditionalFormatting>
  <hyperlinks>
    <hyperlink r:id="rId1" ref="B1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1"/>
    <hyperlink r:id="rId45" ref="C52"/>
    <hyperlink r:id="rId46" ref="C53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8"/>
    <hyperlink r:id="rId58" ref="C69"/>
    <hyperlink r:id="rId59" ref="C70"/>
    <hyperlink r:id="rId60" ref="C71"/>
    <hyperlink r:id="rId61" ref="C72"/>
    <hyperlink r:id="rId62" ref="C73"/>
    <hyperlink r:id="rId63" ref="C74"/>
    <hyperlink r:id="rId64" ref="C75"/>
    <hyperlink r:id="rId65" ref="C76"/>
    <hyperlink r:id="rId66" ref="M76"/>
    <hyperlink r:id="rId67" ref="C77"/>
    <hyperlink r:id="rId68" ref="C80"/>
    <hyperlink r:id="rId69" ref="C81"/>
    <hyperlink r:id="rId70" ref="C82"/>
    <hyperlink r:id="rId71" ref="C83"/>
    <hyperlink r:id="rId72" ref="C84"/>
    <hyperlink r:id="rId73" ref="C85"/>
    <hyperlink r:id="rId74" ref="C86"/>
    <hyperlink r:id="rId75" ref="C87"/>
    <hyperlink r:id="rId76" ref="C88"/>
    <hyperlink r:id="rId77" ref="C89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4"/>
    <hyperlink r:id="rId89" ref="C105"/>
    <hyperlink r:id="rId90" ref="C106"/>
    <hyperlink r:id="rId91" ref="C107"/>
    <hyperlink r:id="rId92" ref="C108"/>
    <hyperlink r:id="rId93" ref="C109"/>
    <hyperlink r:id="rId94" ref="C110"/>
    <hyperlink r:id="rId95" ref="C111"/>
    <hyperlink r:id="rId96" ref="C112"/>
    <hyperlink r:id="rId97" ref="C113"/>
    <hyperlink r:id="rId98" ref="C116"/>
    <hyperlink r:id="rId99" ref="C117"/>
    <hyperlink r:id="rId100" ref="C118"/>
    <hyperlink r:id="rId101" ref="C119"/>
    <hyperlink r:id="rId102" ref="C120"/>
    <hyperlink r:id="rId103" ref="C121"/>
    <hyperlink r:id="rId104" ref="C122"/>
    <hyperlink r:id="rId105" ref="C123"/>
    <hyperlink r:id="rId106" ref="C124"/>
    <hyperlink r:id="rId107" ref="C125"/>
    <hyperlink r:id="rId108" ref="C128"/>
    <hyperlink r:id="rId109" ref="C129"/>
    <hyperlink r:id="rId110" ref="C130"/>
    <hyperlink r:id="rId111" ref="C131"/>
    <hyperlink r:id="rId112" ref="C132"/>
    <hyperlink r:id="rId113" ref="C133"/>
    <hyperlink r:id="rId114" ref="C134"/>
    <hyperlink r:id="rId115" ref="C135"/>
    <hyperlink r:id="rId116" ref="C136"/>
    <hyperlink r:id="rId117" ref="C137"/>
    <hyperlink r:id="rId118" ref="C140"/>
    <hyperlink r:id="rId119" ref="C141"/>
    <hyperlink r:id="rId120" ref="C142"/>
    <hyperlink r:id="rId121" ref="C143"/>
    <hyperlink r:id="rId122" ref="C144"/>
    <hyperlink r:id="rId123" ref="C145"/>
    <hyperlink r:id="rId124" ref="C146"/>
    <hyperlink r:id="rId125" ref="C147"/>
    <hyperlink r:id="rId126" ref="C148"/>
    <hyperlink r:id="rId127" ref="C149"/>
    <hyperlink r:id="rId128" ref="C152"/>
    <hyperlink r:id="rId129" ref="C153"/>
    <hyperlink r:id="rId130" ref="C154"/>
    <hyperlink r:id="rId131" ref="C155"/>
    <hyperlink r:id="rId132" ref="C156"/>
    <hyperlink r:id="rId133" ref="C157"/>
    <hyperlink r:id="rId134" ref="C158"/>
    <hyperlink r:id="rId135" ref="C159"/>
    <hyperlink r:id="rId136" ref="C160"/>
    <hyperlink r:id="rId137" ref="C161"/>
    <hyperlink r:id="rId138" ref="C164"/>
    <hyperlink r:id="rId139" ref="C165"/>
    <hyperlink r:id="rId140" ref="C166"/>
    <hyperlink r:id="rId141" ref="C167"/>
    <hyperlink r:id="rId142" ref="C168"/>
    <hyperlink r:id="rId143" ref="C169"/>
    <hyperlink r:id="rId144" ref="C170"/>
    <hyperlink r:id="rId145" ref="C171"/>
    <hyperlink r:id="rId146" ref="C172"/>
    <hyperlink r:id="rId147" ref="C173"/>
  </hyperlinks>
  <drawing r:id="rId1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.75"/>
    <col customWidth="1" min="3" max="3" width="26.88"/>
    <col customWidth="1" min="4" max="4" width="8.25"/>
    <col customWidth="1" min="5" max="5" width="10.63"/>
    <col customWidth="1" min="6" max="8" width="5.13"/>
    <col customWidth="1" min="9" max="9" width="16.88"/>
    <col customWidth="1" min="10" max="16" width="11.38"/>
    <col customWidth="1" min="17" max="17" width="2.75"/>
  </cols>
  <sheetData>
    <row r="1" ht="15.75" customHeight="1">
      <c r="A1" s="332"/>
      <c r="B1" s="300"/>
      <c r="C1" s="596" t="s">
        <v>1151</v>
      </c>
      <c r="D1" s="777" t="s">
        <v>1438</v>
      </c>
      <c r="E1" s="3"/>
      <c r="F1" s="766"/>
      <c r="G1" s="693"/>
      <c r="H1" s="598"/>
      <c r="I1" s="599"/>
      <c r="J1" s="601" t="s">
        <v>2</v>
      </c>
      <c r="K1" s="601" t="s">
        <v>426</v>
      </c>
      <c r="L1" s="601" t="s">
        <v>1</v>
      </c>
      <c r="M1" s="600" t="s">
        <v>4</v>
      </c>
      <c r="N1" s="601" t="s">
        <v>208</v>
      </c>
      <c r="O1" s="601" t="s">
        <v>3</v>
      </c>
      <c r="P1" s="600" t="s">
        <v>427</v>
      </c>
      <c r="Q1" s="599"/>
    </row>
    <row r="2">
      <c r="A2" s="778" t="s">
        <v>1439</v>
      </c>
      <c r="B2" s="3"/>
      <c r="C2" s="766"/>
      <c r="D2" s="778"/>
      <c r="E2" s="3"/>
      <c r="F2" s="766"/>
      <c r="G2" s="778"/>
      <c r="H2" s="3"/>
      <c r="I2" s="766"/>
      <c r="J2" s="11"/>
      <c r="K2" s="11"/>
      <c r="L2" s="11"/>
      <c r="M2" s="11"/>
      <c r="N2" s="11"/>
      <c r="O2" s="11"/>
      <c r="P2" s="11"/>
      <c r="Q2" s="599"/>
    </row>
    <row r="3">
      <c r="A3" s="697"/>
      <c r="B3" s="693"/>
      <c r="C3" s="692"/>
      <c r="D3" s="697" t="s">
        <v>1440</v>
      </c>
      <c r="E3" s="779" t="s">
        <v>1441</v>
      </c>
      <c r="F3" s="692"/>
      <c r="G3" s="693"/>
      <c r="H3" s="780" t="str">
        <f>HYPERLINK("bit.ly/2QVoc7Z","Vote des viewers")</f>
        <v>Vote des viewers</v>
      </c>
      <c r="I3" s="693"/>
      <c r="J3" s="286"/>
      <c r="K3" s="286"/>
      <c r="L3" s="286"/>
      <c r="M3" s="286"/>
      <c r="N3" s="286"/>
      <c r="O3" s="286"/>
      <c r="P3" s="286"/>
      <c r="Q3" s="599"/>
    </row>
    <row r="4">
      <c r="A4" s="698"/>
      <c r="B4" s="605"/>
      <c r="C4" s="122" t="s">
        <v>11</v>
      </c>
      <c r="D4" s="22"/>
      <c r="E4" s="22"/>
      <c r="F4" s="22"/>
      <c r="G4" s="22"/>
      <c r="H4" s="22"/>
      <c r="I4" s="23"/>
      <c r="J4" s="607"/>
      <c r="K4" s="607"/>
      <c r="L4" s="607"/>
      <c r="M4" s="607"/>
      <c r="N4" s="607"/>
      <c r="O4" s="607"/>
      <c r="P4" s="607"/>
      <c r="Q4" s="781"/>
    </row>
    <row r="5" ht="15.75" customHeight="1">
      <c r="A5" s="704"/>
      <c r="B5" s="609"/>
      <c r="C5" s="136"/>
      <c r="D5" s="782"/>
      <c r="E5" s="783"/>
      <c r="F5" s="85"/>
      <c r="G5" s="85"/>
      <c r="H5" s="85"/>
      <c r="I5" s="700"/>
      <c r="J5" s="784"/>
      <c r="P5" s="16"/>
      <c r="Q5" s="781"/>
    </row>
    <row r="6">
      <c r="A6" s="704"/>
      <c r="B6" s="613">
        <v>1.0</v>
      </c>
      <c r="C6" s="705" t="s">
        <v>1442</v>
      </c>
      <c r="D6" s="707"/>
      <c r="E6" s="785"/>
      <c r="F6" s="185">
        <v>2.0</v>
      </c>
      <c r="G6" s="185">
        <v>1.0</v>
      </c>
      <c r="H6" s="185">
        <v>1.0</v>
      </c>
      <c r="I6" s="786" t="str">
        <f>HYPERLINK("https://d15f34w2p8l1cc.cloudfront.net/hearthstone/c34129847bcf5914082f98438c869f9f2ad6388aba4a92ade48d9476f90f35e9.png","Image")</f>
        <v>Image</v>
      </c>
      <c r="J6" s="709">
        <v>3.0</v>
      </c>
      <c r="K6" s="709">
        <v>4.0</v>
      </c>
      <c r="L6" s="709">
        <v>4.0</v>
      </c>
      <c r="M6" s="709">
        <v>4.0</v>
      </c>
      <c r="N6" s="709">
        <v>4.0</v>
      </c>
      <c r="O6" s="709">
        <v>3.0</v>
      </c>
      <c r="P6" s="709">
        <v>1.0</v>
      </c>
      <c r="Q6" s="781"/>
    </row>
    <row r="7">
      <c r="A7" s="704"/>
      <c r="B7" s="353"/>
      <c r="C7" s="710" t="s">
        <v>1443</v>
      </c>
      <c r="D7" s="712"/>
      <c r="E7" s="787"/>
      <c r="F7" s="68">
        <v>2.0</v>
      </c>
      <c r="G7" s="68">
        <v>1.0</v>
      </c>
      <c r="H7" s="68">
        <v>1.0</v>
      </c>
      <c r="I7" s="788" t="str">
        <f>HYPERLINK("https://d15f34w2p8l1cc.cloudfront.net/hearthstone/a0b2e7f8bda7cd8062a2849ac9d70ea0d23e92933b9b8bf5e6679d04aac56405.png","Image")</f>
        <v>Image</v>
      </c>
      <c r="J7" s="714">
        <v>1.0</v>
      </c>
      <c r="K7" s="770">
        <v>1.0</v>
      </c>
      <c r="L7" s="714">
        <v>1.0</v>
      </c>
      <c r="M7" s="714">
        <v>1.0</v>
      </c>
      <c r="N7" s="714">
        <v>1.0</v>
      </c>
      <c r="O7" s="714">
        <v>2.0</v>
      </c>
      <c r="P7" s="714">
        <v>1.0</v>
      </c>
      <c r="Q7" s="781"/>
    </row>
    <row r="8">
      <c r="A8" s="704"/>
      <c r="B8" s="353"/>
      <c r="C8" s="710" t="s">
        <v>1444</v>
      </c>
      <c r="D8" s="712"/>
      <c r="E8" s="787"/>
      <c r="F8" s="68">
        <v>2.0</v>
      </c>
      <c r="G8" s="68">
        <v>1.0</v>
      </c>
      <c r="H8" s="68">
        <v>1.0</v>
      </c>
      <c r="I8" s="788" t="str">
        <f>HYPERLINK("https://d15f34w2p8l1cc.cloudfront.net/hearthstone/bd805150e49ccc92fdc8ce7b4f6cce28220a071c4955db71f90d196f9bcd7c0a.png","Image")</f>
        <v>Image</v>
      </c>
      <c r="J8" s="714">
        <v>2.0</v>
      </c>
      <c r="K8" s="770">
        <v>1.0</v>
      </c>
      <c r="L8" s="714">
        <v>1.0</v>
      </c>
      <c r="M8" s="714">
        <v>2.0</v>
      </c>
      <c r="N8" s="714">
        <v>2.0</v>
      </c>
      <c r="O8" s="714">
        <v>2.0</v>
      </c>
      <c r="P8" s="714">
        <v>1.0</v>
      </c>
      <c r="Q8" s="781"/>
    </row>
    <row r="9">
      <c r="A9" s="704"/>
      <c r="B9" s="353"/>
      <c r="C9" s="729" t="s">
        <v>1445</v>
      </c>
      <c r="D9" s="731"/>
      <c r="E9" s="789"/>
      <c r="F9" s="557">
        <v>1.0</v>
      </c>
      <c r="G9" s="557">
        <v>4.0</v>
      </c>
      <c r="H9" s="557">
        <v>1.0</v>
      </c>
      <c r="I9" s="790" t="str">
        <f>HYPERLINK("https://d15f34w2p8l1cc.cloudfront.net/hearthstone/d841f0a104f7e71a252b9597812b9dcab8c0a4eca6ce42e9bb5f03972c96b669.png","Image")</f>
        <v>Image</v>
      </c>
      <c r="J9" s="714">
        <v>2.0</v>
      </c>
      <c r="K9" s="770">
        <v>1.0</v>
      </c>
      <c r="L9" s="714">
        <v>1.0</v>
      </c>
      <c r="M9" s="714">
        <v>1.0</v>
      </c>
      <c r="N9" s="714">
        <v>1.0</v>
      </c>
      <c r="O9" s="714">
        <v>1.0</v>
      </c>
      <c r="P9" s="714">
        <v>1.0</v>
      </c>
      <c r="Q9" s="781"/>
    </row>
    <row r="10">
      <c r="A10" s="704"/>
      <c r="B10" s="353"/>
      <c r="C10" s="710" t="s">
        <v>1446</v>
      </c>
      <c r="D10" s="712"/>
      <c r="E10" s="787"/>
      <c r="F10" s="68">
        <v>2.0</v>
      </c>
      <c r="G10" s="68">
        <v>3.0</v>
      </c>
      <c r="H10" s="68">
        <v>2.0</v>
      </c>
      <c r="I10" s="788" t="str">
        <f>HYPERLINK("https://d15f34w2p8l1cc.cloudfront.net/hearthstone/d237eee1cab0822e044b469a3a94c5a001ab6cb5bc6a0c32dafaf6e66d07d42d.png","Image")</f>
        <v>Image</v>
      </c>
      <c r="J10" s="714">
        <v>1.0</v>
      </c>
      <c r="K10" s="770">
        <v>1.0</v>
      </c>
      <c r="L10" s="714">
        <v>1.0</v>
      </c>
      <c r="M10" s="714">
        <v>1.0</v>
      </c>
      <c r="N10" s="714">
        <v>1.0</v>
      </c>
      <c r="O10" s="714">
        <v>1.0</v>
      </c>
      <c r="P10" s="714">
        <v>1.0</v>
      </c>
      <c r="Q10" s="781"/>
    </row>
    <row r="11">
      <c r="A11" s="704"/>
      <c r="B11" s="353"/>
      <c r="C11" s="710" t="s">
        <v>1447</v>
      </c>
      <c r="D11" s="712" t="s">
        <v>1448</v>
      </c>
      <c r="E11" s="787" t="s">
        <v>1449</v>
      </c>
      <c r="F11" s="68">
        <v>3.0</v>
      </c>
      <c r="G11" s="68">
        <v>5.0</v>
      </c>
      <c r="H11" s="68">
        <v>2.0</v>
      </c>
      <c r="I11" s="791" t="str">
        <f>HYPERLINK("https://d15f34w2p8l1cc.cloudfront.net/hearthstone/3a33c57a96243edac32391e0ba6e39b7e670603da5ca55602097764a1240fab6.png","Image")</f>
        <v>Image</v>
      </c>
      <c r="J11" s="714">
        <v>1.0</v>
      </c>
      <c r="K11" s="770">
        <v>2.0</v>
      </c>
      <c r="L11" s="714">
        <v>2.0</v>
      </c>
      <c r="M11" s="714">
        <v>2.0</v>
      </c>
      <c r="N11" s="714">
        <v>1.0</v>
      </c>
      <c r="O11" s="714">
        <v>1.0</v>
      </c>
      <c r="P11" s="714">
        <v>1.0</v>
      </c>
      <c r="Q11" s="781"/>
    </row>
    <row r="12">
      <c r="A12" s="704"/>
      <c r="B12" s="353"/>
      <c r="C12" s="729" t="s">
        <v>1450</v>
      </c>
      <c r="D12" s="731"/>
      <c r="E12" s="789"/>
      <c r="F12" s="557">
        <v>2.0</v>
      </c>
      <c r="G12" s="557">
        <v>2.0</v>
      </c>
      <c r="H12" s="557">
        <v>2.0</v>
      </c>
      <c r="I12" s="790" t="str">
        <f>HYPERLINK("https://d15f34w2p8l1cc.cloudfront.net/hearthstone/916db6ae4c474727abecf1a02c24cc850a115639b77f55a832e36566fc529f3f.png","Image")</f>
        <v>Image</v>
      </c>
      <c r="J12" s="714">
        <v>1.0</v>
      </c>
      <c r="K12" s="770">
        <v>1.0</v>
      </c>
      <c r="L12" s="714">
        <v>1.0</v>
      </c>
      <c r="M12" s="714">
        <v>1.0</v>
      </c>
      <c r="N12" s="714">
        <v>1.0</v>
      </c>
      <c r="O12" s="714">
        <v>1.0</v>
      </c>
      <c r="P12" s="714">
        <v>1.0</v>
      </c>
      <c r="Q12" s="781"/>
    </row>
    <row r="13">
      <c r="A13" s="704"/>
      <c r="B13" s="353"/>
      <c r="C13" s="710" t="s">
        <v>1451</v>
      </c>
      <c r="D13" s="712"/>
      <c r="E13" s="787" t="s">
        <v>97</v>
      </c>
      <c r="F13" s="68">
        <v>3.0</v>
      </c>
      <c r="G13" s="68">
        <v>7.0</v>
      </c>
      <c r="H13" s="68">
        <v>3.0</v>
      </c>
      <c r="I13" s="791" t="str">
        <f>HYPERLINK("https://d15f34w2p8l1cc.cloudfront.net/hearthstone/d620e903d30174c6a4cd4fe8d8140167d96383cdc09cccae99f91f54fa3ae13f.png","Image")</f>
        <v>Image</v>
      </c>
      <c r="J13" s="714">
        <v>1.0</v>
      </c>
      <c r="K13" s="770">
        <v>2.0</v>
      </c>
      <c r="L13" s="714">
        <v>1.0</v>
      </c>
      <c r="M13" s="714">
        <v>2.0</v>
      </c>
      <c r="N13" s="714">
        <v>1.0</v>
      </c>
      <c r="O13" s="714">
        <v>1.0</v>
      </c>
      <c r="P13" s="714">
        <v>1.0</v>
      </c>
      <c r="Q13" s="781"/>
    </row>
    <row r="14">
      <c r="A14" s="704"/>
      <c r="B14" s="353"/>
      <c r="C14" s="710" t="s">
        <v>1452</v>
      </c>
      <c r="D14" s="712"/>
      <c r="E14" s="787"/>
      <c r="F14" s="68">
        <v>1.0</v>
      </c>
      <c r="G14" s="68">
        <v>6.0</v>
      </c>
      <c r="H14" s="68">
        <v>3.0</v>
      </c>
      <c r="I14" s="791" t="str">
        <f>HYPERLINK("https://d15f34w2p8l1cc.cloudfront.net/hearthstone/56fe1d89443a79cb33d5cd3a7272f649c271a8bc720c0fde006517dd2d35537d.png","Image")</f>
        <v>Image</v>
      </c>
      <c r="J14" s="714">
        <v>2.0</v>
      </c>
      <c r="K14" s="770">
        <v>2.0</v>
      </c>
      <c r="L14" s="714">
        <v>1.0</v>
      </c>
      <c r="M14" s="714">
        <v>1.0</v>
      </c>
      <c r="N14" s="714">
        <v>2.0</v>
      </c>
      <c r="O14" s="714">
        <v>3.0</v>
      </c>
      <c r="P14" s="714">
        <v>1.0</v>
      </c>
      <c r="Q14" s="781"/>
    </row>
    <row r="15">
      <c r="A15" s="704"/>
      <c r="B15" s="353"/>
      <c r="C15" s="729" t="s">
        <v>1453</v>
      </c>
      <c r="D15" s="731"/>
      <c r="E15" s="789" t="s">
        <v>1454</v>
      </c>
      <c r="F15" s="557">
        <v>4.0</v>
      </c>
      <c r="G15" s="557">
        <v>3.0</v>
      </c>
      <c r="H15" s="557">
        <v>3.0</v>
      </c>
      <c r="I15" s="790" t="str">
        <f>HYPERLINK("https://d15f34w2p8l1cc.cloudfront.net/hearthstone/6f151530e964936806139342d2646d97a35ac97331e7e242d633dc57bbebb53b.png","Image")</f>
        <v>Image</v>
      </c>
      <c r="J15" s="714">
        <v>1.0</v>
      </c>
      <c r="K15" s="770">
        <v>1.0</v>
      </c>
      <c r="L15" s="714">
        <v>1.0</v>
      </c>
      <c r="M15" s="714">
        <v>2.0</v>
      </c>
      <c r="N15" s="714">
        <v>2.0</v>
      </c>
      <c r="O15" s="714">
        <v>3.0</v>
      </c>
      <c r="P15" s="714">
        <v>1.0</v>
      </c>
      <c r="Q15" s="781"/>
    </row>
    <row r="16">
      <c r="A16" s="716"/>
      <c r="B16" s="353"/>
      <c r="C16" s="710" t="s">
        <v>1455</v>
      </c>
      <c r="D16" s="712"/>
      <c r="E16" s="787" t="s">
        <v>51</v>
      </c>
      <c r="F16" s="68">
        <v>4.0</v>
      </c>
      <c r="G16" s="68">
        <v>4.0</v>
      </c>
      <c r="H16" s="68">
        <v>4.0</v>
      </c>
      <c r="I16" s="791" t="str">
        <f>HYPERLINK("https://d15f34w2p8l1cc.cloudfront.net/hearthstone/b02217fa27b605c722e02708a933f8a3b02ff465dc3df1fc5393722d6dd85294.png","Image")</f>
        <v>Image</v>
      </c>
      <c r="J16" s="714">
        <v>2.0</v>
      </c>
      <c r="K16" s="770">
        <v>1.0</v>
      </c>
      <c r="L16" s="714">
        <v>2.0</v>
      </c>
      <c r="M16" s="727">
        <v>2.0</v>
      </c>
      <c r="N16" s="714">
        <v>1.0</v>
      </c>
      <c r="O16" s="714">
        <v>1.0</v>
      </c>
      <c r="P16" s="714">
        <v>1.0</v>
      </c>
      <c r="Q16" s="781"/>
    </row>
    <row r="17">
      <c r="A17" s="704"/>
      <c r="B17" s="353"/>
      <c r="C17" s="710" t="s">
        <v>1456</v>
      </c>
      <c r="D17" s="712"/>
      <c r="E17" s="787" t="s">
        <v>97</v>
      </c>
      <c r="F17" s="68">
        <v>3.0</v>
      </c>
      <c r="G17" s="68">
        <v>3.0</v>
      </c>
      <c r="H17" s="68">
        <v>4.0</v>
      </c>
      <c r="I17" s="791" t="str">
        <f>HYPERLINK("https://d15f34w2p8l1cc.cloudfront.net/hearthstone/274f728840a7111b299a4d4edc80b08b925967061b6cfd433d196d163b8f8bb2.png","Image")</f>
        <v>Image</v>
      </c>
      <c r="J17" s="714">
        <v>1.0</v>
      </c>
      <c r="K17" s="770">
        <v>1.0</v>
      </c>
      <c r="L17" s="714">
        <v>1.0</v>
      </c>
      <c r="M17" s="714">
        <v>1.0</v>
      </c>
      <c r="N17" s="714">
        <v>1.0</v>
      </c>
      <c r="O17" s="714">
        <v>3.0</v>
      </c>
      <c r="P17" s="714">
        <v>1.0</v>
      </c>
      <c r="Q17" s="781"/>
    </row>
    <row r="18">
      <c r="A18" s="716"/>
      <c r="B18" s="353"/>
      <c r="C18" s="710" t="s">
        <v>1457</v>
      </c>
      <c r="D18" s="712"/>
      <c r="E18" s="787" t="s">
        <v>22</v>
      </c>
      <c r="F18" s="68">
        <v>5.0</v>
      </c>
      <c r="G18" s="68">
        <v>2.0</v>
      </c>
      <c r="H18" s="68">
        <v>4.0</v>
      </c>
      <c r="I18" s="791" t="str">
        <f>HYPERLINK("https://d15f34w2p8l1cc.cloudfront.net/hearthstone/bf7535825814053e8ee0064d675188f4959c3d550d6ecd66c8ac5c8b31089335.png","Image")</f>
        <v>Image</v>
      </c>
      <c r="J18" s="714">
        <v>3.0</v>
      </c>
      <c r="K18" s="770">
        <v>1.0</v>
      </c>
      <c r="L18" s="714">
        <v>1.0</v>
      </c>
      <c r="M18" s="714">
        <v>2.0</v>
      </c>
      <c r="N18" s="714">
        <v>3.0</v>
      </c>
      <c r="O18" s="714">
        <v>3.0</v>
      </c>
      <c r="P18" s="714">
        <v>1.0</v>
      </c>
      <c r="Q18" s="781"/>
    </row>
    <row r="19">
      <c r="A19" s="704"/>
      <c r="B19" s="353"/>
      <c r="C19" s="729" t="s">
        <v>1458</v>
      </c>
      <c r="D19" s="731"/>
      <c r="E19" s="789"/>
      <c r="F19" s="557">
        <v>3.0</v>
      </c>
      <c r="G19" s="557">
        <v>3.0</v>
      </c>
      <c r="H19" s="557">
        <v>4.0</v>
      </c>
      <c r="I19" s="790" t="str">
        <f>HYPERLINK("https://d15f34w2p8l1cc.cloudfront.net/hearthstone/f3a7e90b806f39c824efbdedcaa0cfee635233504f03bab6aefee13431446a70.png","Image")</f>
        <v>Image</v>
      </c>
      <c r="J19" s="714">
        <v>2.0</v>
      </c>
      <c r="K19" s="770">
        <v>2.0</v>
      </c>
      <c r="L19" s="714">
        <v>3.0</v>
      </c>
      <c r="M19" s="714">
        <v>2.0</v>
      </c>
      <c r="N19" s="714">
        <v>1.0</v>
      </c>
      <c r="O19" s="714">
        <v>2.0</v>
      </c>
      <c r="P19" s="714">
        <v>1.0</v>
      </c>
      <c r="Q19" s="781"/>
    </row>
    <row r="20">
      <c r="A20" s="704"/>
      <c r="B20" s="353"/>
      <c r="C20" s="710" t="s">
        <v>1459</v>
      </c>
      <c r="D20" s="712"/>
      <c r="E20" s="787"/>
      <c r="F20" s="68">
        <v>1.0</v>
      </c>
      <c r="G20" s="68">
        <v>8.0</v>
      </c>
      <c r="H20" s="68">
        <v>5.0</v>
      </c>
      <c r="I20" s="791" t="str">
        <f>HYPERLINK("https://d15f34w2p8l1cc.cloudfront.net/hearthstone/fc7e12c7163ec890043c5e22e4a3a2e21414b5af91361b3f63af8f4b651f4416.png","Image")</f>
        <v>Image</v>
      </c>
      <c r="J20" s="714">
        <v>1.0</v>
      </c>
      <c r="K20" s="770">
        <v>2.0</v>
      </c>
      <c r="L20" s="714">
        <v>3.0</v>
      </c>
      <c r="M20" s="714">
        <v>1.0</v>
      </c>
      <c r="N20" s="714">
        <v>1.0</v>
      </c>
      <c r="O20" s="714">
        <v>3.0</v>
      </c>
      <c r="P20" s="714">
        <v>1.0</v>
      </c>
      <c r="Q20" s="781"/>
    </row>
    <row r="21">
      <c r="A21" s="704"/>
      <c r="B21" s="353"/>
      <c r="C21" s="710" t="s">
        <v>1460</v>
      </c>
      <c r="D21" s="712"/>
      <c r="E21" s="787" t="s">
        <v>97</v>
      </c>
      <c r="F21" s="68">
        <v>6.0</v>
      </c>
      <c r="G21" s="68">
        <v>3.0</v>
      </c>
      <c r="H21" s="68">
        <v>6.0</v>
      </c>
      <c r="I21" s="791" t="str">
        <f>HYPERLINK("https://d15f34w2p8l1cc.cloudfront.net/hearthstone/c4e0385fa514deccddb474a766618130602af01dcc201bf0ad5161060d45c67a.png","Image")</f>
        <v>Image</v>
      </c>
      <c r="J21" s="714">
        <v>1.0</v>
      </c>
      <c r="K21" s="770">
        <v>1.0</v>
      </c>
      <c r="L21" s="714">
        <v>1.0</v>
      </c>
      <c r="M21" s="714">
        <v>1.0</v>
      </c>
      <c r="N21" s="714">
        <v>1.0</v>
      </c>
      <c r="O21" s="714">
        <v>1.0</v>
      </c>
      <c r="P21" s="714">
        <v>1.0</v>
      </c>
      <c r="Q21" s="781"/>
    </row>
    <row r="22">
      <c r="A22" s="704"/>
      <c r="B22" s="353"/>
      <c r="C22" s="710" t="s">
        <v>1461</v>
      </c>
      <c r="D22" s="712"/>
      <c r="E22" s="787" t="s">
        <v>43</v>
      </c>
      <c r="F22" s="68">
        <v>5.0</v>
      </c>
      <c r="G22" s="68">
        <v>6.0</v>
      </c>
      <c r="H22" s="68">
        <v>6.0</v>
      </c>
      <c r="I22" s="791" t="str">
        <f>HYPERLINK("https://d15f34w2p8l1cc.cloudfront.net/hearthstone/01a35b7324928fc596d38e0b0ec6dedce77f2581b079a5ef952aeb78505986d1.png","Image")</f>
        <v>Image</v>
      </c>
      <c r="J22" s="714">
        <v>1.0</v>
      </c>
      <c r="K22" s="770">
        <v>2.0</v>
      </c>
      <c r="L22" s="714">
        <v>2.0</v>
      </c>
      <c r="M22" s="714">
        <v>1.0</v>
      </c>
      <c r="N22" s="714">
        <v>2.0</v>
      </c>
      <c r="O22" s="714">
        <v>1.0</v>
      </c>
      <c r="P22" s="714">
        <v>1.0</v>
      </c>
      <c r="Q22" s="781"/>
    </row>
    <row r="23">
      <c r="A23" s="704"/>
      <c r="B23" s="353"/>
      <c r="C23" s="710" t="s">
        <v>1462</v>
      </c>
      <c r="D23" s="712"/>
      <c r="E23" s="787"/>
      <c r="F23" s="68">
        <v>4.0</v>
      </c>
      <c r="G23" s="68">
        <v>10.0</v>
      </c>
      <c r="H23" s="68">
        <v>7.0</v>
      </c>
      <c r="I23" s="791" t="str">
        <f>HYPERLINK("https://d15f34w2p8l1cc.cloudfront.net/hearthstone/08520bfc01f255d0ffdfb75a8439fe3c0f55f92aa8406e15872e86898105047b.png","Image")</f>
        <v>Image</v>
      </c>
      <c r="J23" s="714">
        <v>1.0</v>
      </c>
      <c r="K23" s="770">
        <v>2.0</v>
      </c>
      <c r="L23" s="714">
        <v>1.0</v>
      </c>
      <c r="M23" s="714">
        <v>1.0</v>
      </c>
      <c r="N23" s="714">
        <v>1.0</v>
      </c>
      <c r="O23" s="714">
        <v>2.0</v>
      </c>
      <c r="P23" s="714">
        <v>1.0</v>
      </c>
      <c r="Q23" s="781"/>
    </row>
    <row r="24">
      <c r="A24" s="704"/>
      <c r="B24" s="355"/>
      <c r="C24" s="710" t="s">
        <v>1463</v>
      </c>
      <c r="D24" s="712"/>
      <c r="E24" s="787" t="s">
        <v>97</v>
      </c>
      <c r="F24" s="68">
        <v>12.0</v>
      </c>
      <c r="G24" s="68">
        <v>12.0</v>
      </c>
      <c r="H24" s="68">
        <v>8.0</v>
      </c>
      <c r="I24" s="788" t="str">
        <f>HYPERLINK("https://d15f34w2p8l1cc.cloudfront.net/hearthstone/65932a6eb3ef8e20da1ff855adda3821545f5655903831a288e03c1a1c68a57e.png","Image")</f>
        <v>Image</v>
      </c>
      <c r="J24" s="714">
        <v>1.0</v>
      </c>
      <c r="K24" s="770">
        <v>1.0</v>
      </c>
      <c r="L24" s="714">
        <v>1.0</v>
      </c>
      <c r="M24" s="714">
        <v>1.0</v>
      </c>
      <c r="N24" s="714">
        <v>1.0</v>
      </c>
      <c r="O24" s="714">
        <v>1.0</v>
      </c>
      <c r="P24" s="714">
        <v>1.0</v>
      </c>
      <c r="Q24" s="781"/>
    </row>
    <row r="25" ht="15.75" customHeight="1">
      <c r="A25" s="716"/>
      <c r="B25" s="609"/>
      <c r="C25" s="136"/>
      <c r="D25" s="782"/>
      <c r="E25" s="783"/>
      <c r="F25" s="85"/>
      <c r="G25" s="85"/>
      <c r="H25" s="85"/>
      <c r="I25" s="700"/>
      <c r="J25" s="702" t="s">
        <v>2</v>
      </c>
      <c r="K25" s="702" t="s">
        <v>426</v>
      </c>
      <c r="L25" s="702" t="s">
        <v>1</v>
      </c>
      <c r="M25" s="702" t="s">
        <v>4</v>
      </c>
      <c r="N25" s="702" t="s">
        <v>208</v>
      </c>
      <c r="O25" s="702" t="s">
        <v>3</v>
      </c>
      <c r="P25" s="702" t="s">
        <v>427</v>
      </c>
      <c r="Q25" s="307"/>
    </row>
    <row r="26">
      <c r="A26" s="704"/>
      <c r="B26" s="623" t="s">
        <v>734</v>
      </c>
      <c r="C26" s="705" t="s">
        <v>1464</v>
      </c>
      <c r="D26" s="707"/>
      <c r="E26" s="785"/>
      <c r="F26" s="185">
        <v>1.0</v>
      </c>
      <c r="G26" s="185">
        <v>2.0</v>
      </c>
      <c r="H26" s="185">
        <v>1.0</v>
      </c>
      <c r="I26" s="786" t="str">
        <f>HYPERLINK("https://d15f34w2p8l1cc.cloudfront.net/hearthstone/fcbf32e07e3f78ce4a2335748520426d0d10e64f3791efd9bd8d3673ba6e9551.png","Image")</f>
        <v>Image</v>
      </c>
      <c r="J26" s="709">
        <v>1.0</v>
      </c>
      <c r="K26" s="770">
        <v>1.0</v>
      </c>
      <c r="L26" s="709">
        <v>1.0</v>
      </c>
      <c r="M26" s="709">
        <v>1.0</v>
      </c>
      <c r="N26" s="709">
        <v>1.0</v>
      </c>
      <c r="O26" s="709">
        <v>1.0</v>
      </c>
      <c r="P26" s="709">
        <v>1.0</v>
      </c>
      <c r="Q26" s="781"/>
    </row>
    <row r="27">
      <c r="A27" s="704"/>
      <c r="B27" s="353"/>
      <c r="C27" s="710" t="s">
        <v>1465</v>
      </c>
      <c r="D27" s="712"/>
      <c r="E27" s="787"/>
      <c r="F27" s="68">
        <v>1.0</v>
      </c>
      <c r="G27" s="68">
        <v>2.0</v>
      </c>
      <c r="H27" s="68">
        <v>3.0</v>
      </c>
      <c r="I27" s="788" t="str">
        <f>HYPERLINK("https://d15f34w2p8l1cc.cloudfront.net/hearthstone/01054e2d49bd52242188688625f03f57b0dd86001bbd56527a3cd80860d6b19e.png","Image")</f>
        <v>Image</v>
      </c>
      <c r="J27" s="714">
        <v>2.0</v>
      </c>
      <c r="K27" s="770">
        <v>3.0</v>
      </c>
      <c r="L27" s="714">
        <v>1.0</v>
      </c>
      <c r="M27" s="714">
        <v>2.0</v>
      </c>
      <c r="N27" s="714">
        <v>1.0</v>
      </c>
      <c r="O27" s="714">
        <v>1.0</v>
      </c>
      <c r="P27" s="714">
        <v>1.0</v>
      </c>
      <c r="Q27" s="781"/>
    </row>
    <row r="28">
      <c r="A28" s="716"/>
      <c r="B28" s="624"/>
      <c r="C28" s="729" t="s">
        <v>1466</v>
      </c>
      <c r="D28" s="731"/>
      <c r="E28" s="789" t="s">
        <v>27</v>
      </c>
      <c r="F28" s="557">
        <v>7.0</v>
      </c>
      <c r="G28" s="557">
        <v>7.0</v>
      </c>
      <c r="H28" s="557">
        <v>10.0</v>
      </c>
      <c r="I28" s="790" t="str">
        <f>HYPERLINK("https://d15f34w2p8l1cc.cloudfront.net/hearthstone/478acd2d2f720d4c039c3c06c4ca7b72cfff61b765e3b0751548d51f37c3ba6d.png","Image")</f>
        <v>Image</v>
      </c>
      <c r="J28" s="714">
        <v>1.0</v>
      </c>
      <c r="K28" s="770">
        <v>1.0</v>
      </c>
      <c r="L28" s="714">
        <v>1.0</v>
      </c>
      <c r="M28" s="714">
        <v>2.0</v>
      </c>
      <c r="N28" s="714">
        <v>1.0</v>
      </c>
      <c r="O28" s="714">
        <v>1.0</v>
      </c>
      <c r="P28" s="714">
        <v>1.0</v>
      </c>
      <c r="Q28" s="781"/>
    </row>
    <row r="29">
      <c r="A29" s="704"/>
      <c r="B29" s="626" t="s">
        <v>740</v>
      </c>
      <c r="C29" s="733" t="s">
        <v>1467</v>
      </c>
      <c r="D29" s="712"/>
      <c r="E29" s="787" t="s">
        <v>97</v>
      </c>
      <c r="F29" s="68">
        <v>2.0</v>
      </c>
      <c r="G29" s="68">
        <v>4.0</v>
      </c>
      <c r="H29" s="68">
        <v>2.0</v>
      </c>
      <c r="I29" s="788" t="str">
        <f>HYPERLINK("https://d15f34w2p8l1cc.cloudfront.net/hearthstone/7accc0b8bac20203178fc1cff33ae91f9196776a232d73f912f36e955b83bece.png","Image")</f>
        <v>Image</v>
      </c>
      <c r="J29" s="714">
        <v>2.0</v>
      </c>
      <c r="K29" s="770">
        <v>3.0</v>
      </c>
      <c r="L29" s="714">
        <v>3.0</v>
      </c>
      <c r="M29" s="714">
        <v>2.0</v>
      </c>
      <c r="N29" s="714">
        <v>3.0</v>
      </c>
      <c r="O29" s="714">
        <v>1.0</v>
      </c>
      <c r="P29" s="714">
        <v>1.0</v>
      </c>
      <c r="Q29" s="781"/>
    </row>
    <row r="30">
      <c r="A30" s="704"/>
      <c r="B30" s="353"/>
      <c r="C30" s="733" t="s">
        <v>1468</v>
      </c>
      <c r="D30" s="712"/>
      <c r="E30" s="787" t="s">
        <v>20</v>
      </c>
      <c r="F30" s="68">
        <v>3.0</v>
      </c>
      <c r="G30" s="68">
        <v>3.0</v>
      </c>
      <c r="H30" s="68">
        <v>4.0</v>
      </c>
      <c r="I30" s="788" t="str">
        <f>HYPERLINK("https://d15f34w2p8l1cc.cloudfront.net/hearthstone/772ee3923053703753f7944047e34b491a872a9489d481019645d61f65a34712.png","Image")</f>
        <v>Image</v>
      </c>
      <c r="J30" s="714">
        <v>1.0</v>
      </c>
      <c r="K30" s="770">
        <v>1.0</v>
      </c>
      <c r="L30" s="714">
        <v>1.0</v>
      </c>
      <c r="M30" s="714">
        <v>1.0</v>
      </c>
      <c r="N30" s="714">
        <v>1.0</v>
      </c>
      <c r="O30" s="714">
        <v>1.0</v>
      </c>
      <c r="P30" s="714">
        <v>1.0</v>
      </c>
      <c r="Q30" s="781"/>
    </row>
    <row r="31">
      <c r="A31" s="704"/>
      <c r="B31" s="734"/>
      <c r="C31" s="735" t="s">
        <v>1469</v>
      </c>
      <c r="D31" s="731"/>
      <c r="E31" s="789"/>
      <c r="F31" s="557">
        <v>3.0</v>
      </c>
      <c r="G31" s="557">
        <v>3.0</v>
      </c>
      <c r="H31" s="557">
        <v>5.0</v>
      </c>
      <c r="I31" s="790" t="str">
        <f>HYPERLINK("https://d15f34w2p8l1cc.cloudfront.net/hearthstone/959c557db9cfd9d4dce035025a5450746652f1ccecb039e18af56f651808f8dd.png","Image")</f>
        <v>Image</v>
      </c>
      <c r="J31" s="714">
        <v>2.0</v>
      </c>
      <c r="K31" s="770">
        <v>2.0</v>
      </c>
      <c r="L31" s="714">
        <v>3.0</v>
      </c>
      <c r="M31" s="714">
        <v>2.0</v>
      </c>
      <c r="N31" s="714">
        <v>2.0</v>
      </c>
      <c r="O31" s="714">
        <v>2.0</v>
      </c>
      <c r="P31" s="714">
        <v>1.0</v>
      </c>
      <c r="Q31" s="781"/>
    </row>
    <row r="32" ht="17.25" customHeight="1">
      <c r="A32" s="704"/>
      <c r="B32" s="628" t="s">
        <v>1179</v>
      </c>
      <c r="C32" s="733" t="s">
        <v>1470</v>
      </c>
      <c r="D32" s="712"/>
      <c r="E32" s="787"/>
      <c r="F32" s="68">
        <v>3.0</v>
      </c>
      <c r="G32" s="68">
        <v>4.0</v>
      </c>
      <c r="H32" s="68">
        <v>3.0</v>
      </c>
      <c r="I32" s="788" t="str">
        <f>HYPERLINK("https://d15f34w2p8l1cc.cloudfront.net/hearthstone/6d418f8808a4f5338f34e0d7e03c9a2e3b54b125ef306d182c1bc0f09faa2983.png","Image")</f>
        <v>Image</v>
      </c>
      <c r="J32" s="714">
        <v>4.0</v>
      </c>
      <c r="K32" s="770">
        <v>4.0</v>
      </c>
      <c r="L32" s="714">
        <v>4.0</v>
      </c>
      <c r="M32" s="714">
        <v>3.0</v>
      </c>
      <c r="N32" s="714">
        <v>4.0</v>
      </c>
      <c r="O32" s="714">
        <v>3.0</v>
      </c>
      <c r="P32" s="714">
        <v>1.0</v>
      </c>
      <c r="Q32" s="781"/>
    </row>
    <row r="33">
      <c r="A33" s="704"/>
      <c r="B33" s="353"/>
      <c r="C33" s="733" t="s">
        <v>1471</v>
      </c>
      <c r="D33" s="712" t="s">
        <v>1448</v>
      </c>
      <c r="E33" s="787" t="s">
        <v>97</v>
      </c>
      <c r="F33" s="68">
        <v>12.0</v>
      </c>
      <c r="G33" s="68">
        <v>12.0</v>
      </c>
      <c r="H33" s="68">
        <v>4.0</v>
      </c>
      <c r="I33" s="788" t="str">
        <f>HYPERLINK("https://d15f34w2p8l1cc.cloudfront.net/hearthstone/46bf22f9a830b86c9ab38532f8a968eeeb5b5fc96b41e4da66b1db76ee5ba3a9.png","Image")</f>
        <v>Image</v>
      </c>
      <c r="J33" s="714">
        <v>2.0</v>
      </c>
      <c r="K33" s="770">
        <v>2.0</v>
      </c>
      <c r="L33" s="714">
        <v>4.0</v>
      </c>
      <c r="M33" s="714">
        <v>3.0</v>
      </c>
      <c r="N33" s="714">
        <v>1.0</v>
      </c>
      <c r="O33" s="714">
        <v>3.0</v>
      </c>
      <c r="P33" s="714">
        <v>1.0</v>
      </c>
      <c r="Q33" s="781"/>
    </row>
    <row r="34">
      <c r="A34" s="704"/>
      <c r="B34" s="353"/>
      <c r="C34" s="733" t="s">
        <v>1472</v>
      </c>
      <c r="D34" s="712"/>
      <c r="E34" s="787"/>
      <c r="F34" s="68">
        <v>4.0</v>
      </c>
      <c r="G34" s="68">
        <v>3.0</v>
      </c>
      <c r="H34" s="68">
        <v>4.0</v>
      </c>
      <c r="I34" s="788" t="str">
        <f>HYPERLINK("https://d15f34w2p8l1cc.cloudfront.net/hearthstone/8616023982fdbf964e8720401e3cc2107b699a7640c826cdbe08b2b2b59969a6.png","Image")</f>
        <v>Image</v>
      </c>
      <c r="J34" s="714">
        <v>5.0</v>
      </c>
      <c r="K34" s="770">
        <v>5.0</v>
      </c>
      <c r="L34" s="714">
        <v>5.0</v>
      </c>
      <c r="M34" s="714">
        <v>5.0</v>
      </c>
      <c r="N34" s="714">
        <v>5.0</v>
      </c>
      <c r="O34" s="714">
        <v>5.0</v>
      </c>
      <c r="P34" s="714">
        <v>5.0</v>
      </c>
      <c r="Q34" s="781"/>
    </row>
    <row r="35">
      <c r="A35" s="704"/>
      <c r="B35" s="353"/>
      <c r="C35" s="733" t="s">
        <v>1473</v>
      </c>
      <c r="D35" s="712"/>
      <c r="E35" s="787" t="s">
        <v>27</v>
      </c>
      <c r="F35" s="68">
        <v>7.0</v>
      </c>
      <c r="G35" s="68">
        <v>3.0</v>
      </c>
      <c r="H35" s="68">
        <v>5.0</v>
      </c>
      <c r="I35" s="788" t="str">
        <f>HYPERLINK("https://d15f34w2p8l1cc.cloudfront.net/hearthstone/c5142a8e7ccd4d5d8d420fba95c8bac7aff70dadb93734eaeeccd5b24e3ab28d.png","Image")</f>
        <v>Image</v>
      </c>
      <c r="J35" s="714">
        <v>1.0</v>
      </c>
      <c r="K35" s="770">
        <v>1.0</v>
      </c>
      <c r="L35" s="714">
        <v>1.0</v>
      </c>
      <c r="M35" s="714">
        <v>1.0</v>
      </c>
      <c r="N35" s="714">
        <v>1.0</v>
      </c>
      <c r="O35" s="714">
        <v>1.0</v>
      </c>
      <c r="P35" s="714">
        <v>1.0</v>
      </c>
      <c r="Q35" s="781"/>
    </row>
    <row r="36">
      <c r="A36" s="704"/>
      <c r="B36" s="355"/>
      <c r="C36" s="733" t="s">
        <v>1474</v>
      </c>
      <c r="D36" s="712"/>
      <c r="E36" s="787"/>
      <c r="F36" s="68">
        <v>4.0</v>
      </c>
      <c r="G36" s="68">
        <v>7.0</v>
      </c>
      <c r="H36" s="68">
        <v>6.0</v>
      </c>
      <c r="I36" s="788" t="str">
        <f>HYPERLINK("https://d15f34w2p8l1cc.cloudfront.net/hearthstone/4493028fa792f6d67bc60c90dffc1afce64118a800c7f8b2243914e524ad0ab5.png","Image")</f>
        <v>Image</v>
      </c>
      <c r="J36" s="714">
        <v>4.0</v>
      </c>
      <c r="K36" s="770">
        <v>4.0</v>
      </c>
      <c r="L36" s="714">
        <v>3.0</v>
      </c>
      <c r="M36" s="714">
        <v>4.0</v>
      </c>
      <c r="N36" s="714">
        <v>4.0</v>
      </c>
      <c r="O36" s="714">
        <v>3.0</v>
      </c>
      <c r="P36" s="714">
        <v>1.0</v>
      </c>
      <c r="Q36" s="781"/>
    </row>
    <row r="37">
      <c r="A37" s="704"/>
      <c r="B37" s="605"/>
      <c r="C37" s="195" t="s">
        <v>83</v>
      </c>
      <c r="D37" s="82"/>
      <c r="E37" s="82"/>
      <c r="F37" s="82"/>
      <c r="G37" s="82"/>
      <c r="H37" s="82"/>
      <c r="I37" s="96"/>
      <c r="J37" s="128"/>
      <c r="K37" s="128"/>
      <c r="L37" s="128"/>
      <c r="M37" s="128"/>
      <c r="N37" s="128"/>
      <c r="O37" s="128"/>
      <c r="P37" s="128"/>
      <c r="Q37" s="307"/>
    </row>
    <row r="38" ht="15.75" customHeight="1">
      <c r="A38" s="716"/>
      <c r="B38" s="609"/>
      <c r="C38" s="136"/>
      <c r="D38" s="782"/>
      <c r="E38" s="783"/>
      <c r="F38" s="85"/>
      <c r="G38" s="85"/>
      <c r="H38" s="85"/>
      <c r="I38" s="700"/>
      <c r="J38" s="702" t="s">
        <v>2</v>
      </c>
      <c r="K38" s="702" t="s">
        <v>426</v>
      </c>
      <c r="L38" s="702" t="s">
        <v>1</v>
      </c>
      <c r="M38" s="702" t="s">
        <v>4</v>
      </c>
      <c r="N38" s="702" t="s">
        <v>208</v>
      </c>
      <c r="O38" s="702" t="s">
        <v>3</v>
      </c>
      <c r="P38" s="702" t="s">
        <v>427</v>
      </c>
      <c r="Q38" s="781"/>
    </row>
    <row r="39" ht="17.25" customHeight="1">
      <c r="A39" s="704"/>
      <c r="B39" s="792" t="s">
        <v>64</v>
      </c>
      <c r="C39" s="705" t="s">
        <v>1475</v>
      </c>
      <c r="D39" s="707"/>
      <c r="E39" s="785" t="s">
        <v>71</v>
      </c>
      <c r="F39" s="185"/>
      <c r="G39" s="185"/>
      <c r="H39" s="185">
        <v>1.0</v>
      </c>
      <c r="I39" s="786" t="str">
        <f>HYPERLINK("https://d15f34w2p8l1cc.cloudfront.net/hearthstone/3d1767722f0bd191934e14c1c1bd6c6c756898042033c47e7160db25a4eb9a93.png","Image")</f>
        <v>Image</v>
      </c>
      <c r="J39" s="709">
        <v>1.0</v>
      </c>
      <c r="K39" s="709">
        <v>1.0</v>
      </c>
      <c r="L39" s="709">
        <v>2.0</v>
      </c>
      <c r="M39" s="709">
        <v>2.0</v>
      </c>
      <c r="N39" s="709">
        <v>1.0</v>
      </c>
      <c r="O39" s="709">
        <v>2.0</v>
      </c>
      <c r="P39" s="709">
        <v>1.0</v>
      </c>
      <c r="Q39" s="781"/>
    </row>
    <row r="40">
      <c r="A40" s="716"/>
      <c r="B40" s="353"/>
      <c r="C40" s="710" t="s">
        <v>1476</v>
      </c>
      <c r="D40" s="712" t="s">
        <v>1448</v>
      </c>
      <c r="E40" s="787" t="s">
        <v>97</v>
      </c>
      <c r="F40" s="68">
        <v>2.0</v>
      </c>
      <c r="G40" s="68">
        <v>2.0</v>
      </c>
      <c r="H40" s="68">
        <v>1.0</v>
      </c>
      <c r="I40" s="788" t="str">
        <f>HYPERLINK("https://d15f34w2p8l1cc.cloudfront.net/hearthstone/8de626f0cd9fbffa0956cdd9fd933d670506bc66bc131e5f9ad732fb7dcc3ba7.png","Image")</f>
        <v>Image</v>
      </c>
      <c r="J40" s="714">
        <v>1.0</v>
      </c>
      <c r="K40" s="714">
        <v>1.0</v>
      </c>
      <c r="L40" s="714">
        <v>1.0</v>
      </c>
      <c r="M40" s="714">
        <v>2.0</v>
      </c>
      <c r="N40" s="714">
        <v>1.0</v>
      </c>
      <c r="O40" s="714">
        <v>2.0</v>
      </c>
      <c r="P40" s="714">
        <v>1.0</v>
      </c>
      <c r="Q40" s="781"/>
    </row>
    <row r="41">
      <c r="A41" s="704"/>
      <c r="B41" s="632"/>
      <c r="C41" s="729" t="s">
        <v>1477</v>
      </c>
      <c r="D41" s="731"/>
      <c r="E41" s="789"/>
      <c r="F41" s="557">
        <v>3.0</v>
      </c>
      <c r="G41" s="557">
        <v>3.0</v>
      </c>
      <c r="H41" s="557">
        <v>3.0</v>
      </c>
      <c r="I41" s="790" t="str">
        <f>HYPERLINK("https://d15f34w2p8l1cc.cloudfront.net/hearthstone/538678f2a6c32fcc06b295325ad7e303f2f8d881efc8de9d273c8c5152724e06.png","Image")</f>
        <v>Image</v>
      </c>
      <c r="J41" s="714">
        <v>3.0</v>
      </c>
      <c r="K41" s="714">
        <v>3.0</v>
      </c>
      <c r="L41" s="714">
        <v>4.0</v>
      </c>
      <c r="M41" s="714">
        <v>4.0</v>
      </c>
      <c r="N41" s="714">
        <v>1.0</v>
      </c>
      <c r="O41" s="714">
        <v>3.0</v>
      </c>
      <c r="P41" s="714">
        <v>1.0</v>
      </c>
      <c r="Q41" s="781"/>
    </row>
    <row r="42">
      <c r="A42" s="704"/>
      <c r="B42" s="639"/>
      <c r="C42" s="710" t="s">
        <v>1478</v>
      </c>
      <c r="D42" s="712"/>
      <c r="E42" s="787" t="s">
        <v>71</v>
      </c>
      <c r="F42" s="68"/>
      <c r="G42" s="68"/>
      <c r="H42" s="68">
        <v>2.0</v>
      </c>
      <c r="I42" s="788" t="str">
        <f>HYPERLINK("https://d15f34w2p8l1cc.cloudfront.net/hearthstone/9a8ed6cb9f09f2c0eb9ebfcccf903ee51b0ac25d28cbe139d8272934ac87ac83.png","Image")</f>
        <v>Image</v>
      </c>
      <c r="J42" s="714">
        <v>2.0</v>
      </c>
      <c r="K42" s="714">
        <v>2.0</v>
      </c>
      <c r="L42" s="714">
        <v>3.0</v>
      </c>
      <c r="M42" s="714">
        <v>3.0</v>
      </c>
      <c r="N42" s="714">
        <v>3.0</v>
      </c>
      <c r="O42" s="714">
        <v>4.0</v>
      </c>
      <c r="P42" s="714">
        <v>1.0</v>
      </c>
      <c r="Q42" s="781"/>
    </row>
    <row r="43">
      <c r="A43" s="704"/>
      <c r="B43" s="353"/>
      <c r="C43" s="710" t="s">
        <v>1479</v>
      </c>
      <c r="D43" s="712"/>
      <c r="E43" s="787" t="s">
        <v>20</v>
      </c>
      <c r="F43" s="68">
        <v>4.0</v>
      </c>
      <c r="G43" s="68">
        <v>5.0</v>
      </c>
      <c r="H43" s="68">
        <v>5.0</v>
      </c>
      <c r="I43" s="788" t="str">
        <f>HYPERLINK("https://d15f34w2p8l1cc.cloudfront.net/hearthstone/35ac50a1e5fd865f4bc2c01e5cda8895c199247ca77af46964991a182f3d18f0.png","Image")</f>
        <v>Image</v>
      </c>
      <c r="J43" s="714">
        <v>2.0</v>
      </c>
      <c r="K43" s="714">
        <v>2.0</v>
      </c>
      <c r="L43" s="714">
        <v>2.0</v>
      </c>
      <c r="M43" s="714">
        <v>2.0</v>
      </c>
      <c r="N43" s="714">
        <v>1.0</v>
      </c>
      <c r="O43" s="714">
        <v>2.0</v>
      </c>
      <c r="P43" s="714">
        <v>1.0</v>
      </c>
      <c r="Q43" s="781"/>
    </row>
    <row r="44">
      <c r="A44" s="704"/>
      <c r="B44" s="632"/>
      <c r="C44" s="729" t="s">
        <v>1480</v>
      </c>
      <c r="D44" s="731"/>
      <c r="E44" s="789"/>
      <c r="F44" s="557">
        <v>6.0</v>
      </c>
      <c r="G44" s="557">
        <v>8.0</v>
      </c>
      <c r="H44" s="557">
        <v>7.0</v>
      </c>
      <c r="I44" s="790" t="str">
        <f>HYPERLINK("https://d15f34w2p8l1cc.cloudfront.net/hearthstone/30e3672c196fc0e12ef3eca728a0fc83e4c48fab917f895eca5b5435909cb999.png","Image")</f>
        <v>Image</v>
      </c>
      <c r="J44" s="714">
        <v>4.0</v>
      </c>
      <c r="K44" s="714">
        <v>4.0</v>
      </c>
      <c r="L44" s="714">
        <v>3.0</v>
      </c>
      <c r="M44" s="714">
        <v>2.0</v>
      </c>
      <c r="N44" s="714">
        <v>4.0</v>
      </c>
      <c r="O44" s="714">
        <v>2.0</v>
      </c>
      <c r="P44" s="714">
        <v>1.0</v>
      </c>
      <c r="Q44" s="781"/>
    </row>
    <row r="45">
      <c r="A45" s="704"/>
      <c r="B45" s="793"/>
      <c r="C45" s="710" t="s">
        <v>1481</v>
      </c>
      <c r="D45" s="712"/>
      <c r="E45" s="787"/>
      <c r="F45" s="68">
        <v>1.0</v>
      </c>
      <c r="G45" s="68">
        <v>10.0</v>
      </c>
      <c r="H45" s="68">
        <v>3.0</v>
      </c>
      <c r="I45" s="788" t="str">
        <f>HYPERLINK("https://d15f34w2p8l1cc.cloudfront.net/hearthstone/f471b89362be0ddc75931ea7ea5538cb5b4a4e9239575328dbcd7f1e53ffb228.png","Image")</f>
        <v>Image</v>
      </c>
      <c r="J45" s="714">
        <v>1.0</v>
      </c>
      <c r="K45" s="714">
        <v>1.0</v>
      </c>
      <c r="L45" s="714">
        <v>2.0</v>
      </c>
      <c r="M45" s="714">
        <v>2.0</v>
      </c>
      <c r="N45" s="714">
        <v>1.0</v>
      </c>
      <c r="O45" s="714">
        <v>3.0</v>
      </c>
      <c r="P45" s="714">
        <v>1.0</v>
      </c>
      <c r="Q45" s="781"/>
    </row>
    <row r="46">
      <c r="A46" s="704"/>
      <c r="B46" s="632"/>
      <c r="C46" s="729" t="s">
        <v>1482</v>
      </c>
      <c r="D46" s="731"/>
      <c r="E46" s="789" t="s">
        <v>71</v>
      </c>
      <c r="F46" s="557"/>
      <c r="G46" s="557"/>
      <c r="H46" s="557">
        <v>3.0</v>
      </c>
      <c r="I46" s="790" t="str">
        <f>HYPERLINK("https://d15f34w2p8l1cc.cloudfront.net/hearthstone/9fc96c52e12f114a34676252d43e1721ed901ca33c247e049934696bf23d9776.png","Image")</f>
        <v>Image</v>
      </c>
      <c r="J46" s="714">
        <v>3.0</v>
      </c>
      <c r="K46" s="714">
        <v>3.0</v>
      </c>
      <c r="L46" s="714">
        <v>4.0</v>
      </c>
      <c r="M46" s="714">
        <v>3.0</v>
      </c>
      <c r="N46" s="714">
        <v>3.0</v>
      </c>
      <c r="O46" s="714">
        <v>3.0</v>
      </c>
      <c r="P46" s="714">
        <v>1.0</v>
      </c>
      <c r="Q46" s="781"/>
    </row>
    <row r="47">
      <c r="A47" s="704"/>
      <c r="B47" s="794"/>
      <c r="C47" s="710" t="s">
        <v>1483</v>
      </c>
      <c r="D47" s="712"/>
      <c r="E47" s="787" t="s">
        <v>77</v>
      </c>
      <c r="F47" s="68">
        <v>1.0</v>
      </c>
      <c r="G47" s="68">
        <v>4.0</v>
      </c>
      <c r="H47" s="68">
        <v>3.0</v>
      </c>
      <c r="I47" s="788" t="str">
        <f>HYPERLINK("https://d15f34w2p8l1cc.cloudfront.net/hearthstone/cfeae683581d6a8ecd14f599c4e49ab497a49876268f1398f085a6c5c0e5f54a.png","Image")</f>
        <v>Image</v>
      </c>
      <c r="J47" s="714">
        <v>1.0</v>
      </c>
      <c r="K47" s="714">
        <v>1.0</v>
      </c>
      <c r="L47" s="714">
        <v>2.0</v>
      </c>
      <c r="M47" s="714">
        <v>1.0</v>
      </c>
      <c r="N47" s="714">
        <v>1.0</v>
      </c>
      <c r="O47" s="714">
        <v>1.0</v>
      </c>
      <c r="P47" s="714">
        <v>1.0</v>
      </c>
      <c r="Q47" s="781"/>
    </row>
    <row r="48">
      <c r="A48" s="704"/>
      <c r="B48" s="355"/>
      <c r="C48" s="710" t="s">
        <v>1484</v>
      </c>
      <c r="D48" s="795" t="str">
        <f>HYPERLINK("https://d15f34w2p8l1cc.cloudfront.net/hearthstone/6536c19953531a775f7a4b3a762b9b32203170a920ec519f8eddd1adb8b46997.png","Primus")</f>
        <v>Primus</v>
      </c>
      <c r="E48" s="787"/>
      <c r="F48" s="68">
        <v>4.0</v>
      </c>
      <c r="G48" s="68">
        <v>4.0</v>
      </c>
      <c r="H48" s="68">
        <v>4.0</v>
      </c>
      <c r="I48" s="788" t="str">
        <f>HYPERLINK("https://d15f34w2p8l1cc.cloudfront.net/hearthstone/3f25cbe881c020558fafd0c3602d1cb1877aa080f085d7a5995f1b6448e063ee.png","Image")</f>
        <v>Image</v>
      </c>
      <c r="J48" s="714">
        <v>4.0</v>
      </c>
      <c r="K48" s="714">
        <v>4.0</v>
      </c>
      <c r="L48" s="714">
        <v>5.0</v>
      </c>
      <c r="M48" s="714">
        <v>4.0</v>
      </c>
      <c r="N48" s="714">
        <v>4.0</v>
      </c>
      <c r="O48" s="714">
        <v>3.0</v>
      </c>
      <c r="P48" s="714">
        <v>1.0</v>
      </c>
      <c r="Q48" s="781"/>
    </row>
    <row r="49">
      <c r="A49" s="716"/>
      <c r="B49" s="605"/>
      <c r="C49" s="195" t="s">
        <v>95</v>
      </c>
      <c r="D49" s="82"/>
      <c r="E49" s="82"/>
      <c r="F49" s="82"/>
      <c r="G49" s="82"/>
      <c r="H49" s="82"/>
      <c r="I49" s="96"/>
      <c r="J49" s="128"/>
      <c r="K49" s="128"/>
      <c r="L49" s="128"/>
      <c r="M49" s="128"/>
      <c r="N49" s="128"/>
      <c r="O49" s="128"/>
      <c r="P49" s="128"/>
      <c r="Q49" s="307"/>
    </row>
    <row r="50" ht="15.75" customHeight="1">
      <c r="A50" s="704"/>
      <c r="B50" s="636"/>
      <c r="C50" s="136"/>
      <c r="D50" s="782"/>
      <c r="E50" s="783"/>
      <c r="F50" s="85"/>
      <c r="G50" s="85"/>
      <c r="H50" s="85"/>
      <c r="I50" s="700"/>
      <c r="J50" s="702" t="s">
        <v>2</v>
      </c>
      <c r="K50" s="702" t="s">
        <v>426</v>
      </c>
      <c r="L50" s="702" t="s">
        <v>1</v>
      </c>
      <c r="M50" s="702" t="s">
        <v>4</v>
      </c>
      <c r="N50" s="702" t="s">
        <v>208</v>
      </c>
      <c r="O50" s="702" t="s">
        <v>3</v>
      </c>
      <c r="P50" s="702" t="s">
        <v>427</v>
      </c>
      <c r="Q50" s="781"/>
    </row>
    <row r="51">
      <c r="A51" s="716"/>
      <c r="B51" s="792"/>
      <c r="C51" s="705" t="s">
        <v>1485</v>
      </c>
      <c r="D51" s="707"/>
      <c r="E51" s="785" t="s">
        <v>71</v>
      </c>
      <c r="F51" s="185"/>
      <c r="G51" s="185"/>
      <c r="H51" s="185">
        <v>1.0</v>
      </c>
      <c r="I51" s="786" t="str">
        <f>HYPERLINK("https://d15f34w2p8l1cc.cloudfront.net/hearthstone/fdddfe86db6452e36cd6a85cbdce90768b54ad4f696a664804797dc73b58f73a.png","Image")</f>
        <v>Image</v>
      </c>
      <c r="J51" s="709">
        <v>3.0</v>
      </c>
      <c r="K51" s="709">
        <v>3.0</v>
      </c>
      <c r="L51" s="709">
        <v>3.0</v>
      </c>
      <c r="M51" s="709">
        <v>2.0</v>
      </c>
      <c r="N51" s="709">
        <v>1.0</v>
      </c>
      <c r="O51" s="709">
        <v>2.0</v>
      </c>
      <c r="P51" s="709">
        <v>1.0</v>
      </c>
      <c r="Q51" s="781"/>
    </row>
    <row r="52">
      <c r="A52" s="704"/>
      <c r="B52" s="353"/>
      <c r="C52" s="710" t="s">
        <v>1486</v>
      </c>
      <c r="D52" s="712"/>
      <c r="E52" s="787" t="s">
        <v>97</v>
      </c>
      <c r="F52" s="68">
        <v>5.0</v>
      </c>
      <c r="G52" s="68">
        <v>5.0</v>
      </c>
      <c r="H52" s="68">
        <v>4.0</v>
      </c>
      <c r="I52" s="788" t="str">
        <f>HYPERLINK("https://d15f34w2p8l1cc.cloudfront.net/hearthstone/d50a40cc3691ecbea753323c81c4e4d47ba397d93b8d14348dacffd2d94561fe.png","Image")</f>
        <v>Image</v>
      </c>
      <c r="J52" s="714">
        <v>2.0</v>
      </c>
      <c r="K52" s="714">
        <v>3.0</v>
      </c>
      <c r="L52" s="714">
        <v>4.0</v>
      </c>
      <c r="M52" s="714">
        <v>3.0</v>
      </c>
      <c r="N52" s="714">
        <v>3.0</v>
      </c>
      <c r="O52" s="714">
        <v>2.0</v>
      </c>
      <c r="P52" s="714">
        <v>1.0</v>
      </c>
      <c r="Q52" s="781"/>
    </row>
    <row r="53">
      <c r="A53" s="704"/>
      <c r="B53" s="632"/>
      <c r="C53" s="729" t="s">
        <v>1487</v>
      </c>
      <c r="D53" s="731"/>
      <c r="E53" s="789" t="s">
        <v>71</v>
      </c>
      <c r="F53" s="557"/>
      <c r="G53" s="557"/>
      <c r="H53" s="557">
        <v>6.0</v>
      </c>
      <c r="I53" s="790" t="str">
        <f>HYPERLINK("https://d15f34w2p8l1cc.cloudfront.net/hearthstone/bd605158c91b8656d25c73864c046853ef128b49db5b5b6cb73760566cd7e48b.png","Image")</f>
        <v>Image</v>
      </c>
      <c r="J53" s="714">
        <v>2.0</v>
      </c>
      <c r="K53" s="714">
        <v>3.0</v>
      </c>
      <c r="L53" s="714">
        <v>3.0</v>
      </c>
      <c r="M53" s="714">
        <v>3.0</v>
      </c>
      <c r="N53" s="714">
        <v>2.0</v>
      </c>
      <c r="O53" s="714">
        <v>3.0</v>
      </c>
      <c r="P53" s="714">
        <v>1.0</v>
      </c>
      <c r="Q53" s="781"/>
    </row>
    <row r="54">
      <c r="A54" s="704"/>
      <c r="B54" s="639"/>
      <c r="C54" s="710" t="s">
        <v>1488</v>
      </c>
      <c r="D54" s="712" t="s">
        <v>1448</v>
      </c>
      <c r="E54" s="787" t="s">
        <v>97</v>
      </c>
      <c r="F54" s="68">
        <v>3.0</v>
      </c>
      <c r="G54" s="68">
        <v>3.0</v>
      </c>
      <c r="H54" s="68">
        <v>2.0</v>
      </c>
      <c r="I54" s="788" t="str">
        <f>HYPERLINK("https://d15f34w2p8l1cc.cloudfront.net/hearthstone/0f80b51694c7eaeea4c315fe9732bf168a8cb532d57e557557c9a2ea1a806b6d.png","Image")</f>
        <v>Image</v>
      </c>
      <c r="J54" s="714">
        <v>1.0</v>
      </c>
      <c r="K54" s="714">
        <v>1.0</v>
      </c>
      <c r="L54" s="714">
        <v>1.0</v>
      </c>
      <c r="M54" s="714">
        <v>1.0</v>
      </c>
      <c r="N54" s="714">
        <v>1.0</v>
      </c>
      <c r="O54" s="714">
        <v>3.0</v>
      </c>
      <c r="P54" s="714">
        <v>1.0</v>
      </c>
      <c r="Q54" s="781"/>
    </row>
    <row r="55">
      <c r="A55" s="704"/>
      <c r="B55" s="353"/>
      <c r="C55" s="710" t="s">
        <v>1489</v>
      </c>
      <c r="D55" s="712"/>
      <c r="E55" s="787" t="s">
        <v>71</v>
      </c>
      <c r="F55" s="68"/>
      <c r="G55" s="68"/>
      <c r="H55" s="68">
        <v>4.0</v>
      </c>
      <c r="I55" s="788" t="str">
        <f>HYPERLINK("https://d15f34w2p8l1cc.cloudfront.net/hearthstone/cd30dcf08987aa64f458272006366bd98ecdb4ca0e5289788635c0f29e2eab3b.png","Image")</f>
        <v>Image</v>
      </c>
      <c r="J55" s="714">
        <v>2.0</v>
      </c>
      <c r="K55" s="714">
        <v>1.0</v>
      </c>
      <c r="L55" s="714">
        <v>1.0</v>
      </c>
      <c r="M55" s="714">
        <v>2.0</v>
      </c>
      <c r="N55" s="714">
        <v>1.0</v>
      </c>
      <c r="O55" s="714">
        <v>2.0</v>
      </c>
      <c r="P55" s="714">
        <v>1.0</v>
      </c>
      <c r="Q55" s="781"/>
    </row>
    <row r="56">
      <c r="A56" s="704"/>
      <c r="B56" s="632"/>
      <c r="C56" s="729" t="s">
        <v>1490</v>
      </c>
      <c r="D56" s="731"/>
      <c r="E56" s="789" t="s">
        <v>97</v>
      </c>
      <c r="F56" s="557">
        <v>5.0</v>
      </c>
      <c r="G56" s="557">
        <v>7.0</v>
      </c>
      <c r="H56" s="557">
        <v>8.0</v>
      </c>
      <c r="I56" s="790" t="str">
        <f>HYPERLINK("https://d15f34w2p8l1cc.cloudfront.net/hearthstone/c8c9d188dda2f2bfa3a7ee8ca47695ff2b43352643c3f46c80ceb19bd98f112b.png","Image")</f>
        <v>Image</v>
      </c>
      <c r="J56" s="714">
        <v>1.0</v>
      </c>
      <c r="K56" s="714">
        <v>1.0</v>
      </c>
      <c r="L56" s="714">
        <v>1.0</v>
      </c>
      <c r="M56" s="714">
        <v>1.0</v>
      </c>
      <c r="N56" s="714">
        <v>1.0</v>
      </c>
      <c r="O56" s="714">
        <v>1.0</v>
      </c>
      <c r="P56" s="714">
        <v>1.0</v>
      </c>
      <c r="Q56" s="781"/>
    </row>
    <row r="57">
      <c r="A57" s="704"/>
      <c r="B57" s="793"/>
      <c r="C57" s="710" t="s">
        <v>1491</v>
      </c>
      <c r="D57" s="712"/>
      <c r="E57" s="787" t="s">
        <v>490</v>
      </c>
      <c r="F57" s="68"/>
      <c r="G57" s="68"/>
      <c r="H57" s="68">
        <v>1.0</v>
      </c>
      <c r="I57" s="788" t="str">
        <f>HYPERLINK("https://d15f34w2p8l1cc.cloudfront.net/hearthstone/7667dd53bcb3c02fbfe91a6e8dea98e16f8ee20990315cf2009d31c96e199860.png","Image")</f>
        <v>Image</v>
      </c>
      <c r="J57" s="714">
        <v>1.0</v>
      </c>
      <c r="K57" s="714">
        <v>1.0</v>
      </c>
      <c r="L57" s="714">
        <v>1.0</v>
      </c>
      <c r="M57" s="714">
        <v>1.0</v>
      </c>
      <c r="N57" s="714">
        <v>1.0</v>
      </c>
      <c r="O57" s="714">
        <v>2.0</v>
      </c>
      <c r="P57" s="714">
        <v>1.0</v>
      </c>
      <c r="Q57" s="781"/>
    </row>
    <row r="58">
      <c r="A58" s="716"/>
      <c r="B58" s="632"/>
      <c r="C58" s="729" t="s">
        <v>1492</v>
      </c>
      <c r="D58" s="731"/>
      <c r="E58" s="789" t="s">
        <v>97</v>
      </c>
      <c r="F58" s="557">
        <v>3.0</v>
      </c>
      <c r="G58" s="557">
        <v>4.0</v>
      </c>
      <c r="H58" s="557">
        <v>3.0</v>
      </c>
      <c r="I58" s="790" t="str">
        <f>HYPERLINK("https://d15f34w2p8l1cc.cloudfront.net/hearthstone/45d48856f4c8410a6763e4ef92087fbd093416ae1983b5176e466deb3b2e15de.png","Image")</f>
        <v>Image</v>
      </c>
      <c r="J58" s="714">
        <v>3.0</v>
      </c>
      <c r="K58" s="714">
        <v>3.0</v>
      </c>
      <c r="L58" s="714">
        <v>3.0</v>
      </c>
      <c r="M58" s="714">
        <v>3.0</v>
      </c>
      <c r="N58" s="714">
        <v>2.0</v>
      </c>
      <c r="O58" s="714">
        <v>3.0</v>
      </c>
      <c r="P58" s="714">
        <v>1.0</v>
      </c>
      <c r="Q58" s="781"/>
    </row>
    <row r="59" ht="17.25" customHeight="1">
      <c r="A59" s="704"/>
      <c r="B59" s="794"/>
      <c r="C59" s="710" t="s">
        <v>1493</v>
      </c>
      <c r="D59" s="795" t="str">
        <f>HYPERLINK("https://www.hearthstone-decks.com/upload/news/2020/mars/25/primus-kanrethad.jpg","Primus")</f>
        <v>Primus</v>
      </c>
      <c r="E59" s="787"/>
      <c r="F59" s="68">
        <v>3.0</v>
      </c>
      <c r="G59" s="68">
        <v>2.0</v>
      </c>
      <c r="H59" s="68">
        <v>2.0</v>
      </c>
      <c r="I59" s="788" t="str">
        <f>HYPERLINK("https://d15f34w2p8l1cc.cloudfront.net/hearthstone/284a8bd3dbaeab81a0c6e6cd93440d3f24bdeae7c50ec4dff7742a94b55bdde5.png","Image")</f>
        <v>Image</v>
      </c>
      <c r="J59" s="714">
        <v>3.0</v>
      </c>
      <c r="K59" s="714">
        <v>2.0</v>
      </c>
      <c r="L59" s="714">
        <v>3.0</v>
      </c>
      <c r="M59" s="714">
        <v>4.0</v>
      </c>
      <c r="N59" s="714">
        <v>3.0</v>
      </c>
      <c r="O59" s="714">
        <v>4.0</v>
      </c>
      <c r="P59" s="714">
        <v>1.0</v>
      </c>
      <c r="Q59" s="781"/>
    </row>
    <row r="60">
      <c r="A60" s="716"/>
      <c r="B60" s="355"/>
      <c r="C60" s="710" t="s">
        <v>1494</v>
      </c>
      <c r="D60" s="712"/>
      <c r="E60" s="787"/>
      <c r="F60" s="68">
        <v>3.0</v>
      </c>
      <c r="G60" s="68">
        <v>3.0</v>
      </c>
      <c r="H60" s="68">
        <v>6.0</v>
      </c>
      <c r="I60" s="788" t="str">
        <f>HYPERLINK("https://d15f34w2p8l1cc.cloudfront.net/hearthstone/6d8d154edb56312e1e25321425d7a204b11168afc405cc231a8ffe4b01d52a4e.png","Image")</f>
        <v>Image</v>
      </c>
      <c r="J60" s="714">
        <v>4.0</v>
      </c>
      <c r="K60" s="714">
        <v>4.0</v>
      </c>
      <c r="L60" s="714">
        <v>4.0</v>
      </c>
      <c r="M60" s="714">
        <v>4.0</v>
      </c>
      <c r="N60" s="714">
        <v>3.0</v>
      </c>
      <c r="O60" s="714">
        <v>4.0</v>
      </c>
      <c r="P60" s="714">
        <v>1.0</v>
      </c>
      <c r="Q60" s="781"/>
    </row>
    <row r="61">
      <c r="A61" s="704"/>
      <c r="B61" s="605"/>
      <c r="C61" s="195" t="s">
        <v>109</v>
      </c>
      <c r="D61" s="82"/>
      <c r="E61" s="82"/>
      <c r="F61" s="82"/>
      <c r="G61" s="82"/>
      <c r="H61" s="82"/>
      <c r="I61" s="96"/>
      <c r="J61" s="128"/>
      <c r="K61" s="128"/>
      <c r="L61" s="128"/>
      <c r="M61" s="128"/>
      <c r="N61" s="128"/>
      <c r="O61" s="128"/>
      <c r="P61" s="128"/>
      <c r="Q61" s="307"/>
    </row>
    <row r="62" ht="15.75" customHeight="1">
      <c r="A62" s="704"/>
      <c r="B62" s="636"/>
      <c r="C62" s="136"/>
      <c r="D62" s="782"/>
      <c r="E62" s="783"/>
      <c r="F62" s="85"/>
      <c r="G62" s="85"/>
      <c r="H62" s="85"/>
      <c r="I62" s="700"/>
      <c r="J62" s="702" t="s">
        <v>2</v>
      </c>
      <c r="K62" s="702" t="s">
        <v>426</v>
      </c>
      <c r="L62" s="702" t="s">
        <v>1</v>
      </c>
      <c r="M62" s="702" t="s">
        <v>4</v>
      </c>
      <c r="N62" s="702" t="s">
        <v>208</v>
      </c>
      <c r="O62" s="702" t="s">
        <v>3</v>
      </c>
      <c r="P62" s="702" t="s">
        <v>427</v>
      </c>
      <c r="Q62" s="781"/>
    </row>
    <row r="63">
      <c r="A63" s="704"/>
      <c r="B63" s="792"/>
      <c r="C63" s="705" t="s">
        <v>1495</v>
      </c>
      <c r="D63" s="707"/>
      <c r="E63" s="785" t="s">
        <v>71</v>
      </c>
      <c r="F63" s="185"/>
      <c r="G63" s="185"/>
      <c r="H63" s="185">
        <v>3.0</v>
      </c>
      <c r="I63" s="786" t="str">
        <f>HYPERLINK("https://d15f34w2p8l1cc.cloudfront.net/hearthstone/d0cd8ffb9f2e9f58d4d2abe15ae92e38259c44a9be59143722ce686cd79dbf4d.png","Image")</f>
        <v>Image</v>
      </c>
      <c r="J63" s="709">
        <v>4.0</v>
      </c>
      <c r="K63" s="709">
        <v>4.0</v>
      </c>
      <c r="L63" s="709">
        <v>4.0</v>
      </c>
      <c r="M63" s="709">
        <v>3.0</v>
      </c>
      <c r="N63" s="709">
        <v>3.0</v>
      </c>
      <c r="O63" s="709">
        <v>4.0</v>
      </c>
      <c r="P63" s="709">
        <v>1.0</v>
      </c>
      <c r="Q63" s="781"/>
    </row>
    <row r="64">
      <c r="A64" s="704"/>
      <c r="B64" s="353"/>
      <c r="C64" s="710" t="s">
        <v>1496</v>
      </c>
      <c r="D64" s="712"/>
      <c r="E64" s="787" t="s">
        <v>71</v>
      </c>
      <c r="F64" s="68"/>
      <c r="G64" s="68"/>
      <c r="H64" s="68">
        <v>3.0</v>
      </c>
      <c r="I64" s="788" t="str">
        <f>HYPERLINK("https://d15f34w2p8l1cc.cloudfront.net/hearthstone/a062a11fdf21842b1121e8c9716941066c1993235f253aac57e438a7c4dc9d32.png","Image")</f>
        <v>Image</v>
      </c>
      <c r="J64" s="714">
        <v>1.0</v>
      </c>
      <c r="K64" s="714">
        <v>1.0</v>
      </c>
      <c r="L64" s="714">
        <v>1.0</v>
      </c>
      <c r="M64" s="714">
        <v>1.0</v>
      </c>
      <c r="N64" s="714">
        <v>1.0</v>
      </c>
      <c r="O64" s="714">
        <v>1.0</v>
      </c>
      <c r="P64" s="714">
        <v>1.0</v>
      </c>
      <c r="Q64" s="781"/>
    </row>
    <row r="65">
      <c r="A65" s="704"/>
      <c r="B65" s="632"/>
      <c r="C65" s="729" t="s">
        <v>1497</v>
      </c>
      <c r="D65" s="731"/>
      <c r="E65" s="789" t="s">
        <v>27</v>
      </c>
      <c r="F65" s="557">
        <v>3.0</v>
      </c>
      <c r="G65" s="557">
        <v>4.0</v>
      </c>
      <c r="H65" s="557">
        <v>3.0</v>
      </c>
      <c r="I65" s="790" t="str">
        <f>HYPERLINK("https://d15f34w2p8l1cc.cloudfront.net/hearthstone/240ad6be2e0602224178f1abc8934b7a425b506248e3d95434bf4a0673badedc.png","Image")</f>
        <v>Image</v>
      </c>
      <c r="J65" s="714">
        <v>2.0</v>
      </c>
      <c r="K65" s="714">
        <v>2.0</v>
      </c>
      <c r="L65" s="714">
        <v>3.0</v>
      </c>
      <c r="M65" s="714">
        <v>4.0</v>
      </c>
      <c r="N65" s="714">
        <v>2.0</v>
      </c>
      <c r="O65" s="714">
        <v>3.0</v>
      </c>
      <c r="P65" s="714">
        <v>1.0</v>
      </c>
      <c r="Q65" s="781"/>
    </row>
    <row r="66">
      <c r="A66" s="704"/>
      <c r="B66" s="639"/>
      <c r="C66" s="710" t="s">
        <v>1498</v>
      </c>
      <c r="D66" s="712"/>
      <c r="E66" s="787"/>
      <c r="F66" s="68">
        <v>3.0</v>
      </c>
      <c r="G66" s="68">
        <v>3.0</v>
      </c>
      <c r="H66" s="68">
        <v>3.0</v>
      </c>
      <c r="I66" s="788" t="str">
        <f>HYPERLINK("https://d15f34w2p8l1cc.cloudfront.net/hearthstone/c62f17eebdf3e560c1d3bc5b62859ea33c0411eced68cd17d1f3bd30884af5be.png","Image")</f>
        <v>Image</v>
      </c>
      <c r="J66" s="714">
        <v>2.0</v>
      </c>
      <c r="K66" s="714">
        <v>3.0</v>
      </c>
      <c r="L66" s="714">
        <v>4.0</v>
      </c>
      <c r="M66" s="714">
        <v>3.0</v>
      </c>
      <c r="N66" s="714">
        <v>2.0</v>
      </c>
      <c r="O66" s="714">
        <v>3.0</v>
      </c>
      <c r="P66" s="714">
        <v>1.0</v>
      </c>
      <c r="Q66" s="781"/>
    </row>
    <row r="67">
      <c r="A67" s="704"/>
      <c r="B67" s="353"/>
      <c r="C67" s="710" t="s">
        <v>1499</v>
      </c>
      <c r="D67" s="712"/>
      <c r="E67" s="787" t="s">
        <v>71</v>
      </c>
      <c r="F67" s="68"/>
      <c r="G67" s="68"/>
      <c r="H67" s="68">
        <v>4.0</v>
      </c>
      <c r="I67" s="788" t="str">
        <f>HYPERLINK("https://d15f34w2p8l1cc.cloudfront.net/hearthstone/2f2e65525422d6caca3e5a27926ca72c08b479d13987d7befce5eb0090a3f7b8.png","Image")</f>
        <v>Image</v>
      </c>
      <c r="J67" s="714">
        <v>1.0</v>
      </c>
      <c r="K67" s="714">
        <v>1.0</v>
      </c>
      <c r="L67" s="714">
        <v>1.0</v>
      </c>
      <c r="M67" s="714">
        <v>2.0</v>
      </c>
      <c r="N67" s="714">
        <v>1.0</v>
      </c>
      <c r="O67" s="714">
        <v>3.0</v>
      </c>
      <c r="P67" s="714">
        <v>1.0</v>
      </c>
      <c r="Q67" s="781"/>
    </row>
    <row r="68">
      <c r="A68" s="704"/>
      <c r="B68" s="632"/>
      <c r="C68" s="729" t="s">
        <v>1500</v>
      </c>
      <c r="D68" s="731"/>
      <c r="E68" s="789" t="s">
        <v>71</v>
      </c>
      <c r="F68" s="557"/>
      <c r="G68" s="557"/>
      <c r="H68" s="557">
        <v>5.0</v>
      </c>
      <c r="I68" s="790" t="str">
        <f>HYPERLINK("https://d15f34w2p8l1cc.cloudfront.net/hearthstone/84acde5ab7d90525b583542eecaa935554217e3e14100cbb79e2761fb7720147.png","Image")</f>
        <v>Image</v>
      </c>
      <c r="J68" s="714">
        <v>2.0</v>
      </c>
      <c r="K68" s="714">
        <v>2.0</v>
      </c>
      <c r="L68" s="714">
        <v>3.0</v>
      </c>
      <c r="M68" s="714">
        <v>3.0</v>
      </c>
      <c r="N68" s="714">
        <v>2.0</v>
      </c>
      <c r="O68" s="714">
        <v>2.0</v>
      </c>
      <c r="P68" s="714">
        <v>1.0</v>
      </c>
      <c r="Q68" s="781"/>
    </row>
    <row r="69">
      <c r="A69" s="716"/>
      <c r="B69" s="793"/>
      <c r="C69" s="710" t="s">
        <v>1501</v>
      </c>
      <c r="D69" s="712"/>
      <c r="E69" s="787" t="s">
        <v>77</v>
      </c>
      <c r="F69" s="68">
        <v>4.0</v>
      </c>
      <c r="G69" s="68">
        <v>2.0</v>
      </c>
      <c r="H69" s="68">
        <v>5.0</v>
      </c>
      <c r="I69" s="788" t="str">
        <f>HYPERLINK("https://d15f34w2p8l1cc.cloudfront.net/hearthstone/dde65347ff2cf28831e75399de4740a6aab9d414607ef542861d7e7dc164ee0e.png","Image")</f>
        <v>Image</v>
      </c>
      <c r="J69" s="714">
        <v>2.0</v>
      </c>
      <c r="K69" s="714">
        <v>2.0</v>
      </c>
      <c r="L69" s="714">
        <v>3.0</v>
      </c>
      <c r="M69" s="714">
        <v>1.0</v>
      </c>
      <c r="N69" s="714">
        <v>1.0</v>
      </c>
      <c r="O69" s="714">
        <v>4.0</v>
      </c>
      <c r="P69" s="714">
        <v>1.0</v>
      </c>
      <c r="Q69" s="781"/>
    </row>
    <row r="70">
      <c r="A70" s="716"/>
      <c r="B70" s="632"/>
      <c r="C70" s="729" t="s">
        <v>1502</v>
      </c>
      <c r="D70" s="731"/>
      <c r="E70" s="789" t="s">
        <v>27</v>
      </c>
      <c r="F70" s="557">
        <v>4.0</v>
      </c>
      <c r="G70" s="557">
        <v>6.0</v>
      </c>
      <c r="H70" s="557">
        <v>5.0</v>
      </c>
      <c r="I70" s="790" t="str">
        <f>HYPERLINK("https://d15f34w2p8l1cc.cloudfront.net/hearthstone/347f0ad23357d913552da18f2947a931b14c957fdf67e8b4f61e586dbff1ffc8.png","Image")</f>
        <v>Image</v>
      </c>
      <c r="J70" s="714">
        <v>2.0</v>
      </c>
      <c r="K70" s="714">
        <v>3.0</v>
      </c>
      <c r="L70" s="714">
        <v>2.0</v>
      </c>
      <c r="M70" s="714">
        <v>3.0</v>
      </c>
      <c r="N70" s="714">
        <v>2.0</v>
      </c>
      <c r="O70" s="714">
        <v>4.0</v>
      </c>
      <c r="P70" s="714">
        <v>1.0</v>
      </c>
      <c r="Q70" s="781"/>
    </row>
    <row r="71">
      <c r="A71" s="704"/>
      <c r="B71" s="794"/>
      <c r="C71" s="710" t="s">
        <v>1503</v>
      </c>
      <c r="D71" s="795" t="str">
        <f>HYPERLINK("https://static1.millenium.org/articles/4/36/11/94/@/1307220-vashj2-article_2_d-1.JPG","Primus")</f>
        <v>Primus</v>
      </c>
      <c r="E71" s="787"/>
      <c r="F71" s="68">
        <v>4.0</v>
      </c>
      <c r="G71" s="68">
        <v>3.0</v>
      </c>
      <c r="H71" s="68">
        <v>3.0</v>
      </c>
      <c r="I71" s="788" t="str">
        <f>HYPERLINK("https://d15f34w2p8l1cc.cloudfront.net/hearthstone/47e8d751392ad8b3067662dd7ede2fa4353db9183ac3703bb591bd8b34668c18.png","Image")</f>
        <v>Image</v>
      </c>
      <c r="J71" s="796">
        <v>3.0</v>
      </c>
      <c r="K71" s="714">
        <v>3.0</v>
      </c>
      <c r="L71" s="714">
        <v>3.0</v>
      </c>
      <c r="M71" s="714">
        <v>4.0</v>
      </c>
      <c r="N71" s="714">
        <v>1.0</v>
      </c>
      <c r="O71" s="714">
        <v>4.0</v>
      </c>
      <c r="P71" s="714">
        <v>1.0</v>
      </c>
      <c r="Q71" s="781"/>
    </row>
    <row r="72">
      <c r="A72" s="716"/>
      <c r="B72" s="355"/>
      <c r="C72" s="710" t="s">
        <v>1504</v>
      </c>
      <c r="D72" s="712"/>
      <c r="E72" s="787"/>
      <c r="F72" s="68">
        <v>6.0</v>
      </c>
      <c r="G72" s="68">
        <v>3.0</v>
      </c>
      <c r="H72" s="68">
        <v>6.0</v>
      </c>
      <c r="I72" s="788" t="str">
        <f>HYPERLINK("https://d15f34w2p8l1cc.cloudfront.net/hearthstone/c91cd1e2583c03c6945cd212b1ff86f36259933045a46327adf6671a9f1a354b.png","Image")</f>
        <v>Image</v>
      </c>
      <c r="J72" s="714">
        <v>2.0</v>
      </c>
      <c r="K72" s="714">
        <v>1.0</v>
      </c>
      <c r="L72" s="714">
        <v>4.0</v>
      </c>
      <c r="M72" s="714">
        <v>2.0</v>
      </c>
      <c r="N72" s="714">
        <v>1.0</v>
      </c>
      <c r="O72" s="714">
        <v>3.0</v>
      </c>
      <c r="P72" s="714">
        <v>1.0</v>
      </c>
      <c r="Q72" s="781"/>
    </row>
    <row r="73">
      <c r="A73" s="704"/>
      <c r="B73" s="605"/>
      <c r="C73" s="195" t="s">
        <v>123</v>
      </c>
      <c r="D73" s="82"/>
      <c r="E73" s="82"/>
      <c r="F73" s="82"/>
      <c r="G73" s="82"/>
      <c r="H73" s="82"/>
      <c r="I73" s="96"/>
      <c r="J73" s="128"/>
      <c r="K73" s="128"/>
      <c r="L73" s="128"/>
      <c r="M73" s="128"/>
      <c r="N73" s="128"/>
      <c r="O73" s="128"/>
      <c r="P73" s="128"/>
      <c r="Q73" s="307"/>
    </row>
    <row r="74" ht="15.75" customHeight="1">
      <c r="A74" s="704"/>
      <c r="B74" s="636"/>
      <c r="C74" s="136"/>
      <c r="D74" s="782"/>
      <c r="E74" s="783"/>
      <c r="F74" s="85"/>
      <c r="G74" s="85"/>
      <c r="H74" s="85"/>
      <c r="I74" s="700"/>
      <c r="J74" s="702" t="s">
        <v>2</v>
      </c>
      <c r="K74" s="702" t="s">
        <v>426</v>
      </c>
      <c r="L74" s="702" t="s">
        <v>1</v>
      </c>
      <c r="M74" s="702" t="s">
        <v>4</v>
      </c>
      <c r="N74" s="702" t="s">
        <v>208</v>
      </c>
      <c r="O74" s="702" t="s">
        <v>3</v>
      </c>
      <c r="P74" s="702" t="s">
        <v>427</v>
      </c>
      <c r="Q74" s="781"/>
    </row>
    <row r="75">
      <c r="A75" s="704"/>
      <c r="B75" s="792"/>
      <c r="C75" s="705" t="s">
        <v>1505</v>
      </c>
      <c r="D75" s="707"/>
      <c r="E75" s="785"/>
      <c r="F75" s="185">
        <v>3.0</v>
      </c>
      <c r="G75" s="185">
        <v>1.0</v>
      </c>
      <c r="H75" s="185">
        <v>1.0</v>
      </c>
      <c r="I75" s="786" t="str">
        <f>HYPERLINK("https://d15f34w2p8l1cc.cloudfront.net/hearthstone/a99c916cd5a79285c288fd185deb720fc063e48bbf9926fc130a1527cc532e93.png","Image")</f>
        <v>Image</v>
      </c>
      <c r="J75" s="709">
        <v>4.0</v>
      </c>
      <c r="K75" s="709">
        <v>4.0</v>
      </c>
      <c r="L75" s="709">
        <v>4.0</v>
      </c>
      <c r="M75" s="709">
        <v>4.0</v>
      </c>
      <c r="N75" s="709">
        <v>4.0</v>
      </c>
      <c r="O75" s="709">
        <v>4.0</v>
      </c>
      <c r="P75" s="709">
        <v>1.0</v>
      </c>
      <c r="Q75" s="781"/>
    </row>
    <row r="76">
      <c r="A76" s="704"/>
      <c r="B76" s="353"/>
      <c r="C76" s="710" t="s">
        <v>1506</v>
      </c>
      <c r="D76" s="712"/>
      <c r="E76" s="787" t="s">
        <v>497</v>
      </c>
      <c r="F76" s="68"/>
      <c r="G76" s="68"/>
      <c r="H76" s="68">
        <v>2.0</v>
      </c>
      <c r="I76" s="788" t="str">
        <f>HYPERLINK("https://d15f34w2p8l1cc.cloudfront.net/hearthstone/d8f12f344a2bd9a02d1d9d3c893c7b959b245707ebfa0212d63a453a38be9e4e.png","Image")</f>
        <v>Image</v>
      </c>
      <c r="J76" s="714">
        <v>2.0</v>
      </c>
      <c r="K76" s="714">
        <v>2.0</v>
      </c>
      <c r="L76" s="714">
        <v>4.0</v>
      </c>
      <c r="M76" s="714">
        <v>3.0</v>
      </c>
      <c r="N76" s="714">
        <v>2.0</v>
      </c>
      <c r="O76" s="714">
        <v>3.0</v>
      </c>
      <c r="P76" s="714">
        <v>1.0</v>
      </c>
      <c r="Q76" s="781"/>
    </row>
    <row r="77">
      <c r="A77" s="704"/>
      <c r="B77" s="632"/>
      <c r="C77" s="729" t="s">
        <v>1507</v>
      </c>
      <c r="D77" s="731"/>
      <c r="E77" s="789"/>
      <c r="F77" s="557">
        <v>7.0</v>
      </c>
      <c r="G77" s="557">
        <v>5.0</v>
      </c>
      <c r="H77" s="557">
        <v>7.0</v>
      </c>
      <c r="I77" s="790" t="str">
        <f>HYPERLINK("https://d15f34w2p8l1cc.cloudfront.net/hearthstone/bf58443e5cd38d94c75fb41f5d9ca3ee095c2fc74cd7725e239aaf54c55faa7e.png","Image")</f>
        <v>Image</v>
      </c>
      <c r="J77" s="714">
        <v>1.0</v>
      </c>
      <c r="K77" s="714">
        <v>1.0</v>
      </c>
      <c r="L77" s="714">
        <v>1.0</v>
      </c>
      <c r="M77" s="714">
        <v>1.0</v>
      </c>
      <c r="N77" s="714">
        <v>1.0</v>
      </c>
      <c r="O77" s="714">
        <v>1.0</v>
      </c>
      <c r="P77" s="714">
        <v>1.0</v>
      </c>
      <c r="Q77" s="781"/>
    </row>
    <row r="78">
      <c r="A78" s="704"/>
      <c r="B78" s="639"/>
      <c r="C78" s="710" t="s">
        <v>1508</v>
      </c>
      <c r="D78" s="712"/>
      <c r="E78" s="787"/>
      <c r="F78" s="68">
        <v>3.0</v>
      </c>
      <c r="G78" s="68">
        <v>2.0</v>
      </c>
      <c r="H78" s="68">
        <v>2.0</v>
      </c>
      <c r="I78" s="788" t="str">
        <f>HYPERLINK("https://d15f34w2p8l1cc.cloudfront.net/hearthstone/b329649f44fafc318396d665156b2a68c3f9399833d1a35f569d0ce3788c2ac5.png","Image")</f>
        <v>Image</v>
      </c>
      <c r="J78" s="714">
        <v>2.0</v>
      </c>
      <c r="K78" s="714">
        <v>4.0</v>
      </c>
      <c r="L78" s="714">
        <v>4.0</v>
      </c>
      <c r="M78" s="714">
        <v>4.0</v>
      </c>
      <c r="N78" s="714">
        <v>2.0</v>
      </c>
      <c r="O78" s="714">
        <v>3.0</v>
      </c>
      <c r="P78" s="714">
        <v>1.0</v>
      </c>
      <c r="Q78" s="781"/>
    </row>
    <row r="79">
      <c r="A79" s="704"/>
      <c r="B79" s="353"/>
      <c r="C79" s="710" t="s">
        <v>1509</v>
      </c>
      <c r="D79" s="712"/>
      <c r="E79" s="787" t="s">
        <v>497</v>
      </c>
      <c r="F79" s="68"/>
      <c r="G79" s="68"/>
      <c r="H79" s="68">
        <v>2.0</v>
      </c>
      <c r="I79" s="788" t="str">
        <f>HYPERLINK("https://d15f34w2p8l1cc.cloudfront.net/hearthstone/2ece0ae99cb704a0f71efdd347f543c5bbcef8bdbf3052564f27d835c647a8fe.png","Image")</f>
        <v>Image</v>
      </c>
      <c r="J79" s="714">
        <v>4.0</v>
      </c>
      <c r="K79" s="714">
        <v>4.0</v>
      </c>
      <c r="L79" s="714">
        <v>4.0</v>
      </c>
      <c r="M79" s="714">
        <v>3.0</v>
      </c>
      <c r="N79" s="714">
        <v>2.0</v>
      </c>
      <c r="O79" s="714">
        <v>3.0</v>
      </c>
      <c r="P79" s="714">
        <v>1.0</v>
      </c>
      <c r="Q79" s="781"/>
    </row>
    <row r="80">
      <c r="A80" s="716"/>
      <c r="B80" s="632"/>
      <c r="C80" s="729" t="s">
        <v>1510</v>
      </c>
      <c r="D80" s="731"/>
      <c r="E80" s="789"/>
      <c r="F80" s="557">
        <v>1.0</v>
      </c>
      <c r="G80" s="557">
        <v>2.0</v>
      </c>
      <c r="H80" s="557">
        <v>2.0</v>
      </c>
      <c r="I80" s="790" t="str">
        <f>HYPERLINK("https://d15f34w2p8l1cc.cloudfront.net/hearthstone/d9eb756ccfb9e358c8a719eb014498e73d3cb2db1387bf910f4143c71c40b851.png","Image")</f>
        <v>Image</v>
      </c>
      <c r="J80" s="714">
        <v>4.0</v>
      </c>
      <c r="K80" s="714">
        <v>4.0</v>
      </c>
      <c r="L80" s="714">
        <v>5.0</v>
      </c>
      <c r="M80" s="714">
        <v>4.0</v>
      </c>
      <c r="N80" s="714">
        <v>3.0</v>
      </c>
      <c r="O80" s="714">
        <v>4.0</v>
      </c>
      <c r="P80" s="714">
        <v>1.0</v>
      </c>
      <c r="Q80" s="781"/>
    </row>
    <row r="81">
      <c r="A81" s="704"/>
      <c r="B81" s="793"/>
      <c r="C81" s="710" t="s">
        <v>1511</v>
      </c>
      <c r="D81" s="712"/>
      <c r="E81" s="787" t="s">
        <v>497</v>
      </c>
      <c r="F81" s="68"/>
      <c r="G81" s="68"/>
      <c r="H81" s="68">
        <v>2.0</v>
      </c>
      <c r="I81" s="788" t="str">
        <f>HYPERLINK("https://d15f34w2p8l1cc.cloudfront.net/hearthstone/38166fdabdf51a9ca1b228dfc96fdd6a49436a52eacbdc3b7badf9b3c6d78f7b.png","Image")</f>
        <v>Image</v>
      </c>
      <c r="J81" s="714">
        <v>4.0</v>
      </c>
      <c r="K81" s="714">
        <v>4.0</v>
      </c>
      <c r="L81" s="714">
        <v>4.0</v>
      </c>
      <c r="M81" s="714">
        <v>3.0</v>
      </c>
      <c r="N81" s="714">
        <v>3.0</v>
      </c>
      <c r="O81" s="714">
        <v>4.0</v>
      </c>
      <c r="P81" s="714">
        <v>1.0</v>
      </c>
      <c r="Q81" s="781"/>
    </row>
    <row r="82">
      <c r="A82" s="704"/>
      <c r="B82" s="632"/>
      <c r="C82" s="729" t="s">
        <v>1512</v>
      </c>
      <c r="D82" s="731"/>
      <c r="E82" s="789"/>
      <c r="F82" s="557">
        <v>3.0</v>
      </c>
      <c r="G82" s="557">
        <v>3.0</v>
      </c>
      <c r="H82" s="557">
        <v>3.0</v>
      </c>
      <c r="I82" s="790" t="str">
        <f>HYPERLINK("https://d15f34w2p8l1cc.cloudfront.net/hearthstone/2124cce5afcd6870e7069ab9d871e8dc9da9efeb8d39a3106b1986eedc83ecad.png","Image")</f>
        <v>Image</v>
      </c>
      <c r="J82" s="714">
        <v>4.0</v>
      </c>
      <c r="K82" s="714">
        <v>4.0</v>
      </c>
      <c r="L82" s="714">
        <v>4.0</v>
      </c>
      <c r="M82" s="714">
        <v>5.0</v>
      </c>
      <c r="N82" s="714">
        <v>3.0</v>
      </c>
      <c r="O82" s="714">
        <v>4.0</v>
      </c>
      <c r="P82" s="714">
        <v>1.0</v>
      </c>
      <c r="Q82" s="781"/>
    </row>
    <row r="83">
      <c r="A83" s="704"/>
      <c r="B83" s="794"/>
      <c r="C83" s="710" t="s">
        <v>1513</v>
      </c>
      <c r="D83" s="712"/>
      <c r="E83" s="787"/>
      <c r="F83" s="68">
        <v>1.0</v>
      </c>
      <c r="G83" s="68">
        <v>5.0</v>
      </c>
      <c r="H83" s="68">
        <v>2.0</v>
      </c>
      <c r="I83" s="788" t="str">
        <f>HYPERLINK("https://d15f34w2p8l1cc.cloudfront.net/hearthstone/fc71508557cdc5e4c7e3c4aae530be6978314476f1a1e17130949b7c8bc90708.png","Image")</f>
        <v>Image</v>
      </c>
      <c r="J83" s="714">
        <v>4.0</v>
      </c>
      <c r="K83" s="714">
        <v>4.0</v>
      </c>
      <c r="L83" s="714">
        <v>4.0</v>
      </c>
      <c r="M83" s="714">
        <v>2.0</v>
      </c>
      <c r="N83" s="714">
        <v>2.0</v>
      </c>
      <c r="O83" s="714">
        <v>4.0</v>
      </c>
      <c r="P83" s="714">
        <v>1.0</v>
      </c>
      <c r="Q83" s="781"/>
    </row>
    <row r="84">
      <c r="A84" s="704"/>
      <c r="B84" s="355"/>
      <c r="C84" s="710" t="s">
        <v>1514</v>
      </c>
      <c r="D84" s="795" t="str">
        <f>HYPERLINK("https://www.hearthstone-decks.com/upload/news/2020/mars/20/prima-akama.jpg","Primus")</f>
        <v>Primus</v>
      </c>
      <c r="E84" s="787"/>
      <c r="F84" s="68">
        <v>3.0</v>
      </c>
      <c r="G84" s="68">
        <v>4.0</v>
      </c>
      <c r="H84" s="68">
        <v>3.0</v>
      </c>
      <c r="I84" s="788" t="str">
        <f>HYPERLINK("https://d15f34w2p8l1cc.cloudfront.net/hearthstone/0e5265e826c3f233742f3b71b9d1faab2742ed4c590c4343eb0ec8a25a904c0b.png","Image")</f>
        <v>Image</v>
      </c>
      <c r="J84" s="714">
        <v>4.0</v>
      </c>
      <c r="K84" s="714">
        <v>5.0</v>
      </c>
      <c r="L84" s="714">
        <v>4.0</v>
      </c>
      <c r="M84" s="714">
        <v>5.0</v>
      </c>
      <c r="N84" s="714">
        <v>5.0</v>
      </c>
      <c r="O84" s="714">
        <v>4.0</v>
      </c>
      <c r="P84" s="714">
        <v>1.0</v>
      </c>
      <c r="Q84" s="781"/>
    </row>
    <row r="85">
      <c r="A85" s="704"/>
      <c r="B85" s="605"/>
      <c r="C85" s="195" t="s">
        <v>135</v>
      </c>
      <c r="D85" s="82"/>
      <c r="E85" s="82"/>
      <c r="F85" s="82"/>
      <c r="G85" s="82"/>
      <c r="H85" s="82"/>
      <c r="I85" s="96"/>
      <c r="J85" s="128"/>
      <c r="K85" s="128"/>
      <c r="L85" s="128"/>
      <c r="M85" s="128"/>
      <c r="N85" s="128"/>
      <c r="O85" s="128"/>
      <c r="P85" s="128"/>
      <c r="Q85" s="307"/>
    </row>
    <row r="86" ht="15.75" customHeight="1">
      <c r="A86" s="716"/>
      <c r="B86" s="636"/>
      <c r="C86" s="136"/>
      <c r="D86" s="782"/>
      <c r="E86" s="783"/>
      <c r="F86" s="85"/>
      <c r="G86" s="85"/>
      <c r="H86" s="85"/>
      <c r="I86" s="700"/>
      <c r="J86" s="745" t="s">
        <v>2</v>
      </c>
      <c r="K86" s="745" t="s">
        <v>426</v>
      </c>
      <c r="L86" s="745" t="s">
        <v>1</v>
      </c>
      <c r="M86" s="745" t="s">
        <v>4</v>
      </c>
      <c r="N86" s="745" t="s">
        <v>208</v>
      </c>
      <c r="O86" s="745" t="s">
        <v>3</v>
      </c>
      <c r="P86" s="745" t="s">
        <v>427</v>
      </c>
      <c r="Q86" s="781"/>
    </row>
    <row r="87">
      <c r="A87" s="716"/>
      <c r="B87" s="792"/>
      <c r="C87" s="705" t="s">
        <v>1515</v>
      </c>
      <c r="D87" s="707"/>
      <c r="E87" s="785" t="s">
        <v>490</v>
      </c>
      <c r="F87" s="185"/>
      <c r="G87" s="185"/>
      <c r="H87" s="185">
        <v>3.0</v>
      </c>
      <c r="I87" s="786" t="str">
        <f>HYPERLINK("https://d15f34w2p8l1cc.cloudfront.net/hearthstone/e27f3ca078a203af5ad6b4ddeddcda82644c22a5bd7f4d01a35022aaa67255bc.png","Image")</f>
        <v>Image</v>
      </c>
      <c r="J87" s="709">
        <v>3.0</v>
      </c>
      <c r="K87" s="709">
        <v>2.0</v>
      </c>
      <c r="L87" s="709">
        <v>2.0</v>
      </c>
      <c r="M87" s="709">
        <v>1.0</v>
      </c>
      <c r="N87" s="709">
        <v>2.0</v>
      </c>
      <c r="O87" s="709">
        <v>2.0</v>
      </c>
      <c r="P87" s="709">
        <v>1.0</v>
      </c>
      <c r="Q87" s="781"/>
    </row>
    <row r="88">
      <c r="A88" s="704"/>
      <c r="B88" s="353"/>
      <c r="C88" s="710" t="s">
        <v>1516</v>
      </c>
      <c r="D88" s="712" t="s">
        <v>1448</v>
      </c>
      <c r="E88" s="787" t="s">
        <v>97</v>
      </c>
      <c r="F88" s="68">
        <v>3.0</v>
      </c>
      <c r="G88" s="68">
        <v>3.0</v>
      </c>
      <c r="H88" s="68">
        <v>3.0</v>
      </c>
      <c r="I88" s="788" t="str">
        <f>HYPERLINK("https://d15f34w2p8l1cc.cloudfront.net/hearthstone/68409687cc886558139006fec44f5278193f32ba51b00ab713cdebec961a137b.png","Image")</f>
        <v>Image</v>
      </c>
      <c r="J88" s="714">
        <v>2.0</v>
      </c>
      <c r="K88" s="714">
        <v>2.0</v>
      </c>
      <c r="L88" s="714">
        <v>4.0</v>
      </c>
      <c r="M88" s="714">
        <v>4.0</v>
      </c>
      <c r="N88" s="714">
        <v>3.0</v>
      </c>
      <c r="O88" s="714">
        <v>3.0</v>
      </c>
      <c r="P88" s="714">
        <v>1.0</v>
      </c>
      <c r="Q88" s="781"/>
    </row>
    <row r="89">
      <c r="A89" s="716"/>
      <c r="B89" s="632"/>
      <c r="C89" s="729" t="s">
        <v>1517</v>
      </c>
      <c r="D89" s="731"/>
      <c r="E89" s="789" t="s">
        <v>490</v>
      </c>
      <c r="F89" s="557"/>
      <c r="G89" s="557"/>
      <c r="H89" s="557">
        <v>4.0</v>
      </c>
      <c r="I89" s="790" t="str">
        <f>HYPERLINK("https://d15f34w2p8l1cc.cloudfront.net/hearthstone/c7905c54c59abf62242139b30723d3b36817e859991930c96fa6a8d03975f07a.png","Image")</f>
        <v>Image</v>
      </c>
      <c r="J89" s="714">
        <v>5.0</v>
      </c>
      <c r="K89" s="714">
        <v>5.0</v>
      </c>
      <c r="L89" s="714">
        <v>4.0</v>
      </c>
      <c r="M89" s="714">
        <v>5.0</v>
      </c>
      <c r="N89" s="714">
        <v>4.0</v>
      </c>
      <c r="O89" s="714">
        <v>3.0</v>
      </c>
      <c r="P89" s="714">
        <v>1.0</v>
      </c>
      <c r="Q89" s="781"/>
    </row>
    <row r="90">
      <c r="A90" s="704"/>
      <c r="B90" s="639"/>
      <c r="C90" s="710" t="s">
        <v>1518</v>
      </c>
      <c r="D90" s="712"/>
      <c r="E90" s="787" t="s">
        <v>71</v>
      </c>
      <c r="F90" s="68"/>
      <c r="G90" s="68"/>
      <c r="H90" s="68">
        <v>2.0</v>
      </c>
      <c r="I90" s="788" t="str">
        <f>HYPERLINK("https://d15f34w2p8l1cc.cloudfront.net/hearthstone/4b05f0623be6bb794d54d8be64b727d2a9d66f9283f3d7a056b38e53252a7040.png","Image")</f>
        <v>Image</v>
      </c>
      <c r="J90" s="714">
        <v>3.0</v>
      </c>
      <c r="K90" s="714">
        <v>3.0</v>
      </c>
      <c r="L90" s="714">
        <v>3.0</v>
      </c>
      <c r="M90" s="714">
        <v>2.0</v>
      </c>
      <c r="N90" s="714">
        <v>1.0</v>
      </c>
      <c r="O90" s="714">
        <v>3.0</v>
      </c>
      <c r="P90" s="714">
        <v>1.0</v>
      </c>
      <c r="Q90" s="781"/>
    </row>
    <row r="91">
      <c r="A91" s="704"/>
      <c r="B91" s="353"/>
      <c r="C91" s="710" t="s">
        <v>1519</v>
      </c>
      <c r="D91" s="712"/>
      <c r="E91" s="787" t="s">
        <v>71</v>
      </c>
      <c r="F91" s="68"/>
      <c r="G91" s="68"/>
      <c r="H91" s="68">
        <v>2.0</v>
      </c>
      <c r="I91" s="788" t="str">
        <f>HYPERLINK("https://d15f34w2p8l1cc.cloudfront.net/hearthstone/ef08d39b8927f695e80749fcac8e3b69619eadf9d35820a0a5679ac19811430b.png","Image")</f>
        <v>Image</v>
      </c>
      <c r="J91" s="714">
        <v>3.0</v>
      </c>
      <c r="K91" s="714">
        <v>2.0</v>
      </c>
      <c r="L91" s="714">
        <v>2.0</v>
      </c>
      <c r="M91" s="714">
        <v>3.0</v>
      </c>
      <c r="N91" s="714">
        <v>2.0</v>
      </c>
      <c r="O91" s="714">
        <v>4.0</v>
      </c>
      <c r="P91" s="714">
        <v>1.0</v>
      </c>
      <c r="Q91" s="781"/>
    </row>
    <row r="92">
      <c r="A92" s="704"/>
      <c r="B92" s="632"/>
      <c r="C92" s="729" t="s">
        <v>1520</v>
      </c>
      <c r="D92" s="731"/>
      <c r="E92" s="789" t="s">
        <v>71</v>
      </c>
      <c r="F92" s="557"/>
      <c r="G92" s="557"/>
      <c r="H92" s="557">
        <v>4.0</v>
      </c>
      <c r="I92" s="790" t="str">
        <f>HYPERLINK("https://d15f34w2p8l1cc.cloudfront.net/hearthstone/c599c4b8aaba54c705ab52632d8981ec7b423de946e6b3f4889337731e965bb0.png","Image")</f>
        <v>Image</v>
      </c>
      <c r="J92" s="714">
        <v>2.0</v>
      </c>
      <c r="K92" s="714">
        <v>2.0</v>
      </c>
      <c r="L92" s="714">
        <v>2.0</v>
      </c>
      <c r="M92" s="714">
        <v>2.0</v>
      </c>
      <c r="N92" s="714">
        <v>1.0</v>
      </c>
      <c r="O92" s="714">
        <v>3.0</v>
      </c>
      <c r="P92" s="714">
        <v>1.0</v>
      </c>
      <c r="Q92" s="781"/>
    </row>
    <row r="93">
      <c r="A93" s="704"/>
      <c r="B93" s="793"/>
      <c r="C93" s="710" t="s">
        <v>1521</v>
      </c>
      <c r="D93" s="712"/>
      <c r="E93" s="787" t="s">
        <v>71</v>
      </c>
      <c r="F93" s="68"/>
      <c r="G93" s="68"/>
      <c r="H93" s="68">
        <v>5.0</v>
      </c>
      <c r="I93" s="788" t="str">
        <f>HYPERLINK("https://d15f34w2p8l1cc.cloudfront.net/hearthstone/c2388b8ef01361e5cbf617adbfd41a0003b417c1a7558c68e636ec45ca16be34.png","Image")</f>
        <v>Image</v>
      </c>
      <c r="J93" s="714">
        <v>4.0</v>
      </c>
      <c r="K93" s="714">
        <v>4.0</v>
      </c>
      <c r="L93" s="714">
        <v>4.0</v>
      </c>
      <c r="M93" s="714">
        <v>2.0</v>
      </c>
      <c r="N93" s="714">
        <v>2.0</v>
      </c>
      <c r="O93" s="714">
        <v>5.0</v>
      </c>
      <c r="P93" s="714">
        <v>1.0</v>
      </c>
      <c r="Q93" s="781"/>
    </row>
    <row r="94">
      <c r="A94" s="704"/>
      <c r="B94" s="632"/>
      <c r="C94" s="729" t="s">
        <v>1522</v>
      </c>
      <c r="D94" s="731"/>
      <c r="E94" s="789" t="s">
        <v>1177</v>
      </c>
      <c r="F94" s="557">
        <v>7.0</v>
      </c>
      <c r="G94" s="557">
        <v>7.0</v>
      </c>
      <c r="H94" s="557">
        <v>7.0</v>
      </c>
      <c r="I94" s="790" t="str">
        <f>HYPERLINK("https://d15f34w2p8l1cc.cloudfront.net/hearthstone/a4fac6bebf00023ed6bb2006b95eef168963087e5cc4bc398477fc982898449c.png","Image")</f>
        <v>Image</v>
      </c>
      <c r="J94" s="714">
        <v>2.0</v>
      </c>
      <c r="K94" s="714">
        <v>1.0</v>
      </c>
      <c r="L94" s="714">
        <v>4.0</v>
      </c>
      <c r="M94" s="714">
        <v>2.0</v>
      </c>
      <c r="N94" s="714">
        <v>1.0</v>
      </c>
      <c r="O94" s="714">
        <v>2.0</v>
      </c>
      <c r="P94" s="714">
        <v>1.0</v>
      </c>
      <c r="Q94" s="781"/>
    </row>
    <row r="95">
      <c r="A95" s="716"/>
      <c r="B95" s="794"/>
      <c r="C95" s="710" t="s">
        <v>1523</v>
      </c>
      <c r="D95" s="795" t="str">
        <f>HYPERLINK("https://static1.millenium.org/articles/3/36/13/53/@/1308675-primus-msshifn-article_2_d-1.png","Primus")</f>
        <v>Primus</v>
      </c>
      <c r="E95" s="787"/>
      <c r="F95" s="68">
        <v>3.0</v>
      </c>
      <c r="G95" s="68">
        <v>4.0</v>
      </c>
      <c r="H95" s="68">
        <v>3.0</v>
      </c>
      <c r="I95" s="788" t="str">
        <f>HYPERLINK("https://d15f34w2p8l1cc.cloudfront.net/hearthstone/b0a45afd00fd64c92605f17dac8a12d2227807d4a48c6c67039019d83916c4ef.png","Image")</f>
        <v>Image</v>
      </c>
      <c r="J95" s="714">
        <v>3.0</v>
      </c>
      <c r="K95" s="714">
        <v>3.0</v>
      </c>
      <c r="L95" s="714">
        <v>4.0</v>
      </c>
      <c r="M95" s="714">
        <v>3.0</v>
      </c>
      <c r="N95" s="714">
        <v>3.0</v>
      </c>
      <c r="O95" s="714">
        <v>3.0</v>
      </c>
      <c r="P95" s="714">
        <v>1.0</v>
      </c>
      <c r="Q95" s="781"/>
    </row>
    <row r="96">
      <c r="A96" s="716"/>
      <c r="B96" s="355"/>
      <c r="C96" s="710" t="s">
        <v>1524</v>
      </c>
      <c r="D96" s="712"/>
      <c r="E96" s="787"/>
      <c r="F96" s="68">
        <v>5.0</v>
      </c>
      <c r="G96" s="68">
        <v>5.0</v>
      </c>
      <c r="H96" s="68">
        <v>9.0</v>
      </c>
      <c r="I96" s="788" t="str">
        <f>HYPERLINK("https://d15f34w2p8l1cc.cloudfront.net/hearthstone/b710aba4b90cb903730f06b510d928eeb2ee52a1954d2d59ba0aa3981b4d8e02.png","Image")</f>
        <v>Image</v>
      </c>
      <c r="J96" s="771">
        <v>1.0</v>
      </c>
      <c r="K96" s="772">
        <v>1.0</v>
      </c>
      <c r="L96" s="772">
        <v>1.0</v>
      </c>
      <c r="M96" s="772">
        <v>1.0</v>
      </c>
      <c r="N96" s="772">
        <v>1.0</v>
      </c>
      <c r="O96" s="772">
        <v>2.0</v>
      </c>
      <c r="P96" s="772">
        <v>1.0</v>
      </c>
      <c r="Q96" s="781"/>
    </row>
    <row r="97">
      <c r="A97" s="716"/>
      <c r="B97" s="605"/>
      <c r="C97" s="195" t="s">
        <v>147</v>
      </c>
      <c r="D97" s="82"/>
      <c r="E97" s="82"/>
      <c r="F97" s="82"/>
      <c r="G97" s="82"/>
      <c r="H97" s="82"/>
      <c r="I97" s="96"/>
      <c r="J97" s="128"/>
      <c r="K97" s="128"/>
      <c r="L97" s="128"/>
      <c r="M97" s="128"/>
      <c r="N97" s="128"/>
      <c r="O97" s="128"/>
      <c r="P97" s="128"/>
      <c r="Q97" s="307"/>
    </row>
    <row r="98" ht="15.75" customHeight="1">
      <c r="A98" s="716"/>
      <c r="B98" s="636"/>
      <c r="C98" s="136"/>
      <c r="D98" s="782"/>
      <c r="E98" s="783"/>
      <c r="F98" s="85"/>
      <c r="G98" s="85"/>
      <c r="H98" s="85"/>
      <c r="I98" s="700"/>
      <c r="J98" s="745" t="s">
        <v>2</v>
      </c>
      <c r="K98" s="745" t="s">
        <v>426</v>
      </c>
      <c r="L98" s="745" t="s">
        <v>1</v>
      </c>
      <c r="M98" s="745" t="s">
        <v>4</v>
      </c>
      <c r="N98" s="745" t="s">
        <v>208</v>
      </c>
      <c r="O98" s="745" t="s">
        <v>3</v>
      </c>
      <c r="P98" s="745" t="s">
        <v>427</v>
      </c>
      <c r="Q98" s="781"/>
    </row>
    <row r="99">
      <c r="A99" s="716"/>
      <c r="B99" s="792"/>
      <c r="C99" s="705" t="s">
        <v>1525</v>
      </c>
      <c r="D99" s="707"/>
      <c r="E99" s="785" t="s">
        <v>22</v>
      </c>
      <c r="F99" s="185">
        <v>2.0</v>
      </c>
      <c r="G99" s="185">
        <v>1.0</v>
      </c>
      <c r="H99" s="185">
        <v>1.0</v>
      </c>
      <c r="I99" s="786" t="str">
        <f>HYPERLINK("https://d15f34w2p8l1cc.cloudfront.net/hearthstone/7d048f991781bbf7f5dc2f29822731f79e4132a71fccda7a130a25175b74d563.png","Image")</f>
        <v>Image</v>
      </c>
      <c r="J99" s="709">
        <v>2.0</v>
      </c>
      <c r="K99" s="709">
        <v>2.0</v>
      </c>
      <c r="L99" s="709">
        <v>1.0</v>
      </c>
      <c r="M99" s="709">
        <v>2.0</v>
      </c>
      <c r="N99" s="709">
        <v>3.0</v>
      </c>
      <c r="O99" s="709">
        <v>2.0</v>
      </c>
      <c r="P99" s="709">
        <v>1.0</v>
      </c>
      <c r="Q99" s="781"/>
    </row>
    <row r="100">
      <c r="A100" s="716"/>
      <c r="B100" s="353"/>
      <c r="C100" s="710" t="s">
        <v>1526</v>
      </c>
      <c r="D100" s="712" t="s">
        <v>1448</v>
      </c>
      <c r="E100" s="787" t="s">
        <v>97</v>
      </c>
      <c r="F100" s="68">
        <v>5.0</v>
      </c>
      <c r="G100" s="68">
        <v>4.0</v>
      </c>
      <c r="H100" s="68">
        <v>2.0</v>
      </c>
      <c r="I100" s="788" t="str">
        <f>HYPERLINK("https://d15f34w2p8l1cc.cloudfront.net/hearthstone/7900cc0a3feb2ca315faa44b5833744ec38859ea3db7b3185a4a241e4759917f.png","Image")</f>
        <v>Image</v>
      </c>
      <c r="J100" s="714">
        <v>1.0</v>
      </c>
      <c r="K100" s="714">
        <v>1.0</v>
      </c>
      <c r="L100" s="714">
        <v>3.0</v>
      </c>
      <c r="M100" s="714">
        <v>1.0</v>
      </c>
      <c r="N100" s="714">
        <v>1.0</v>
      </c>
      <c r="O100" s="714">
        <v>1.0</v>
      </c>
      <c r="P100" s="714">
        <v>1.0</v>
      </c>
      <c r="Q100" s="781"/>
    </row>
    <row r="101">
      <c r="A101" s="716"/>
      <c r="B101" s="632"/>
      <c r="C101" s="729" t="s">
        <v>1527</v>
      </c>
      <c r="D101" s="731"/>
      <c r="E101" s="789" t="s">
        <v>71</v>
      </c>
      <c r="F101" s="557"/>
      <c r="G101" s="557"/>
      <c r="H101" s="557">
        <v>2.0</v>
      </c>
      <c r="I101" s="790" t="str">
        <f>HYPERLINK("https://d15f34w2p8l1cc.cloudfront.net/hearthstone/2af434016c8c6b3e9ad674c672a940111e4cfa9da7f7f980a29ad9097dc96d81.png","Image")</f>
        <v>Image</v>
      </c>
      <c r="J101" s="714">
        <v>4.0</v>
      </c>
      <c r="K101" s="714">
        <v>2.0</v>
      </c>
      <c r="L101" s="714">
        <v>4.0</v>
      </c>
      <c r="M101" s="714">
        <v>4.0</v>
      </c>
      <c r="N101" s="714">
        <v>2.0</v>
      </c>
      <c r="O101" s="714">
        <v>5.0</v>
      </c>
      <c r="P101" s="714">
        <v>1.0</v>
      </c>
      <c r="Q101" s="781"/>
    </row>
    <row r="102">
      <c r="A102" s="716"/>
      <c r="B102" s="639"/>
      <c r="C102" s="710" t="s">
        <v>1528</v>
      </c>
      <c r="D102" s="712"/>
      <c r="E102" s="787" t="s">
        <v>497</v>
      </c>
      <c r="F102" s="68"/>
      <c r="G102" s="68"/>
      <c r="H102" s="68">
        <v>2.0</v>
      </c>
      <c r="I102" s="788" t="str">
        <f>HYPERLINK("https://d15f34w2p8l1cc.cloudfront.net/hearthstone/694ba352dfc10ca4a1e1cbf3f41efb5d64dee8188880bf56fbe4dbb8a9409eb9.png","Image")</f>
        <v>Image</v>
      </c>
      <c r="J102" s="714">
        <v>4.0</v>
      </c>
      <c r="K102" s="714">
        <v>4.0</v>
      </c>
      <c r="L102" s="714">
        <v>3.0</v>
      </c>
      <c r="M102" s="714">
        <v>3.0</v>
      </c>
      <c r="N102" s="714">
        <v>2.0</v>
      </c>
      <c r="O102" s="714">
        <v>4.0</v>
      </c>
      <c r="P102" s="714">
        <v>1.0</v>
      </c>
      <c r="Q102" s="781"/>
    </row>
    <row r="103">
      <c r="A103" s="716"/>
      <c r="B103" s="353"/>
      <c r="C103" s="710" t="s">
        <v>1529</v>
      </c>
      <c r="D103" s="712"/>
      <c r="E103" s="787" t="s">
        <v>22</v>
      </c>
      <c r="F103" s="68">
        <v>5.0</v>
      </c>
      <c r="G103" s="68">
        <v>2.0</v>
      </c>
      <c r="H103" s="68">
        <v>4.0</v>
      </c>
      <c r="I103" s="788" t="str">
        <f>HYPERLINK("https://d15f34w2p8l1cc.cloudfront.net/hearthstone/dd601b06aefe18f237e15239b8fc9666fab98bfecef097bc71ad9577df19ac97.png","Image")</f>
        <v>Image</v>
      </c>
      <c r="J103" s="714">
        <v>4.0</v>
      </c>
      <c r="K103" s="714">
        <v>3.0</v>
      </c>
      <c r="L103" s="714">
        <v>4.0</v>
      </c>
      <c r="M103" s="714">
        <v>4.0</v>
      </c>
      <c r="N103" s="714">
        <v>4.0</v>
      </c>
      <c r="O103" s="714">
        <v>4.0</v>
      </c>
      <c r="P103" s="714">
        <v>1.0</v>
      </c>
      <c r="Q103" s="781"/>
    </row>
    <row r="104">
      <c r="A104" s="716"/>
      <c r="B104" s="632"/>
      <c r="C104" s="729" t="s">
        <v>1530</v>
      </c>
      <c r="D104" s="731"/>
      <c r="E104" s="789" t="s">
        <v>71</v>
      </c>
      <c r="F104" s="557"/>
      <c r="G104" s="557"/>
      <c r="H104" s="557">
        <v>4.0</v>
      </c>
      <c r="I104" s="790" t="str">
        <f>HYPERLINK("https://d15f34w2p8l1cc.cloudfront.net/hearthstone/07e783d15531909001f59f2edae9e69351bd9c32e7f7e38715912e6e97cad0e5.png","Image")</f>
        <v>Image</v>
      </c>
      <c r="J104" s="714">
        <v>4.0</v>
      </c>
      <c r="K104" s="714">
        <v>1.0</v>
      </c>
      <c r="L104" s="714">
        <v>1.0</v>
      </c>
      <c r="M104" s="714">
        <v>2.0</v>
      </c>
      <c r="N104" s="714">
        <v>2.0</v>
      </c>
      <c r="O104" s="714">
        <v>3.0</v>
      </c>
      <c r="P104" s="714">
        <v>1.0</v>
      </c>
      <c r="Q104" s="781"/>
    </row>
    <row r="105">
      <c r="A105" s="716"/>
      <c r="B105" s="793"/>
      <c r="C105" s="710" t="s">
        <v>1531</v>
      </c>
      <c r="D105" s="712"/>
      <c r="E105" s="787" t="s">
        <v>22</v>
      </c>
      <c r="F105" s="68">
        <v>2.0</v>
      </c>
      <c r="G105" s="68">
        <v>4.0</v>
      </c>
      <c r="H105" s="68">
        <v>3.0</v>
      </c>
      <c r="I105" s="788" t="str">
        <f>HYPERLINK("https://d15f34w2p8l1cc.cloudfront.net/hearthstone/31bda8f3eba39798c1bbb05b81e11c2f14732ef1bc9e233ecd2dcdfc9672f8b8.png","Image")</f>
        <v>Image</v>
      </c>
      <c r="J105" s="714">
        <v>4.0</v>
      </c>
      <c r="K105" s="714">
        <v>2.0</v>
      </c>
      <c r="L105" s="714">
        <v>4.0</v>
      </c>
      <c r="M105" s="714">
        <v>5.0</v>
      </c>
      <c r="N105" s="714">
        <v>4.0</v>
      </c>
      <c r="O105" s="714">
        <v>4.0</v>
      </c>
      <c r="P105" s="714">
        <v>1.0</v>
      </c>
      <c r="Q105" s="781"/>
    </row>
    <row r="106">
      <c r="A106" s="716"/>
      <c r="B106" s="632"/>
      <c r="C106" s="729" t="s">
        <v>1532</v>
      </c>
      <c r="D106" s="731"/>
      <c r="E106" s="789" t="s">
        <v>71</v>
      </c>
      <c r="F106" s="557"/>
      <c r="G106" s="557"/>
      <c r="H106" s="557">
        <v>10.0</v>
      </c>
      <c r="I106" s="790" t="str">
        <f>HYPERLINK("https://d15f34w2p8l1cc.cloudfront.net/hearthstone/e6f297f1e2e3c7375b3dc7e84f84b2a34427e959cc2333195ccaee2f269b782b.png","Image")</f>
        <v>Image</v>
      </c>
      <c r="J106" s="714">
        <v>1.0</v>
      </c>
      <c r="K106" s="714">
        <v>2.0</v>
      </c>
      <c r="L106" s="714">
        <v>1.0</v>
      </c>
      <c r="M106" s="714">
        <v>2.0</v>
      </c>
      <c r="N106" s="714">
        <v>2.0</v>
      </c>
      <c r="O106" s="714">
        <v>2.0</v>
      </c>
      <c r="P106" s="714">
        <v>1.0</v>
      </c>
      <c r="Q106" s="781"/>
    </row>
    <row r="107">
      <c r="A107" s="716"/>
      <c r="B107" s="794"/>
      <c r="C107" s="710" t="s">
        <v>1533</v>
      </c>
      <c r="D107" s="795" t="str">
        <f>HYPERLINK("https://www.hearthstone-decks.com/upload/news/2020/mars/20/prima-zixor.jpg","Primus")</f>
        <v>Primus</v>
      </c>
      <c r="E107" s="787" t="s">
        <v>22</v>
      </c>
      <c r="F107" s="68">
        <v>2.0</v>
      </c>
      <c r="G107" s="68">
        <v>4.0</v>
      </c>
      <c r="H107" s="68">
        <v>3.0</v>
      </c>
      <c r="I107" s="788" t="str">
        <f>HYPERLINK("https://d15f34w2p8l1cc.cloudfront.net/hearthstone/5915eccf8212fb8ea7a1fa0ee5bdaccbfb0d26d5272d63563abea637c7490eed.png","Image")</f>
        <v>Image</v>
      </c>
      <c r="J107" s="714">
        <v>5.0</v>
      </c>
      <c r="K107" s="714">
        <v>5.0</v>
      </c>
      <c r="L107" s="714">
        <v>5.0</v>
      </c>
      <c r="M107" s="714">
        <v>5.0</v>
      </c>
      <c r="N107" s="714">
        <v>5.0</v>
      </c>
      <c r="O107" s="714">
        <v>5.0</v>
      </c>
      <c r="P107" s="714">
        <v>1.0</v>
      </c>
      <c r="Q107" s="781"/>
    </row>
    <row r="108">
      <c r="A108" s="716"/>
      <c r="B108" s="355"/>
      <c r="C108" s="710" t="s">
        <v>1534</v>
      </c>
      <c r="D108" s="712"/>
      <c r="E108" s="787"/>
      <c r="F108" s="68">
        <v>5.0</v>
      </c>
      <c r="G108" s="68">
        <v>5.0</v>
      </c>
      <c r="H108" s="68">
        <v>8.0</v>
      </c>
      <c r="I108" s="788" t="str">
        <f>HYPERLINK("https://d15f34w2p8l1cc.cloudfront.net/hearthstone/daa6babebb8b66adc3bf3386ca7d297c4b026b06edc55676b2ff08df9ae6efdc.png","Image")</f>
        <v>Image</v>
      </c>
      <c r="J108" s="774">
        <v>1.0</v>
      </c>
      <c r="K108" s="774">
        <v>1.0</v>
      </c>
      <c r="L108" s="774">
        <v>2.0</v>
      </c>
      <c r="M108" s="774">
        <v>2.0</v>
      </c>
      <c r="N108" s="774">
        <v>2.0</v>
      </c>
      <c r="O108" s="774">
        <v>3.0</v>
      </c>
      <c r="P108" s="774">
        <v>1.0</v>
      </c>
      <c r="Q108" s="781"/>
    </row>
    <row r="109">
      <c r="A109" s="716"/>
      <c r="B109" s="605"/>
      <c r="C109" s="195" t="s">
        <v>158</v>
      </c>
      <c r="D109" s="82"/>
      <c r="E109" s="82"/>
      <c r="F109" s="82"/>
      <c r="G109" s="82"/>
      <c r="H109" s="82"/>
      <c r="I109" s="96"/>
      <c r="J109" s="128"/>
      <c r="K109" s="128"/>
      <c r="L109" s="128"/>
      <c r="M109" s="128"/>
      <c r="N109" s="128"/>
      <c r="O109" s="128"/>
      <c r="P109" s="128"/>
      <c r="Q109" s="307"/>
    </row>
    <row r="110" ht="15.75" customHeight="1">
      <c r="A110" s="716"/>
      <c r="B110" s="636"/>
      <c r="C110" s="136"/>
      <c r="D110" s="782"/>
      <c r="E110" s="783"/>
      <c r="F110" s="85"/>
      <c r="G110" s="85"/>
      <c r="H110" s="85"/>
      <c r="I110" s="700"/>
      <c r="J110" s="702" t="s">
        <v>2</v>
      </c>
      <c r="K110" s="702" t="s">
        <v>426</v>
      </c>
      <c r="L110" s="702" t="s">
        <v>1</v>
      </c>
      <c r="M110" s="702" t="s">
        <v>4</v>
      </c>
      <c r="N110" s="702" t="s">
        <v>208</v>
      </c>
      <c r="O110" s="702" t="s">
        <v>3</v>
      </c>
      <c r="P110" s="702" t="s">
        <v>427</v>
      </c>
      <c r="Q110" s="781"/>
    </row>
    <row r="111">
      <c r="A111" s="716"/>
      <c r="B111" s="792"/>
      <c r="C111" s="705" t="s">
        <v>1535</v>
      </c>
      <c r="D111" s="707" t="s">
        <v>1448</v>
      </c>
      <c r="E111" s="785"/>
      <c r="F111" s="185">
        <v>2.0</v>
      </c>
      <c r="G111" s="185">
        <v>5.0</v>
      </c>
      <c r="H111" s="185">
        <v>1.0</v>
      </c>
      <c r="I111" s="786" t="str">
        <f>HYPERLINK("https://d15f34w2p8l1cc.cloudfront.net/hearthstone/882cfc6f266d5b0f4ccaaa62786f8b4d1cbd1ce5f4db7aea0fb4ca9edb0a5802.png","Image")</f>
        <v>Image</v>
      </c>
      <c r="J111" s="709">
        <v>1.0</v>
      </c>
      <c r="K111" s="709">
        <v>1.0</v>
      </c>
      <c r="L111" s="709">
        <v>1.0</v>
      </c>
      <c r="M111" s="709">
        <v>1.0</v>
      </c>
      <c r="N111" s="709">
        <v>1.0</v>
      </c>
      <c r="O111" s="709">
        <v>1.0</v>
      </c>
      <c r="P111" s="709">
        <v>1.0</v>
      </c>
      <c r="Q111" s="781"/>
    </row>
    <row r="112">
      <c r="A112" s="716"/>
      <c r="B112" s="353"/>
      <c r="C112" s="710" t="s">
        <v>1536</v>
      </c>
      <c r="D112" s="712"/>
      <c r="E112" s="787" t="s">
        <v>71</v>
      </c>
      <c r="F112" s="68"/>
      <c r="G112" s="68"/>
      <c r="H112" s="68">
        <v>1.0</v>
      </c>
      <c r="I112" s="788" t="str">
        <f>HYPERLINK("https://d15f34w2p8l1cc.cloudfront.net/hearthstone/6bb94518404b6acee552efc3cfc03ebb7c497146c12d7049c64381c501419a5b.png","Image")</f>
        <v>Image</v>
      </c>
      <c r="J112" s="714">
        <v>1.0</v>
      </c>
      <c r="K112" s="714">
        <v>1.0</v>
      </c>
      <c r="L112" s="714">
        <v>3.0</v>
      </c>
      <c r="M112" s="714">
        <v>3.0</v>
      </c>
      <c r="N112" s="714">
        <v>1.0</v>
      </c>
      <c r="O112" s="714">
        <v>2.0</v>
      </c>
      <c r="P112" s="714">
        <v>1.0</v>
      </c>
      <c r="Q112" s="781"/>
    </row>
    <row r="113">
      <c r="A113" s="716"/>
      <c r="B113" s="632"/>
      <c r="C113" s="729" t="s">
        <v>1537</v>
      </c>
      <c r="D113" s="731"/>
      <c r="E113" s="789" t="s">
        <v>490</v>
      </c>
      <c r="F113" s="557"/>
      <c r="G113" s="557"/>
      <c r="H113" s="557">
        <v>3.0</v>
      </c>
      <c r="I113" s="790" t="str">
        <f>HYPERLINK("https://d15f34w2p8l1cc.cloudfront.net/hearthstone/e3322572db9c3afa901693e0e2a3e288d61d544e850a18ff12590e797353908c.png","Image")</f>
        <v>Image</v>
      </c>
      <c r="J113" s="714">
        <v>1.0</v>
      </c>
      <c r="K113" s="714">
        <v>2.0</v>
      </c>
      <c r="L113" s="714">
        <v>2.0</v>
      </c>
      <c r="M113" s="714">
        <v>2.0</v>
      </c>
      <c r="N113" s="714">
        <v>1.0</v>
      </c>
      <c r="O113" s="714">
        <v>2.0</v>
      </c>
      <c r="P113" s="714">
        <v>1.0</v>
      </c>
      <c r="Q113" s="781"/>
    </row>
    <row r="114">
      <c r="A114" s="716"/>
      <c r="B114" s="639"/>
      <c r="C114" s="710" t="s">
        <v>1538</v>
      </c>
      <c r="D114" s="712"/>
      <c r="E114" s="787"/>
      <c r="F114" s="68">
        <v>1.0</v>
      </c>
      <c r="G114" s="68">
        <v>4.0</v>
      </c>
      <c r="H114" s="68">
        <v>2.0</v>
      </c>
      <c r="I114" s="788" t="str">
        <f>HYPERLINK("https://d15f34w2p8l1cc.cloudfront.net/hearthstone/58bb04ad30d08d815d772d10fa409e4994f1526116cb352f279a3835a3357f9d.png","Image")</f>
        <v>Image</v>
      </c>
      <c r="J114" s="714">
        <v>2.0</v>
      </c>
      <c r="K114" s="714">
        <v>2.0</v>
      </c>
      <c r="L114" s="714">
        <v>2.0</v>
      </c>
      <c r="M114" s="714">
        <v>2.0</v>
      </c>
      <c r="N114" s="714">
        <v>2.0</v>
      </c>
      <c r="O114" s="714">
        <v>1.0</v>
      </c>
      <c r="P114" s="714">
        <v>1.0</v>
      </c>
      <c r="Q114" s="781"/>
    </row>
    <row r="115">
      <c r="A115" s="716"/>
      <c r="B115" s="353"/>
      <c r="C115" s="710" t="s">
        <v>1539</v>
      </c>
      <c r="D115" s="712"/>
      <c r="E115" s="787"/>
      <c r="F115" s="68">
        <v>2.0</v>
      </c>
      <c r="G115" s="68">
        <v>2.0</v>
      </c>
      <c r="H115" s="68">
        <v>3.0</v>
      </c>
      <c r="I115" s="788" t="str">
        <f>HYPERLINK("https://d15f34w2p8l1cc.cloudfront.net/hearthstone/44efa79558a8b2a17a58e880d7243cff624a6c7b3b40bff994f636c1638b34f2.png","Image")</f>
        <v>Image</v>
      </c>
      <c r="J115" s="714">
        <v>2.0</v>
      </c>
      <c r="K115" s="714">
        <v>1.0</v>
      </c>
      <c r="L115" s="714">
        <v>1.0</v>
      </c>
      <c r="M115" s="714">
        <v>2.0</v>
      </c>
      <c r="N115" s="714">
        <v>1.0</v>
      </c>
      <c r="O115" s="714">
        <v>1.0</v>
      </c>
      <c r="P115" s="714">
        <v>1.0</v>
      </c>
      <c r="Q115" s="781"/>
    </row>
    <row r="116">
      <c r="A116" s="716"/>
      <c r="B116" s="632"/>
      <c r="C116" s="729" t="s">
        <v>1540</v>
      </c>
      <c r="D116" s="731"/>
      <c r="E116" s="789" t="s">
        <v>71</v>
      </c>
      <c r="F116" s="557"/>
      <c r="G116" s="557"/>
      <c r="H116" s="557">
        <v>5.0</v>
      </c>
      <c r="I116" s="790" t="str">
        <f>HYPERLINK("https://d15f34w2p8l1cc.cloudfront.net/hearthstone/41800bb39a19bfc6f4ffd582e7099152e06c0951c7037c65bbc94534fe3ce63b.png","Image")</f>
        <v>Image</v>
      </c>
      <c r="J116" s="714">
        <v>2.0</v>
      </c>
      <c r="K116" s="714">
        <v>2.0</v>
      </c>
      <c r="L116" s="714">
        <v>1.0</v>
      </c>
      <c r="M116" s="714">
        <v>2.0</v>
      </c>
      <c r="N116" s="714">
        <v>2.0</v>
      </c>
      <c r="O116" s="714">
        <v>2.0</v>
      </c>
      <c r="P116" s="714">
        <v>1.0</v>
      </c>
      <c r="Q116" s="781"/>
    </row>
    <row r="117">
      <c r="A117" s="716"/>
      <c r="B117" s="793"/>
      <c r="C117" s="710" t="s">
        <v>1541</v>
      </c>
      <c r="D117" s="712"/>
      <c r="E117" s="787"/>
      <c r="F117" s="68">
        <v>2.0</v>
      </c>
      <c r="G117" s="68">
        <v>3.0</v>
      </c>
      <c r="H117" s="68">
        <v>2.0</v>
      </c>
      <c r="I117" s="788" t="str">
        <f>HYPERLINK("https://d15f34w2p8l1cc.cloudfront.net/hearthstone/f2c37836539eb785d29f7f5ca10a8ff39070a81cb1addd639e861dc5ac30f7b2.png","Image")</f>
        <v>Image</v>
      </c>
      <c r="J117" s="714">
        <v>3.0</v>
      </c>
      <c r="K117" s="714">
        <v>3.0</v>
      </c>
      <c r="L117" s="714">
        <v>3.0</v>
      </c>
      <c r="M117" s="714">
        <v>2.0</v>
      </c>
      <c r="N117" s="714">
        <v>2.0</v>
      </c>
      <c r="O117" s="714">
        <v>2.0</v>
      </c>
      <c r="P117" s="714">
        <v>1.0</v>
      </c>
      <c r="Q117" s="781"/>
    </row>
    <row r="118">
      <c r="A118" s="716"/>
      <c r="B118" s="632"/>
      <c r="C118" s="729" t="s">
        <v>1542</v>
      </c>
      <c r="D118" s="731"/>
      <c r="E118" s="789" t="s">
        <v>43</v>
      </c>
      <c r="F118" s="557">
        <v>4.0</v>
      </c>
      <c r="G118" s="557">
        <v>9.0</v>
      </c>
      <c r="H118" s="557">
        <v>7.0</v>
      </c>
      <c r="I118" s="790" t="str">
        <f>HYPERLINK("https://d15f34w2p8l1cc.cloudfront.net/hearthstone/8786f0d34d1e98f79fe43503f0781d2c545e974efc1ea9c81c5708dfc7211b68.png","Image")</f>
        <v>Image</v>
      </c>
      <c r="J118" s="714">
        <v>1.0</v>
      </c>
      <c r="K118" s="714">
        <v>1.0</v>
      </c>
      <c r="L118" s="714">
        <v>3.0</v>
      </c>
      <c r="M118" s="714">
        <v>2.0</v>
      </c>
      <c r="N118" s="714">
        <v>2.0</v>
      </c>
      <c r="O118" s="714">
        <v>3.0</v>
      </c>
      <c r="P118" s="714">
        <v>1.0</v>
      </c>
      <c r="Q118" s="781"/>
    </row>
    <row r="119">
      <c r="A119" s="716"/>
      <c r="B119" s="794"/>
      <c r="C119" s="710" t="s">
        <v>1543</v>
      </c>
      <c r="D119" s="795" t="str">
        <f>HYPERLINK("https://static1.millenium.org/articles/2/36/23/22/@/1316487-primus-du-reliquaire-article_2_d-1.png","Primus")</f>
        <v>Primus</v>
      </c>
      <c r="E119" s="787"/>
      <c r="F119" s="68">
        <v>1.0</v>
      </c>
      <c r="G119" s="68">
        <v>3.0</v>
      </c>
      <c r="H119" s="68">
        <v>1.0</v>
      </c>
      <c r="I119" s="788" t="str">
        <f>HYPERLINK("https://d15f34w2p8l1cc.cloudfront.net/hearthstone/462a1db9a2a3db8c41f2748c5c477db2f5e111c29476931c3ce1b33f2b20a916.png","Image")</f>
        <v>Image</v>
      </c>
      <c r="J119" s="714">
        <v>2.0</v>
      </c>
      <c r="K119" s="714">
        <v>2.0</v>
      </c>
      <c r="L119" s="714">
        <v>2.0</v>
      </c>
      <c r="M119" s="714">
        <v>2.0</v>
      </c>
      <c r="N119" s="714">
        <v>3.0</v>
      </c>
      <c r="O119" s="714">
        <v>3.0</v>
      </c>
      <c r="P119" s="714">
        <v>1.0</v>
      </c>
      <c r="Q119" s="781"/>
    </row>
    <row r="120">
      <c r="A120" s="716"/>
      <c r="B120" s="355"/>
      <c r="C120" s="710" t="s">
        <v>1544</v>
      </c>
      <c r="D120" s="712"/>
      <c r="E120" s="787" t="s">
        <v>71</v>
      </c>
      <c r="F120" s="68"/>
      <c r="G120" s="68"/>
      <c r="H120" s="68">
        <v>7.0</v>
      </c>
      <c r="I120" s="788" t="str">
        <f>HYPERLINK("https://d15f34w2p8l1cc.cloudfront.net/hearthstone/fa7503a313c57c6d059c04c91c4355b340297b18c1cf9cee9b1488b7fc958524.png","Image")</f>
        <v>Image</v>
      </c>
      <c r="J120" s="714">
        <v>3.0</v>
      </c>
      <c r="K120" s="714">
        <v>3.0</v>
      </c>
      <c r="L120" s="714">
        <v>2.0</v>
      </c>
      <c r="M120" s="714">
        <v>4.0</v>
      </c>
      <c r="N120" s="714">
        <v>2.0</v>
      </c>
      <c r="O120" s="714">
        <v>4.0</v>
      </c>
      <c r="P120" s="714">
        <v>1.0</v>
      </c>
      <c r="Q120" s="781"/>
    </row>
    <row r="121">
      <c r="A121" s="716"/>
      <c r="B121" s="605"/>
      <c r="C121" s="195" t="s">
        <v>170</v>
      </c>
      <c r="D121" s="82"/>
      <c r="E121" s="82"/>
      <c r="F121" s="82"/>
      <c r="G121" s="82"/>
      <c r="H121" s="82"/>
      <c r="I121" s="96"/>
      <c r="J121" s="128"/>
      <c r="K121" s="128"/>
      <c r="L121" s="128"/>
      <c r="M121" s="128"/>
      <c r="N121" s="128"/>
      <c r="O121" s="128"/>
      <c r="P121" s="128"/>
      <c r="Q121" s="307"/>
    </row>
    <row r="122" ht="15.75" customHeight="1">
      <c r="A122" s="716"/>
      <c r="B122" s="636"/>
      <c r="C122" s="136"/>
      <c r="D122" s="782"/>
      <c r="E122" s="783"/>
      <c r="F122" s="85"/>
      <c r="G122" s="85"/>
      <c r="H122" s="85"/>
      <c r="I122" s="700"/>
      <c r="J122" s="745" t="s">
        <v>2</v>
      </c>
      <c r="K122" s="745" t="s">
        <v>426</v>
      </c>
      <c r="L122" s="745" t="s">
        <v>1</v>
      </c>
      <c r="M122" s="745" t="s">
        <v>4</v>
      </c>
      <c r="N122" s="745" t="s">
        <v>208</v>
      </c>
      <c r="O122" s="745" t="s">
        <v>3</v>
      </c>
      <c r="P122" s="745" t="s">
        <v>427</v>
      </c>
      <c r="Q122" s="781"/>
    </row>
    <row r="123">
      <c r="A123" s="716"/>
      <c r="B123" s="792"/>
      <c r="C123" s="705" t="s">
        <v>1545</v>
      </c>
      <c r="D123" s="707"/>
      <c r="E123" s="785" t="s">
        <v>71</v>
      </c>
      <c r="F123" s="185"/>
      <c r="G123" s="185"/>
      <c r="H123" s="185">
        <v>2.0</v>
      </c>
      <c r="I123" s="786" t="str">
        <f>HYPERLINK("https://d15f34w2p8l1cc.cloudfront.net/hearthstone/f468bfa2446bacec2df123aa6eb05b7cf7f2d72f3d264cbf605fd14960c85735.png","Image")</f>
        <v>Image</v>
      </c>
      <c r="J123" s="709">
        <v>2.0</v>
      </c>
      <c r="K123" s="709">
        <v>2.0</v>
      </c>
      <c r="L123" s="709">
        <v>4.0</v>
      </c>
      <c r="M123" s="709">
        <v>4.0</v>
      </c>
      <c r="N123" s="709">
        <v>2.0</v>
      </c>
      <c r="O123" s="709">
        <v>4.0</v>
      </c>
      <c r="P123" s="709">
        <v>1.0</v>
      </c>
      <c r="Q123" s="781"/>
    </row>
    <row r="124">
      <c r="A124" s="716"/>
      <c r="B124" s="353"/>
      <c r="C124" s="710" t="s">
        <v>1546</v>
      </c>
      <c r="D124" s="712"/>
      <c r="E124" s="787"/>
      <c r="F124" s="68">
        <v>3.0</v>
      </c>
      <c r="G124" s="68">
        <v>1.0</v>
      </c>
      <c r="H124" s="68">
        <v>2.0</v>
      </c>
      <c r="I124" s="788" t="str">
        <f>HYPERLINK("https://d15f34w2p8l1cc.cloudfront.net/hearthstone/04fb11658e696a255f5c2e6aac25d07aec03616925f2e710e528bfaa3dbc809e.png","Image")</f>
        <v>Image</v>
      </c>
      <c r="J124" s="714">
        <v>2.0</v>
      </c>
      <c r="K124" s="714">
        <v>2.0</v>
      </c>
      <c r="L124" s="714">
        <v>3.0</v>
      </c>
      <c r="M124" s="714">
        <v>2.0</v>
      </c>
      <c r="N124" s="714">
        <v>1.0</v>
      </c>
      <c r="O124" s="714">
        <v>3.0</v>
      </c>
      <c r="P124" s="714">
        <v>1.0</v>
      </c>
      <c r="Q124" s="781"/>
    </row>
    <row r="125">
      <c r="A125" s="716"/>
      <c r="B125" s="632"/>
      <c r="C125" s="729" t="s">
        <v>1547</v>
      </c>
      <c r="D125" s="731"/>
      <c r="E125" s="789" t="s">
        <v>497</v>
      </c>
      <c r="F125" s="557"/>
      <c r="G125" s="557"/>
      <c r="H125" s="557">
        <v>3.0</v>
      </c>
      <c r="I125" s="790" t="str">
        <f>HYPERLINK("https://d15f34w2p8l1cc.cloudfront.net/hearthstone/fff35532db2497227f16fa5eec1c1f0c5de1bc205edd3ce99785840ffbbd0828.png","Image")</f>
        <v>Image</v>
      </c>
      <c r="J125" s="714">
        <v>3.0</v>
      </c>
      <c r="K125" s="714">
        <v>2.0</v>
      </c>
      <c r="L125" s="714">
        <v>2.0</v>
      </c>
      <c r="M125" s="714">
        <v>2.0</v>
      </c>
      <c r="N125" s="714">
        <v>1.0</v>
      </c>
      <c r="O125" s="714">
        <v>2.0</v>
      </c>
      <c r="P125" s="714">
        <v>1.0</v>
      </c>
      <c r="Q125" s="781"/>
    </row>
    <row r="126">
      <c r="A126" s="716"/>
      <c r="B126" s="639"/>
      <c r="C126" s="710" t="s">
        <v>1548</v>
      </c>
      <c r="D126" s="712"/>
      <c r="E126" s="787" t="s">
        <v>490</v>
      </c>
      <c r="F126" s="68"/>
      <c r="G126" s="68"/>
      <c r="H126" s="68">
        <v>1.0</v>
      </c>
      <c r="I126" s="788" t="str">
        <f>HYPERLINK("https://d15f34w2p8l1cc.cloudfront.net/hearthstone/0fac1d6deafc76e3745f576d2d1800bfa0841c96128f463e48f291bdcb39014f.png","Image")</f>
        <v>Image</v>
      </c>
      <c r="J126" s="714">
        <v>1.0</v>
      </c>
      <c r="K126" s="714">
        <v>1.0</v>
      </c>
      <c r="L126" s="714">
        <v>1.0</v>
      </c>
      <c r="M126" s="714">
        <v>3.0</v>
      </c>
      <c r="N126" s="714">
        <v>1.0</v>
      </c>
      <c r="O126" s="714">
        <v>2.0</v>
      </c>
      <c r="P126" s="714">
        <v>1.0</v>
      </c>
      <c r="Q126" s="781"/>
    </row>
    <row r="127">
      <c r="A127" s="716"/>
      <c r="B127" s="353"/>
      <c r="C127" s="710" t="s">
        <v>1549</v>
      </c>
      <c r="D127" s="712" t="s">
        <v>1448</v>
      </c>
      <c r="E127" s="787"/>
      <c r="F127" s="68">
        <v>4.0</v>
      </c>
      <c r="G127" s="68">
        <v>5.0</v>
      </c>
      <c r="H127" s="68">
        <v>3.0</v>
      </c>
      <c r="I127" s="788" t="str">
        <f>HYPERLINK("https://d15f34w2p8l1cc.cloudfront.net/hearthstone/42a78a92f98802c580b3b36affc9ab71e1b65df594044a8586da8e982ad02fbd.png","Image")</f>
        <v>Image</v>
      </c>
      <c r="J127" s="714">
        <v>1.0</v>
      </c>
      <c r="K127" s="714">
        <v>1.0</v>
      </c>
      <c r="L127" s="714">
        <v>2.0</v>
      </c>
      <c r="M127" s="714">
        <v>2.0</v>
      </c>
      <c r="N127" s="714">
        <v>1.0</v>
      </c>
      <c r="O127" s="714">
        <v>3.0</v>
      </c>
      <c r="P127" s="714">
        <v>1.0</v>
      </c>
      <c r="Q127" s="781"/>
    </row>
    <row r="128">
      <c r="A128" s="716"/>
      <c r="B128" s="632"/>
      <c r="C128" s="729" t="s">
        <v>1550</v>
      </c>
      <c r="D128" s="731"/>
      <c r="E128" s="789" t="s">
        <v>490</v>
      </c>
      <c r="F128" s="557"/>
      <c r="G128" s="557"/>
      <c r="H128" s="557">
        <v>8.0</v>
      </c>
      <c r="I128" s="790" t="str">
        <f>HYPERLINK("https://d15f34w2p8l1cc.cloudfront.net/hearthstone/bea9c43d773562cc6b40c4b158705272c2ed12b8d082d2591be773d7eb4eb5fa.png","Image")</f>
        <v>Image</v>
      </c>
      <c r="J128" s="714">
        <v>2.0</v>
      </c>
      <c r="K128" s="714">
        <v>1.0</v>
      </c>
      <c r="L128" s="714">
        <v>1.0</v>
      </c>
      <c r="M128" s="714">
        <v>2.0</v>
      </c>
      <c r="N128" s="714">
        <v>3.0</v>
      </c>
      <c r="O128" s="714">
        <v>2.0</v>
      </c>
      <c r="P128" s="714">
        <v>1.0</v>
      </c>
      <c r="Q128" s="781"/>
    </row>
    <row r="129">
      <c r="A129" s="716"/>
      <c r="B129" s="793"/>
      <c r="C129" s="710" t="s">
        <v>1551</v>
      </c>
      <c r="D129" s="712"/>
      <c r="E129" s="787"/>
      <c r="F129" s="68">
        <v>2.0</v>
      </c>
      <c r="G129" s="68">
        <v>3.0</v>
      </c>
      <c r="H129" s="68">
        <v>2.0</v>
      </c>
      <c r="I129" s="788" t="str">
        <f>HYPERLINK("https://d15f34w2p8l1cc.cloudfront.net/hearthstone/78b0695e915f654d227823157404cf39a34308ed07d39e2c2d27c473d6253cf8.png","Image")</f>
        <v>Image</v>
      </c>
      <c r="J129" s="714">
        <v>1.0</v>
      </c>
      <c r="K129" s="714">
        <v>1.0</v>
      </c>
      <c r="L129" s="714">
        <v>1.0</v>
      </c>
      <c r="M129" s="714">
        <v>2.0</v>
      </c>
      <c r="N129" s="714">
        <v>1.0</v>
      </c>
      <c r="O129" s="714">
        <v>2.0</v>
      </c>
      <c r="P129" s="714">
        <v>1.0</v>
      </c>
      <c r="Q129" s="781"/>
    </row>
    <row r="130">
      <c r="A130" s="716"/>
      <c r="B130" s="632"/>
      <c r="C130" s="729" t="s">
        <v>1552</v>
      </c>
      <c r="D130" s="731"/>
      <c r="E130" s="789" t="s">
        <v>71</v>
      </c>
      <c r="F130" s="557"/>
      <c r="G130" s="557"/>
      <c r="H130" s="557">
        <v>5.0</v>
      </c>
      <c r="I130" s="790" t="str">
        <f>HYPERLINK("https://d15f34w2p8l1cc.cloudfront.net/hearthstone/dc2c32a63a826c6cce1443b748804a404ef962cb40e23ed05c344c6ee5aa9ea3.png","Image")</f>
        <v>Image</v>
      </c>
      <c r="J130" s="714">
        <v>1.0</v>
      </c>
      <c r="K130" s="714">
        <v>1.0</v>
      </c>
      <c r="L130" s="714">
        <v>1.0</v>
      </c>
      <c r="M130" s="714">
        <v>2.0</v>
      </c>
      <c r="N130" s="714">
        <v>1.0</v>
      </c>
      <c r="O130" s="714">
        <v>2.0</v>
      </c>
      <c r="P130" s="714">
        <v>1.0</v>
      </c>
      <c r="Q130" s="781"/>
    </row>
    <row r="131">
      <c r="A131" s="716"/>
      <c r="B131" s="794"/>
      <c r="C131" s="710" t="s">
        <v>1553</v>
      </c>
      <c r="D131" s="712"/>
      <c r="E131" s="787" t="s">
        <v>71</v>
      </c>
      <c r="F131" s="68"/>
      <c r="G131" s="68"/>
      <c r="H131" s="68">
        <v>1.0</v>
      </c>
      <c r="I131" s="788" t="str">
        <f>HYPERLINK("https://d15f34w2p8l1cc.cloudfront.net/hearthstone/b83365a0e6f8da9f8114cada4353d72fea244ce864ccd0e38be3debe6f93293e.png","Image")</f>
        <v>Image</v>
      </c>
      <c r="J131" s="714">
        <v>4.0</v>
      </c>
      <c r="K131" s="714">
        <v>4.0</v>
      </c>
      <c r="L131" s="714">
        <v>4.0</v>
      </c>
      <c r="M131" s="714">
        <v>4.0</v>
      </c>
      <c r="N131" s="714">
        <v>4.0</v>
      </c>
      <c r="O131" s="714">
        <v>4.0</v>
      </c>
      <c r="P131" s="714">
        <v>1.0</v>
      </c>
      <c r="Q131" s="781"/>
    </row>
    <row r="132">
      <c r="A132" s="716"/>
      <c r="B132" s="355"/>
      <c r="C132" s="710" t="s">
        <v>1554</v>
      </c>
      <c r="D132" s="795" t="str">
        <f>HYPERLINK("https://www.hearthstone-decks.com/upload/news/2020/mars/19/primus-solarian.jpg","Primus")</f>
        <v>Primus</v>
      </c>
      <c r="E132" s="787"/>
      <c r="F132" s="68">
        <v>3.0</v>
      </c>
      <c r="G132" s="68">
        <v>2.0</v>
      </c>
      <c r="H132" s="68">
        <v>2.0</v>
      </c>
      <c r="I132" s="788" t="str">
        <f>HYPERLINK("https://d15f34w2p8l1cc.cloudfront.net/hearthstone/125f0d012bafd8217cde1ef9b02e00d3ac9eabe39da4e6ae7f1773208066666e.png","Image")</f>
        <v>Image</v>
      </c>
      <c r="J132" s="774">
        <v>4.0</v>
      </c>
      <c r="K132" s="774">
        <v>5.0</v>
      </c>
      <c r="L132" s="774">
        <v>5.0</v>
      </c>
      <c r="M132" s="774">
        <v>5.0</v>
      </c>
      <c r="N132" s="774">
        <v>5.0</v>
      </c>
      <c r="O132" s="774">
        <v>4.0</v>
      </c>
      <c r="P132" s="774">
        <v>1.0</v>
      </c>
      <c r="Q132" s="781"/>
    </row>
    <row r="133">
      <c r="A133" s="716"/>
      <c r="B133" s="605"/>
      <c r="C133" s="195" t="s">
        <v>182</v>
      </c>
      <c r="D133" s="82"/>
      <c r="E133" s="82"/>
      <c r="F133" s="82"/>
      <c r="G133" s="82"/>
      <c r="H133" s="82"/>
      <c r="I133" s="96"/>
      <c r="J133" s="128"/>
      <c r="K133" s="128"/>
      <c r="L133" s="128"/>
      <c r="M133" s="128"/>
      <c r="N133" s="128"/>
      <c r="O133" s="128"/>
      <c r="P133" s="128"/>
      <c r="Q133" s="307"/>
    </row>
    <row r="134" ht="15.75" customHeight="1">
      <c r="A134" s="716"/>
      <c r="B134" s="636"/>
      <c r="C134" s="136"/>
      <c r="D134" s="782"/>
      <c r="E134" s="783"/>
      <c r="F134" s="85"/>
      <c r="G134" s="85"/>
      <c r="H134" s="85"/>
      <c r="I134" s="700"/>
      <c r="J134" s="745" t="s">
        <v>2</v>
      </c>
      <c r="K134" s="745" t="s">
        <v>426</v>
      </c>
      <c r="L134" s="745" t="s">
        <v>1</v>
      </c>
      <c r="M134" s="745" t="s">
        <v>4</v>
      </c>
      <c r="N134" s="745" t="s">
        <v>208</v>
      </c>
      <c r="O134" s="745" t="s">
        <v>3</v>
      </c>
      <c r="P134" s="745" t="s">
        <v>427</v>
      </c>
      <c r="Q134" s="781"/>
    </row>
    <row r="135">
      <c r="A135" s="716"/>
      <c r="B135" s="792"/>
      <c r="C135" s="705" t="s">
        <v>1555</v>
      </c>
      <c r="D135" s="707"/>
      <c r="E135" s="785"/>
      <c r="F135" s="185">
        <v>2.0</v>
      </c>
      <c r="G135" s="185">
        <v>3.0</v>
      </c>
      <c r="H135" s="185">
        <v>2.0</v>
      </c>
      <c r="I135" s="786" t="str">
        <f>HYPERLINK("https://d15f34w2p8l1cc.cloudfront.net/hearthstone/c0fa4d028846e44ad6decef70325e9e7ee82b1af67c77a1b895ce8bc2f93f4ce.png","Image")</f>
        <v>Image</v>
      </c>
      <c r="J135" s="709">
        <v>3.0</v>
      </c>
      <c r="K135" s="709">
        <v>3.0</v>
      </c>
      <c r="L135" s="709">
        <v>2.0</v>
      </c>
      <c r="M135" s="709">
        <v>2.0</v>
      </c>
      <c r="N135" s="709">
        <v>2.0</v>
      </c>
      <c r="O135" s="709">
        <v>3.0</v>
      </c>
      <c r="P135" s="709">
        <v>1.0</v>
      </c>
      <c r="Q135" s="781"/>
    </row>
    <row r="136">
      <c r="A136" s="716"/>
      <c r="B136" s="353"/>
      <c r="C136" s="710" t="s">
        <v>1556</v>
      </c>
      <c r="D136" s="712"/>
      <c r="E136" s="787" t="s">
        <v>71</v>
      </c>
      <c r="F136" s="68"/>
      <c r="G136" s="68"/>
      <c r="H136" s="68">
        <v>2.0</v>
      </c>
      <c r="I136" s="788" t="str">
        <f>HYPERLINK("https://d15f34w2p8l1cc.cloudfront.net/hearthstone/8b44c3ce2a1872011b8784648a704db887be1299140907773871e363c06d91a3.png","Image")</f>
        <v>Image</v>
      </c>
      <c r="J136" s="714">
        <v>4.0</v>
      </c>
      <c r="K136" s="714">
        <v>4.0</v>
      </c>
      <c r="L136" s="714">
        <v>4.0</v>
      </c>
      <c r="M136" s="714">
        <v>4.0</v>
      </c>
      <c r="N136" s="714">
        <v>4.0</v>
      </c>
      <c r="O136" s="714">
        <v>3.0</v>
      </c>
      <c r="P136" s="714">
        <v>1.0</v>
      </c>
      <c r="Q136" s="781"/>
    </row>
    <row r="137">
      <c r="A137" s="716"/>
      <c r="B137" s="632"/>
      <c r="C137" s="729" t="s">
        <v>1557</v>
      </c>
      <c r="D137" s="731"/>
      <c r="E137" s="789" t="s">
        <v>71</v>
      </c>
      <c r="F137" s="557"/>
      <c r="G137" s="557"/>
      <c r="H137" s="557">
        <v>6.0</v>
      </c>
      <c r="I137" s="790" t="str">
        <f>HYPERLINK("https://d15f34w2p8l1cc.cloudfront.net/hearthstone/27c8e6ff775568f932dfe98ed541c311b31fbe5b872fb1a88a6dfaf749d1742f.png","Image")</f>
        <v>Image</v>
      </c>
      <c r="J137" s="714">
        <v>3.0</v>
      </c>
      <c r="K137" s="714">
        <v>3.0</v>
      </c>
      <c r="L137" s="714">
        <v>2.0</v>
      </c>
      <c r="M137" s="714">
        <v>2.0</v>
      </c>
      <c r="N137" s="714">
        <v>3.0</v>
      </c>
      <c r="O137" s="714">
        <v>3.0</v>
      </c>
      <c r="P137" s="714">
        <v>1.0</v>
      </c>
      <c r="Q137" s="781"/>
    </row>
    <row r="138">
      <c r="A138" s="716"/>
      <c r="B138" s="639"/>
      <c r="C138" s="710" t="s">
        <v>1558</v>
      </c>
      <c r="D138" s="712" t="s">
        <v>1448</v>
      </c>
      <c r="E138" s="787" t="s">
        <v>51</v>
      </c>
      <c r="F138" s="68">
        <v>2.0</v>
      </c>
      <c r="G138" s="68">
        <v>1.0</v>
      </c>
      <c r="H138" s="68">
        <v>1.0</v>
      </c>
      <c r="I138" s="788" t="str">
        <f>HYPERLINK("https://d15f34w2p8l1cc.cloudfront.net/hearthstone/e6511413e2becbe4ff9207b3619d275afb5b9de32688b1a73964038ad4788f70.png","Image")</f>
        <v>Image</v>
      </c>
      <c r="J138" s="714">
        <v>2.0</v>
      </c>
      <c r="K138" s="714">
        <v>1.0</v>
      </c>
      <c r="L138" s="714">
        <v>1.0</v>
      </c>
      <c r="M138" s="714">
        <v>1.0</v>
      </c>
      <c r="N138" s="714">
        <v>1.0</v>
      </c>
      <c r="O138" s="714">
        <v>3.0</v>
      </c>
      <c r="P138" s="714">
        <v>1.0</v>
      </c>
      <c r="Q138" s="781"/>
    </row>
    <row r="139">
      <c r="A139" s="716"/>
      <c r="B139" s="353"/>
      <c r="C139" s="710" t="s">
        <v>1559</v>
      </c>
      <c r="D139" s="712"/>
      <c r="E139" s="787" t="s">
        <v>71</v>
      </c>
      <c r="F139" s="68"/>
      <c r="G139" s="68"/>
      <c r="H139" s="68">
        <v>2.0</v>
      </c>
      <c r="I139" s="788" t="str">
        <f>HYPERLINK("https://d15f34w2p8l1cc.cloudfront.net/hearthstone/89d1485929329f289bee1402f66f8e062d52f350266d8961b35e7b83f36f6d1c.png","Image")</f>
        <v>Image</v>
      </c>
      <c r="J139" s="714">
        <v>3.0</v>
      </c>
      <c r="K139" s="714">
        <v>3.0</v>
      </c>
      <c r="L139" s="714">
        <v>2.0</v>
      </c>
      <c r="M139" s="714">
        <v>2.0</v>
      </c>
      <c r="N139" s="714">
        <v>2.0</v>
      </c>
      <c r="O139" s="714">
        <v>3.0</v>
      </c>
      <c r="P139" s="714">
        <v>1.0</v>
      </c>
      <c r="Q139" s="781"/>
    </row>
    <row r="140">
      <c r="A140" s="716"/>
      <c r="B140" s="632"/>
      <c r="C140" s="729" t="s">
        <v>1560</v>
      </c>
      <c r="D140" s="731"/>
      <c r="E140" s="789"/>
      <c r="F140" s="557">
        <v>4.0</v>
      </c>
      <c r="G140" s="557">
        <v>6.0</v>
      </c>
      <c r="H140" s="557">
        <v>5.0</v>
      </c>
      <c r="I140" s="790" t="str">
        <f>HYPERLINK("https://d15f34w2p8l1cc.cloudfront.net/hearthstone/9ab4868e72b40c00ab5b9260285d9715257d079d3ef93fe9c491aba849adc107.png","Image")</f>
        <v>Image</v>
      </c>
      <c r="J140" s="714">
        <v>3.0</v>
      </c>
      <c r="K140" s="714">
        <v>3.0</v>
      </c>
      <c r="L140" s="714">
        <v>2.0</v>
      </c>
      <c r="M140" s="714">
        <v>2.0</v>
      </c>
      <c r="N140" s="714">
        <v>3.0</v>
      </c>
      <c r="O140" s="714">
        <v>4.0</v>
      </c>
      <c r="P140" s="714">
        <v>1.0</v>
      </c>
      <c r="Q140" s="781"/>
    </row>
    <row r="141">
      <c r="A141" s="716"/>
      <c r="B141" s="793"/>
      <c r="C141" s="710" t="s">
        <v>1561</v>
      </c>
      <c r="D141" s="712"/>
      <c r="E141" s="787" t="s">
        <v>77</v>
      </c>
      <c r="F141" s="68">
        <v>3.0</v>
      </c>
      <c r="G141" s="68">
        <v>2.0</v>
      </c>
      <c r="H141" s="68">
        <v>3.0</v>
      </c>
      <c r="I141" s="788" t="str">
        <f>HYPERLINK("https://d15f34w2p8l1cc.cloudfront.net/hearthstone/0e0cd3df30cc8cab6bf0180660c248d18dcbcc7af450655d1eda46ac0d0245b3.png","Image")</f>
        <v>Image</v>
      </c>
      <c r="J141" s="714">
        <v>2.0</v>
      </c>
      <c r="K141" s="714">
        <v>2.0</v>
      </c>
      <c r="L141" s="714">
        <v>1.0</v>
      </c>
      <c r="M141" s="714">
        <v>1.0</v>
      </c>
      <c r="N141" s="714">
        <v>1.0</v>
      </c>
      <c r="O141" s="714">
        <v>3.0</v>
      </c>
      <c r="P141" s="714">
        <v>1.0</v>
      </c>
      <c r="Q141" s="781"/>
    </row>
    <row r="142">
      <c r="A142" s="716"/>
      <c r="B142" s="632"/>
      <c r="C142" s="729" t="s">
        <v>1562</v>
      </c>
      <c r="D142" s="731"/>
      <c r="E142" s="789" t="s">
        <v>71</v>
      </c>
      <c r="F142" s="557"/>
      <c r="G142" s="557"/>
      <c r="H142" s="557">
        <v>9.0</v>
      </c>
      <c r="I142" s="790" t="str">
        <f>HYPERLINK("https://d15f34w2p8l1cc.cloudfront.net/hearthstone/99332420667a31cf2f3f7d5e64f4f21fb8b3d4b7b06c721e4ad213080e0bd80d.png","Image")</f>
        <v>Image</v>
      </c>
      <c r="J142" s="714">
        <v>3.0</v>
      </c>
      <c r="K142" s="714">
        <v>3.0</v>
      </c>
      <c r="L142" s="714">
        <v>2.0</v>
      </c>
      <c r="M142" s="714">
        <v>3.0</v>
      </c>
      <c r="N142" s="714">
        <v>3.0</v>
      </c>
      <c r="O142" s="714">
        <v>3.0</v>
      </c>
      <c r="P142" s="714">
        <v>1.0</v>
      </c>
      <c r="Q142" s="781"/>
    </row>
    <row r="143">
      <c r="A143" s="716"/>
      <c r="B143" s="794"/>
      <c r="C143" s="710" t="s">
        <v>1563</v>
      </c>
      <c r="D143" s="795" t="str">
        <f>HYPERLINK("https://www.hearthstone-decks.com/upload/news/2020/mars/24/primus-murgargouille-hs.jpg","Primus")</f>
        <v>Primus</v>
      </c>
      <c r="E143" s="787" t="s">
        <v>51</v>
      </c>
      <c r="F143" s="68">
        <v>2.0</v>
      </c>
      <c r="G143" s="68">
        <v>1.0</v>
      </c>
      <c r="H143" s="68">
        <v>2.0</v>
      </c>
      <c r="I143" s="788" t="str">
        <f>HYPERLINK("https://d15f34w2p8l1cc.cloudfront.net/hearthstone/e930528839da7042bd9d7c85b389ad09a8521617420ed8af787c0a64393f3081.png","Image")</f>
        <v>Image</v>
      </c>
      <c r="J143" s="714">
        <v>4.0</v>
      </c>
      <c r="K143" s="714">
        <v>4.0</v>
      </c>
      <c r="L143" s="714">
        <v>2.0</v>
      </c>
      <c r="M143" s="714">
        <v>3.0</v>
      </c>
      <c r="N143" s="714">
        <v>5.0</v>
      </c>
      <c r="O143" s="714">
        <v>3.0</v>
      </c>
      <c r="P143" s="714">
        <v>1.0</v>
      </c>
      <c r="Q143" s="781"/>
    </row>
    <row r="144">
      <c r="A144" s="716"/>
      <c r="B144" s="355"/>
      <c r="C144" s="710" t="s">
        <v>1564</v>
      </c>
      <c r="D144" s="712"/>
      <c r="E144" s="787"/>
      <c r="F144" s="68">
        <v>4.0</v>
      </c>
      <c r="G144" s="68">
        <v>6.0</v>
      </c>
      <c r="H144" s="68">
        <v>7.0</v>
      </c>
      <c r="I144" s="788" t="str">
        <f>HYPERLINK("https://d15f34w2p8l1cc.cloudfront.net/hearthstone/3dbd2fb610df99ae787e1dc85918a0f1304314b95870b2e07c8a87ae90479c80.png","Image")</f>
        <v>Image</v>
      </c>
      <c r="J144" s="773">
        <v>3.0</v>
      </c>
      <c r="K144" s="773">
        <v>3.0</v>
      </c>
      <c r="L144" s="773">
        <v>2.0</v>
      </c>
      <c r="M144" s="773">
        <v>3.0</v>
      </c>
      <c r="N144" s="773">
        <v>2.0</v>
      </c>
      <c r="O144" s="773">
        <v>2.0</v>
      </c>
      <c r="P144" s="773">
        <v>1.0</v>
      </c>
      <c r="Q144" s="781"/>
    </row>
    <row r="145" ht="15.75" customHeight="1">
      <c r="A145" s="716"/>
      <c r="B145" s="605"/>
      <c r="C145" s="195" t="s">
        <v>193</v>
      </c>
      <c r="D145" s="82"/>
      <c r="E145" s="82"/>
      <c r="F145" s="82"/>
      <c r="G145" s="82"/>
      <c r="H145" s="82"/>
      <c r="I145" s="96"/>
      <c r="J145" s="128"/>
      <c r="K145" s="128"/>
      <c r="L145" s="128"/>
      <c r="M145" s="128"/>
      <c r="N145" s="128"/>
      <c r="O145" s="128"/>
      <c r="P145" s="128"/>
      <c r="Q145" s="781"/>
    </row>
    <row r="146" ht="15.75" customHeight="1">
      <c r="A146" s="716"/>
      <c r="B146" s="609"/>
      <c r="C146" s="136"/>
      <c r="D146" s="782"/>
      <c r="E146" s="783"/>
      <c r="F146" s="85"/>
      <c r="G146" s="85"/>
      <c r="H146" s="85"/>
      <c r="I146" s="700"/>
      <c r="J146" s="745" t="s">
        <v>2</v>
      </c>
      <c r="K146" s="745" t="s">
        <v>426</v>
      </c>
      <c r="L146" s="745" t="s">
        <v>1</v>
      </c>
      <c r="M146" s="745" t="s">
        <v>4</v>
      </c>
      <c r="N146" s="745" t="s">
        <v>208</v>
      </c>
      <c r="O146" s="745" t="s">
        <v>3</v>
      </c>
      <c r="P146" s="745" t="s">
        <v>427</v>
      </c>
      <c r="Q146" s="781"/>
    </row>
    <row r="147" ht="15.75" customHeight="1">
      <c r="A147" s="739" t="s">
        <v>1565</v>
      </c>
      <c r="B147" s="797"/>
      <c r="C147" s="705" t="s">
        <v>1566</v>
      </c>
      <c r="D147" s="707"/>
      <c r="E147" s="785" t="s">
        <v>97</v>
      </c>
      <c r="F147" s="185">
        <v>2.0</v>
      </c>
      <c r="G147" s="185">
        <v>1.0</v>
      </c>
      <c r="H147" s="185">
        <v>1.0</v>
      </c>
      <c r="I147" s="786" t="str">
        <f>HYPERLINK("https://d15f34w2p8l1cc.cloudfront.net/hearthstone/2eb978f92da3e7fd2d5d62942d4af304bcdb15ce4af8bc0bcf71f068ecb50a0a.png","Image")</f>
        <v>Image</v>
      </c>
      <c r="J147" s="709">
        <v>2.0</v>
      </c>
      <c r="K147" s="709">
        <v>2.0</v>
      </c>
      <c r="L147" s="709">
        <v>2.0</v>
      </c>
      <c r="M147" s="709">
        <v>2.0</v>
      </c>
      <c r="N147" s="709">
        <v>2.0</v>
      </c>
      <c r="O147" s="709">
        <v>2.0</v>
      </c>
      <c r="P147" s="709">
        <v>5.0</v>
      </c>
      <c r="Q147" s="781"/>
    </row>
    <row r="148" ht="15.75" customHeight="1">
      <c r="B148" s="353"/>
      <c r="C148" s="710" t="s">
        <v>1567</v>
      </c>
      <c r="D148" s="712"/>
      <c r="E148" s="787" t="s">
        <v>71</v>
      </c>
      <c r="F148" s="68"/>
      <c r="G148" s="68"/>
      <c r="H148" s="68">
        <v>2.0</v>
      </c>
      <c r="I148" s="788" t="str">
        <f>HYPERLINK("https://d15f34w2p8l1cc.cloudfront.net/hearthstone/aa719dfbc6a470e3507fbd6437cd28a730c85fba5bea188551de5b6c33f7a958.png","Image")</f>
        <v>Image</v>
      </c>
      <c r="J148" s="714">
        <v>4.0</v>
      </c>
      <c r="K148" s="798">
        <v>4.0</v>
      </c>
      <c r="L148" s="798">
        <v>4.0</v>
      </c>
      <c r="M148" s="798">
        <v>4.0</v>
      </c>
      <c r="N148" s="798">
        <v>4.0</v>
      </c>
      <c r="O148" s="798">
        <v>3.0</v>
      </c>
      <c r="P148" s="798">
        <v>5.0</v>
      </c>
      <c r="Q148" s="781"/>
    </row>
    <row r="149" ht="15.75" customHeight="1">
      <c r="B149" s="353"/>
      <c r="C149" s="729" t="s">
        <v>1568</v>
      </c>
      <c r="D149" s="731"/>
      <c r="E149" s="789" t="s">
        <v>97</v>
      </c>
      <c r="F149" s="557">
        <v>3.0</v>
      </c>
      <c r="G149" s="557">
        <v>2.0</v>
      </c>
      <c r="H149" s="557">
        <v>2.0</v>
      </c>
      <c r="I149" s="790" t="str">
        <f>HYPERLINK("https://d15f34w2p8l1cc.cloudfront.net/hearthstone/c8e8f54231efaad3bb7bad4a1784d89ec4e32562cda28e8e6786718e0e80442c.png","Image")</f>
        <v>Image</v>
      </c>
      <c r="J149" s="738">
        <v>4.0</v>
      </c>
      <c r="K149" s="772">
        <v>4.0</v>
      </c>
      <c r="L149" s="772">
        <v>4.0</v>
      </c>
      <c r="M149" s="772">
        <v>5.0</v>
      </c>
      <c r="N149" s="772">
        <v>5.0</v>
      </c>
      <c r="O149" s="772">
        <v>4.0</v>
      </c>
      <c r="P149" s="772">
        <v>5.0</v>
      </c>
      <c r="Q149" s="781"/>
    </row>
    <row r="150" ht="15.75" customHeight="1">
      <c r="B150" s="353"/>
      <c r="C150" s="710" t="s">
        <v>1569</v>
      </c>
      <c r="D150" s="712"/>
      <c r="E150" s="787" t="s">
        <v>71</v>
      </c>
      <c r="F150" s="68"/>
      <c r="G150" s="68"/>
      <c r="H150" s="68">
        <v>3.0</v>
      </c>
      <c r="I150" s="788" t="str">
        <f>HYPERLINK("https://d15f34w2p8l1cc.cloudfront.net/hearthstone/ce349f0adb01dc8bcf2049e9eb5deb017f35d0ef3dc91a9db94eab2ae4518304.png","Image")</f>
        <v>Image</v>
      </c>
      <c r="J150" s="738">
        <v>1.0</v>
      </c>
      <c r="K150" s="772">
        <v>1.0</v>
      </c>
      <c r="L150" s="772">
        <v>1.0</v>
      </c>
      <c r="M150" s="772">
        <v>1.0</v>
      </c>
      <c r="N150" s="772">
        <v>1.0</v>
      </c>
      <c r="O150" s="772">
        <v>2.0</v>
      </c>
      <c r="P150" s="772">
        <v>5.0</v>
      </c>
      <c r="Q150" s="781"/>
    </row>
    <row r="151" ht="15.75" customHeight="1">
      <c r="B151" s="353"/>
      <c r="C151" s="710" t="s">
        <v>1570</v>
      </c>
      <c r="D151" s="712"/>
      <c r="E151" s="787" t="s">
        <v>71</v>
      </c>
      <c r="F151" s="68"/>
      <c r="G151" s="68"/>
      <c r="H151" s="68">
        <v>3.0</v>
      </c>
      <c r="I151" s="788" t="str">
        <f>HYPERLINK("https://d15f34w2p8l1cc.cloudfront.net/hearthstone/8d2800c6d44d8874abb2f3add3d62fe81dd6f3c445fe148c927618f75e6ab8cc.png","Image")</f>
        <v>Image</v>
      </c>
      <c r="J151" s="714">
        <v>3.0</v>
      </c>
      <c r="K151" s="798">
        <v>3.0</v>
      </c>
      <c r="L151" s="798">
        <v>2.0</v>
      </c>
      <c r="M151" s="798">
        <v>2.0</v>
      </c>
      <c r="N151" s="798">
        <v>2.0</v>
      </c>
      <c r="O151" s="798">
        <v>3.0</v>
      </c>
      <c r="P151" s="798">
        <v>5.0</v>
      </c>
      <c r="Q151" s="307"/>
    </row>
    <row r="152" ht="15.75" customHeight="1">
      <c r="B152" s="353"/>
      <c r="C152" s="710" t="s">
        <v>1571</v>
      </c>
      <c r="D152" s="712"/>
      <c r="E152" s="787" t="s">
        <v>77</v>
      </c>
      <c r="F152" s="68">
        <v>2.0</v>
      </c>
      <c r="G152" s="68">
        <v>3.0</v>
      </c>
      <c r="H152" s="68">
        <v>3.0</v>
      </c>
      <c r="I152" s="788" t="str">
        <f>HYPERLINK("https://d15f34w2p8l1cc.cloudfront.net/hearthstone/c3c8a55052194d091cc6d4813f434f921f65d318e90891419836a2c5ef2b2345.png","Image")</f>
        <v>Image</v>
      </c>
      <c r="J152" s="738">
        <v>3.0</v>
      </c>
      <c r="K152" s="772">
        <v>4.0</v>
      </c>
      <c r="L152" s="772">
        <v>4.0</v>
      </c>
      <c r="M152" s="772">
        <v>5.0</v>
      </c>
      <c r="N152" s="772">
        <v>5.0</v>
      </c>
      <c r="O152" s="772">
        <v>5.0</v>
      </c>
      <c r="P152" s="772">
        <v>5.0</v>
      </c>
      <c r="Q152" s="781"/>
    </row>
    <row r="153" ht="15.75" customHeight="1">
      <c r="B153" s="353"/>
      <c r="C153" s="729" t="s">
        <v>1572</v>
      </c>
      <c r="D153" s="731"/>
      <c r="E153" s="789" t="s">
        <v>97</v>
      </c>
      <c r="F153" s="557">
        <v>4.0</v>
      </c>
      <c r="G153" s="557">
        <v>2.0</v>
      </c>
      <c r="H153" s="557">
        <v>3.0</v>
      </c>
      <c r="I153" s="790" t="str">
        <f>HYPERLINK("https://d15f34w2p8l1cc.cloudfront.net/hearthstone/aeb64b05ad47709e99b1635960617d5b0383c97b2d897e40332a02a56e6f9f28.png","Image")</f>
        <v>Image</v>
      </c>
      <c r="J153" s="738">
        <v>2.0</v>
      </c>
      <c r="K153" s="772">
        <v>2.0</v>
      </c>
      <c r="L153" s="772">
        <v>1.0</v>
      </c>
      <c r="M153" s="772">
        <v>2.0</v>
      </c>
      <c r="N153" s="772">
        <v>2.0</v>
      </c>
      <c r="O153" s="772">
        <v>1.0</v>
      </c>
      <c r="P153" s="772">
        <v>5.0</v>
      </c>
      <c r="Q153" s="781"/>
    </row>
    <row r="154" ht="15.75" customHeight="1">
      <c r="B154" s="353"/>
      <c r="C154" s="710" t="s">
        <v>1573</v>
      </c>
      <c r="D154" s="712"/>
      <c r="E154" s="787"/>
      <c r="F154" s="68">
        <v>7.0</v>
      </c>
      <c r="G154" s="68">
        <v>4.0</v>
      </c>
      <c r="H154" s="68">
        <v>5.0</v>
      </c>
      <c r="I154" s="788" t="str">
        <f>HYPERLINK("https://d15f34w2p8l1cc.cloudfront.net/hearthstone/9a33c4be2c043dd29158c49e26b513e501a9c879182d731ebd0fd09164f148c5.png","Image")</f>
        <v>Image</v>
      </c>
      <c r="J154" s="738">
        <v>4.0</v>
      </c>
      <c r="K154" s="798">
        <v>4.0</v>
      </c>
      <c r="L154" s="772">
        <v>4.0</v>
      </c>
      <c r="M154" s="772">
        <v>4.0</v>
      </c>
      <c r="N154" s="772">
        <v>3.0</v>
      </c>
      <c r="O154" s="772">
        <v>3.0</v>
      </c>
      <c r="P154" s="772">
        <v>5.0</v>
      </c>
      <c r="Q154" s="781"/>
    </row>
    <row r="155" ht="15.75" customHeight="1">
      <c r="B155" s="353"/>
      <c r="C155" s="710" t="s">
        <v>1574</v>
      </c>
      <c r="D155" s="712"/>
      <c r="E155" s="787" t="s">
        <v>71</v>
      </c>
      <c r="F155" s="68"/>
      <c r="G155" s="68"/>
      <c r="H155" s="68">
        <v>5.0</v>
      </c>
      <c r="I155" s="788" t="str">
        <f>HYPERLINK("https://d15f34w2p8l1cc.cloudfront.net/hearthstone/63f774c22a44dddecc1ac804e32501de2b6ab2ad190738cf08e009951cd73511.png","Image")</f>
        <v>Image</v>
      </c>
      <c r="J155" s="714">
        <v>3.0</v>
      </c>
      <c r="K155" s="799">
        <v>3.0</v>
      </c>
      <c r="L155" s="798">
        <v>5.0</v>
      </c>
      <c r="M155" s="798">
        <v>5.0</v>
      </c>
      <c r="N155" s="798">
        <v>3.0</v>
      </c>
      <c r="O155" s="798">
        <v>4.0</v>
      </c>
      <c r="P155" s="798">
        <v>5.0</v>
      </c>
      <c r="Q155" s="781"/>
    </row>
    <row r="156" ht="15.75" customHeight="1">
      <c r="A156" s="739"/>
      <c r="B156" s="353"/>
      <c r="C156" s="710" t="s">
        <v>1575</v>
      </c>
      <c r="D156" s="712"/>
      <c r="E156" s="787" t="s">
        <v>71</v>
      </c>
      <c r="F156" s="68"/>
      <c r="G156" s="68"/>
      <c r="H156" s="68">
        <v>8.0</v>
      </c>
      <c r="I156" s="788" t="str">
        <f>HYPERLINK("https://www.hearthstone-decks.com/upload/carte/2644.jpg?=v2","Image")</f>
        <v>Image</v>
      </c>
      <c r="J156" s="738">
        <v>2.0</v>
      </c>
      <c r="K156" s="772">
        <v>3.0</v>
      </c>
      <c r="L156" s="772">
        <v>2.0</v>
      </c>
      <c r="M156" s="772">
        <v>2.0</v>
      </c>
      <c r="N156" s="772">
        <v>3.0</v>
      </c>
      <c r="O156" s="772">
        <v>1.0</v>
      </c>
      <c r="P156" s="772">
        <v>5.0</v>
      </c>
      <c r="Q156" s="781"/>
    </row>
    <row r="157" ht="15.75" customHeight="1">
      <c r="A157" s="716"/>
      <c r="B157" s="609"/>
      <c r="C157" s="136"/>
      <c r="D157" s="782"/>
      <c r="E157" s="783"/>
      <c r="F157" s="85"/>
      <c r="G157" s="85"/>
      <c r="H157" s="85"/>
      <c r="I157" s="700"/>
      <c r="J157" s="702" t="s">
        <v>2</v>
      </c>
      <c r="K157" s="702" t="s">
        <v>426</v>
      </c>
      <c r="L157" s="702" t="s">
        <v>1</v>
      </c>
      <c r="M157" s="702" t="s">
        <v>4</v>
      </c>
      <c r="N157" s="702" t="s">
        <v>208</v>
      </c>
      <c r="O157" s="702" t="s">
        <v>3</v>
      </c>
      <c r="P157" s="702" t="s">
        <v>427</v>
      </c>
      <c r="Q157" s="307"/>
    </row>
    <row r="158" ht="15.75" customHeight="1">
      <c r="A158" s="739" t="s">
        <v>1576</v>
      </c>
      <c r="B158" s="640"/>
      <c r="C158" s="705" t="s">
        <v>1577</v>
      </c>
      <c r="D158" s="707"/>
      <c r="E158" s="785" t="s">
        <v>71</v>
      </c>
      <c r="F158" s="185"/>
      <c r="G158" s="185"/>
      <c r="H158" s="185">
        <v>0.0</v>
      </c>
      <c r="I158" s="788" t="str">
        <f>HYPERLINK("https://d15f34w2p8l1cc.cloudfront.net/hearthstone/8810f2568eaf1b66cc87ce7e643e211db1c17440b27bc731abf0de6205cfaa74.png","Image")</f>
        <v>Image</v>
      </c>
      <c r="J158" s="738">
        <v>4.0</v>
      </c>
      <c r="K158" s="772">
        <v>4.0</v>
      </c>
      <c r="L158" s="772">
        <v>4.0</v>
      </c>
      <c r="M158" s="772">
        <v>4.0</v>
      </c>
      <c r="N158" s="772">
        <v>3.0</v>
      </c>
      <c r="O158" s="772">
        <v>3.0</v>
      </c>
      <c r="P158" s="772">
        <v>5.0</v>
      </c>
      <c r="Q158" s="781"/>
    </row>
    <row r="159" ht="15.75" customHeight="1">
      <c r="B159" s="353"/>
      <c r="C159" s="710" t="s">
        <v>1578</v>
      </c>
      <c r="D159" s="712"/>
      <c r="E159" s="787" t="s">
        <v>71</v>
      </c>
      <c r="F159" s="68"/>
      <c r="G159" s="68"/>
      <c r="H159" s="68">
        <v>0.0</v>
      </c>
      <c r="I159" s="788" t="str">
        <f>HYPERLINK("https://d15f34w2p8l1cc.cloudfront.net/hearthstone/045f5829eab9216fadfe14bb02f5dcc9ad092792430dabbe7e523458d9d2ce29.png","Image")</f>
        <v>Image</v>
      </c>
      <c r="J159" s="714">
        <v>3.0</v>
      </c>
      <c r="K159" s="714">
        <v>2.0</v>
      </c>
      <c r="L159" s="714">
        <v>4.0</v>
      </c>
      <c r="M159" s="714">
        <v>2.0</v>
      </c>
      <c r="N159" s="714">
        <v>2.0</v>
      </c>
      <c r="O159" s="714">
        <v>1.0</v>
      </c>
      <c r="P159" s="714">
        <v>5.0</v>
      </c>
      <c r="Q159" s="781"/>
    </row>
    <row r="160" ht="15.75" customHeight="1">
      <c r="B160" s="353"/>
      <c r="C160" s="710" t="s">
        <v>1579</v>
      </c>
      <c r="D160" s="712"/>
      <c r="E160" s="787" t="s">
        <v>71</v>
      </c>
      <c r="F160" s="68"/>
      <c r="G160" s="68"/>
      <c r="H160" s="68">
        <v>1.0</v>
      </c>
      <c r="I160" s="788" t="str">
        <f>HYPERLINK("https://d15f34w2p8l1cc.cloudfront.net/hearthstone/6a39c2625f0822401f91912850f10a4749734098f9e147c47407a6d07cd76e47.png","Image")</f>
        <v>Image</v>
      </c>
      <c r="J160" s="714">
        <v>2.0</v>
      </c>
      <c r="K160" s="714">
        <v>2.0</v>
      </c>
      <c r="L160" s="714">
        <v>1.0</v>
      </c>
      <c r="M160" s="714">
        <v>2.0</v>
      </c>
      <c r="N160" s="714">
        <v>1.0</v>
      </c>
      <c r="O160" s="714">
        <v>3.0</v>
      </c>
      <c r="P160" s="714">
        <v>5.0</v>
      </c>
      <c r="Q160" s="781"/>
    </row>
    <row r="161" ht="15.75" customHeight="1">
      <c r="B161" s="353"/>
      <c r="C161" s="710" t="s">
        <v>1580</v>
      </c>
      <c r="D161" s="712"/>
      <c r="E161" s="787" t="s">
        <v>97</v>
      </c>
      <c r="F161" s="68">
        <v>2.0</v>
      </c>
      <c r="G161" s="68">
        <v>2.0</v>
      </c>
      <c r="H161" s="68">
        <v>1.0</v>
      </c>
      <c r="I161" s="788" t="str">
        <f>HYPERLINK("https://d15f34w2p8l1cc.cloudfront.net/hearthstone/903547884842bc9c4ee39a4e96f44f725aed27b45d5730a3eee4c62d978af289.png","Image")</f>
        <v>Image</v>
      </c>
      <c r="J161" s="714">
        <v>4.0</v>
      </c>
      <c r="K161" s="714">
        <v>4.0</v>
      </c>
      <c r="L161" s="714">
        <v>4.0</v>
      </c>
      <c r="M161" s="714">
        <v>4.0</v>
      </c>
      <c r="N161" s="714">
        <v>4.0</v>
      </c>
      <c r="O161" s="714">
        <v>3.0</v>
      </c>
      <c r="P161" s="714">
        <v>5.0</v>
      </c>
      <c r="Q161" s="781"/>
    </row>
    <row r="162" ht="15.75" customHeight="1">
      <c r="B162" s="353"/>
      <c r="C162" s="710" t="s">
        <v>1581</v>
      </c>
      <c r="D162" s="712"/>
      <c r="E162" s="787" t="s">
        <v>97</v>
      </c>
      <c r="F162" s="68">
        <v>2.0</v>
      </c>
      <c r="G162" s="68">
        <v>1.0</v>
      </c>
      <c r="H162" s="68">
        <v>1.0</v>
      </c>
      <c r="I162" s="788" t="str">
        <f>HYPERLINK("https://d15f34w2p8l1cc.cloudfront.net/hearthstone/8aa1a3aec1e83971ad8481f2a7753ded96186f93793c1679e2c66f88d16d8ee9.png","Image")</f>
        <v>Image</v>
      </c>
      <c r="J162" s="714">
        <v>2.0</v>
      </c>
      <c r="K162" s="714">
        <v>2.0</v>
      </c>
      <c r="L162" s="714">
        <v>1.0</v>
      </c>
      <c r="M162" s="714">
        <v>1.0</v>
      </c>
      <c r="N162" s="714">
        <v>3.0</v>
      </c>
      <c r="O162" s="714">
        <v>2.0</v>
      </c>
      <c r="P162" s="714">
        <v>5.0</v>
      </c>
      <c r="Q162" s="781"/>
    </row>
    <row r="163" ht="15.75" customHeight="1">
      <c r="B163" s="353"/>
      <c r="C163" s="710" t="s">
        <v>1582</v>
      </c>
      <c r="D163" s="712" t="s">
        <v>1583</v>
      </c>
      <c r="E163" s="787" t="s">
        <v>71</v>
      </c>
      <c r="F163" s="68"/>
      <c r="G163" s="68"/>
      <c r="H163" s="68">
        <v>1.0</v>
      </c>
      <c r="I163" s="788" t="str">
        <f>HYPERLINK("https://d15f34w2p8l1cc.cloudfront.net/hearthstone/6d9d47a1a94ddfa6ce56470f54cd41fab264a73c1b02cbf530a7e595a1af99e2.png","Image")</f>
        <v>Image</v>
      </c>
      <c r="J163" s="714">
        <v>3.0</v>
      </c>
      <c r="K163" s="714">
        <v>3.0</v>
      </c>
      <c r="L163" s="714">
        <v>3.0</v>
      </c>
      <c r="M163" s="714">
        <v>3.0</v>
      </c>
      <c r="N163" s="714">
        <v>3.0</v>
      </c>
      <c r="O163" s="714">
        <v>3.0</v>
      </c>
      <c r="P163" s="714">
        <v>5.0</v>
      </c>
      <c r="Q163" s="781"/>
    </row>
    <row r="164" ht="15.75" customHeight="1">
      <c r="B164" s="353"/>
      <c r="C164" s="710" t="s">
        <v>1584</v>
      </c>
      <c r="D164" s="712"/>
      <c r="E164" s="787" t="s">
        <v>77</v>
      </c>
      <c r="F164" s="68">
        <v>1.0</v>
      </c>
      <c r="G164" s="68">
        <v>2.0</v>
      </c>
      <c r="H164" s="68">
        <v>2.0</v>
      </c>
      <c r="I164" s="788" t="str">
        <f>HYPERLINK("https://d15f34w2p8l1cc.cloudfront.net/hearthstone/441f4e24839c34ac71ed72d04565fb6495c0e4e39a58c0a947cb2669ea3bc279.png","Image")</f>
        <v>Image</v>
      </c>
      <c r="J164" s="714">
        <v>3.0</v>
      </c>
      <c r="K164" s="714">
        <v>3.0</v>
      </c>
      <c r="L164" s="714">
        <v>3.0</v>
      </c>
      <c r="M164" s="714">
        <v>3.0</v>
      </c>
      <c r="N164" s="714">
        <v>3.0</v>
      </c>
      <c r="O164" s="714">
        <v>3.0</v>
      </c>
      <c r="P164" s="714">
        <v>5.0</v>
      </c>
      <c r="Q164" s="781"/>
    </row>
    <row r="165" ht="15.75" customHeight="1">
      <c r="B165" s="353"/>
      <c r="C165" s="729" t="s">
        <v>1585</v>
      </c>
      <c r="D165" s="731"/>
      <c r="E165" s="789" t="s">
        <v>71</v>
      </c>
      <c r="F165" s="557"/>
      <c r="G165" s="557"/>
      <c r="H165" s="557">
        <v>5.0</v>
      </c>
      <c r="I165" s="790" t="str">
        <f>HYPERLINK("https://d15f34w2p8l1cc.cloudfront.net/hearthstone/82894b1559f725d8c7247c6f1607fd805e987954854ce8a0eb72ea8bbedc7297.png","Image")</f>
        <v>Image</v>
      </c>
      <c r="J165" s="714">
        <v>4.0</v>
      </c>
      <c r="K165" s="714">
        <v>4.0</v>
      </c>
      <c r="L165" s="714">
        <v>5.0</v>
      </c>
      <c r="M165" s="714">
        <v>4.0</v>
      </c>
      <c r="N165" s="714">
        <v>3.0</v>
      </c>
      <c r="O165" s="714">
        <v>3.0</v>
      </c>
      <c r="P165" s="714">
        <v>5.0</v>
      </c>
      <c r="Q165" s="781"/>
    </row>
    <row r="166" ht="15.75" customHeight="1">
      <c r="B166" s="641"/>
      <c r="C166" s="710" t="s">
        <v>1586</v>
      </c>
      <c r="D166" s="712"/>
      <c r="E166" s="787" t="s">
        <v>71</v>
      </c>
      <c r="F166" s="68"/>
      <c r="G166" s="68"/>
      <c r="H166" s="68">
        <v>2.0</v>
      </c>
      <c r="I166" s="788" t="str">
        <f>HYPERLINK("https://d15f34w2p8l1cc.cloudfront.net/hearthstone/ce20f4e55c3f402669e4fd0d355897db3e542a647883446d2ba830d786acc9b0.png","Image")</f>
        <v>Image</v>
      </c>
      <c r="J166" s="714">
        <v>4.0</v>
      </c>
      <c r="K166" s="714">
        <v>4.0</v>
      </c>
      <c r="L166" s="714">
        <v>4.0</v>
      </c>
      <c r="M166" s="714">
        <v>4.0</v>
      </c>
      <c r="N166" s="714">
        <v>3.0</v>
      </c>
      <c r="O166" s="714">
        <v>1.0</v>
      </c>
      <c r="P166" s="714">
        <v>5.0</v>
      </c>
      <c r="Q166" s="781"/>
    </row>
    <row r="167" ht="15.75" customHeight="1">
      <c r="B167" s="353"/>
      <c r="C167" s="710" t="s">
        <v>1587</v>
      </c>
      <c r="D167" s="712"/>
      <c r="E167" s="787" t="s">
        <v>71</v>
      </c>
      <c r="F167" s="68"/>
      <c r="G167" s="68"/>
      <c r="H167" s="68">
        <v>2.0</v>
      </c>
      <c r="I167" s="788" t="str">
        <f>HYPERLINK("https://d15f34w2p8l1cc.cloudfront.net/hearthstone/11864205fc361798535cea313146cd8caff3ab805580c1f0bc9a10000978a6a6.png","Image")</f>
        <v>Image</v>
      </c>
      <c r="J167" s="714">
        <v>3.0</v>
      </c>
      <c r="K167" s="714">
        <v>3.0</v>
      </c>
      <c r="L167" s="714">
        <v>3.0</v>
      </c>
      <c r="M167" s="714">
        <v>2.0</v>
      </c>
      <c r="N167" s="714">
        <v>2.0</v>
      </c>
      <c r="O167" s="714">
        <v>4.0</v>
      </c>
      <c r="P167" s="714">
        <v>5.0</v>
      </c>
      <c r="Q167" s="781"/>
    </row>
    <row r="168" ht="15.75" customHeight="1">
      <c r="B168" s="353"/>
      <c r="C168" s="710" t="s">
        <v>1588</v>
      </c>
      <c r="D168" s="712" t="s">
        <v>1583</v>
      </c>
      <c r="E168" s="787"/>
      <c r="F168" s="68">
        <v>5.0</v>
      </c>
      <c r="G168" s="68">
        <v>3.0</v>
      </c>
      <c r="H168" s="68">
        <v>4.0</v>
      </c>
      <c r="I168" s="788" t="str">
        <f>HYPERLINK("https://d15f34w2p8l1cc.cloudfront.net/hearthstone/8df5ad361da1ee20aa2642bbaa67d851614aa9b6e3b320b8e12fd36bc4ac635d.png","Image")</f>
        <v>Image</v>
      </c>
      <c r="J168" s="714">
        <v>2.0</v>
      </c>
      <c r="K168" s="714">
        <v>3.0</v>
      </c>
      <c r="L168" s="714">
        <v>4.0</v>
      </c>
      <c r="M168" s="714">
        <v>3.0</v>
      </c>
      <c r="N168" s="714">
        <v>3.0</v>
      </c>
      <c r="O168" s="714">
        <v>3.0</v>
      </c>
      <c r="P168" s="714">
        <v>5.0</v>
      </c>
      <c r="Q168" s="781"/>
    </row>
    <row r="169" ht="15.75" customHeight="1">
      <c r="B169" s="353"/>
      <c r="C169" s="710" t="s">
        <v>1589</v>
      </c>
      <c r="D169" s="712"/>
      <c r="E169" s="787"/>
      <c r="F169" s="68">
        <v>4.0</v>
      </c>
      <c r="G169" s="68">
        <v>4.0</v>
      </c>
      <c r="H169" s="68">
        <v>4.0</v>
      </c>
      <c r="I169" s="788" t="str">
        <f>HYPERLINK("https://d15f34w2p8l1cc.cloudfront.net/hearthstone/ee6b671fd7c8c4a26490172684a855fb996bb25b0f7d62391a93863e93968a77.png","Image")</f>
        <v>Image</v>
      </c>
      <c r="J169" s="714">
        <v>2.0</v>
      </c>
      <c r="K169" s="714">
        <v>2.0</v>
      </c>
      <c r="L169" s="714">
        <v>3.0</v>
      </c>
      <c r="M169" s="714">
        <v>3.0</v>
      </c>
      <c r="N169" s="714">
        <v>4.0</v>
      </c>
      <c r="O169" s="714">
        <v>4.0</v>
      </c>
      <c r="P169" s="714">
        <v>5.0</v>
      </c>
      <c r="Q169" s="307"/>
    </row>
    <row r="170" ht="15.75" customHeight="1">
      <c r="B170" s="353"/>
      <c r="C170" s="710" t="s">
        <v>1590</v>
      </c>
      <c r="D170" s="712"/>
      <c r="E170" s="787" t="s">
        <v>71</v>
      </c>
      <c r="F170" s="68"/>
      <c r="G170" s="68"/>
      <c r="H170" s="68">
        <v>4.0</v>
      </c>
      <c r="I170" s="788" t="str">
        <f>HYPERLINK("https://d15f34w2p8l1cc.cloudfront.net/hearthstone/f98d9a4e11ecaac6f7c4ac1b20c6ec984d6f25a7fe60640fcb8d042bce1e3969.png","Image")</f>
        <v>Image</v>
      </c>
      <c r="J170" s="714">
        <v>2.0</v>
      </c>
      <c r="K170" s="714">
        <v>2.0</v>
      </c>
      <c r="L170" s="714">
        <v>1.0</v>
      </c>
      <c r="M170" s="714">
        <v>2.0</v>
      </c>
      <c r="N170" s="714">
        <v>2.0</v>
      </c>
      <c r="O170" s="714">
        <v>1.0</v>
      </c>
      <c r="P170" s="714">
        <v>5.0</v>
      </c>
      <c r="Q170" s="781"/>
    </row>
    <row r="171" ht="15.75" customHeight="1">
      <c r="B171" s="353"/>
      <c r="C171" s="729" t="s">
        <v>1591</v>
      </c>
      <c r="D171" s="731"/>
      <c r="E171" s="789" t="s">
        <v>97</v>
      </c>
      <c r="F171" s="557">
        <v>5.0</v>
      </c>
      <c r="G171" s="557">
        <v>10.0</v>
      </c>
      <c r="H171" s="557">
        <v>8.0</v>
      </c>
      <c r="I171" s="790" t="str">
        <f>HYPERLINK("https://d15f34w2p8l1cc.cloudfront.net/hearthstone/9cdb339a3181ed252cf85965a38d0168b85b806f671cb62edc704dd4500d8e3b.png","Image")</f>
        <v>Image</v>
      </c>
      <c r="J171" s="714">
        <v>4.0</v>
      </c>
      <c r="K171" s="714">
        <v>4.0</v>
      </c>
      <c r="L171" s="714">
        <v>4.0</v>
      </c>
      <c r="M171" s="714">
        <v>2.0</v>
      </c>
      <c r="N171" s="714">
        <v>4.0</v>
      </c>
      <c r="O171" s="714">
        <v>4.0</v>
      </c>
      <c r="P171" s="714">
        <v>5.0</v>
      </c>
      <c r="Q171" s="781"/>
    </row>
    <row r="172" ht="15.75" customHeight="1">
      <c r="B172" s="800"/>
      <c r="C172" s="710" t="s">
        <v>1592</v>
      </c>
      <c r="D172" s="712"/>
      <c r="E172" s="787"/>
      <c r="F172" s="68">
        <v>3.0</v>
      </c>
      <c r="G172" s="68">
        <v>1.0</v>
      </c>
      <c r="H172" s="68">
        <v>3.0</v>
      </c>
      <c r="I172" s="788" t="str">
        <f>HYPERLINK("https://d15f34w2p8l1cc.cloudfront.net/hearthstone/da2460db00e04ad70e417a087246a1a8037823259059f1f648ab96e58cd96929.png","Image")</f>
        <v>Image</v>
      </c>
      <c r="J172" s="714">
        <v>2.0</v>
      </c>
      <c r="K172" s="714">
        <v>2.0</v>
      </c>
      <c r="L172" s="714">
        <v>2.0</v>
      </c>
      <c r="M172" s="714">
        <v>2.0</v>
      </c>
      <c r="N172" s="714">
        <v>1.0</v>
      </c>
      <c r="O172" s="714">
        <v>2.0</v>
      </c>
      <c r="P172" s="714">
        <v>5.0</v>
      </c>
      <c r="Q172" s="781"/>
    </row>
    <row r="173" ht="15.75" customHeight="1">
      <c r="B173" s="353"/>
      <c r="C173" s="710" t="s">
        <v>1593</v>
      </c>
      <c r="D173" s="712" t="s">
        <v>1583</v>
      </c>
      <c r="E173" s="787" t="s">
        <v>71</v>
      </c>
      <c r="F173" s="68"/>
      <c r="G173" s="68"/>
      <c r="H173" s="68">
        <v>3.0</v>
      </c>
      <c r="I173" s="788" t="str">
        <f>HYPERLINK("https://d15f34w2p8l1cc.cloudfront.net/hearthstone/4c44f43dea91b1dbe40ea614c27acdd49947dc6a77ba7b92751437201f1102f1.png","Image")</f>
        <v>Image</v>
      </c>
      <c r="J173" s="714">
        <v>4.0</v>
      </c>
      <c r="K173" s="714">
        <v>4.0</v>
      </c>
      <c r="L173" s="714">
        <v>4.0</v>
      </c>
      <c r="M173" s="714">
        <v>4.0</v>
      </c>
      <c r="N173" s="714">
        <v>4.0</v>
      </c>
      <c r="O173" s="714">
        <v>4.0</v>
      </c>
      <c r="P173" s="714">
        <v>5.0</v>
      </c>
      <c r="Q173" s="781"/>
    </row>
    <row r="174" ht="15.75" customHeight="1">
      <c r="B174" s="353"/>
      <c r="C174" s="710" t="s">
        <v>1594</v>
      </c>
      <c r="D174" s="712"/>
      <c r="E174" s="787" t="s">
        <v>97</v>
      </c>
      <c r="F174" s="68">
        <v>2.0</v>
      </c>
      <c r="G174" s="68">
        <v>6.0</v>
      </c>
      <c r="H174" s="68">
        <v>5.0</v>
      </c>
      <c r="I174" s="788" t="str">
        <f>HYPERLINK("https://d15f34w2p8l1cc.cloudfront.net/hearthstone/2bed42834e5866abf4533908382616ad38dd32a7a2f1a366e018fa27e111da39.png","Image")</f>
        <v>Image</v>
      </c>
      <c r="J174" s="714">
        <v>1.0</v>
      </c>
      <c r="K174" s="714">
        <v>2.0</v>
      </c>
      <c r="L174" s="714">
        <v>3.0</v>
      </c>
      <c r="M174" s="714">
        <v>2.0</v>
      </c>
      <c r="N174" s="714">
        <v>1.0</v>
      </c>
      <c r="O174" s="714">
        <v>3.0</v>
      </c>
      <c r="P174" s="714">
        <v>5.0</v>
      </c>
      <c r="Q174" s="781"/>
    </row>
    <row r="175" ht="15.75" customHeight="1">
      <c r="B175" s="353"/>
      <c r="C175" s="729" t="s">
        <v>1595</v>
      </c>
      <c r="D175" s="731"/>
      <c r="E175" s="789" t="s">
        <v>77</v>
      </c>
      <c r="F175" s="557">
        <v>4.0</v>
      </c>
      <c r="G175" s="557">
        <v>3.0</v>
      </c>
      <c r="H175" s="557">
        <v>7.0</v>
      </c>
      <c r="I175" s="790" t="str">
        <f>HYPERLINK("https://d15f34w2p8l1cc.cloudfront.net/hearthstone/2a06c19eaaf734a04ee1d2d5b9522e3cf7090f573b22504d6abace011cc272a7.png","Image")</f>
        <v>Image</v>
      </c>
      <c r="J175" s="714">
        <v>2.0</v>
      </c>
      <c r="K175" s="714">
        <v>2.0</v>
      </c>
      <c r="L175" s="714">
        <v>3.0</v>
      </c>
      <c r="M175" s="714">
        <v>2.0</v>
      </c>
      <c r="N175" s="714">
        <v>1.0</v>
      </c>
      <c r="O175" s="714">
        <v>2.0</v>
      </c>
      <c r="P175" s="714">
        <v>5.0</v>
      </c>
      <c r="Q175" s="781"/>
    </row>
    <row r="176" ht="15.75" customHeight="1">
      <c r="B176" s="801"/>
      <c r="C176" s="710" t="s">
        <v>1596</v>
      </c>
      <c r="D176" s="712"/>
      <c r="E176" s="787"/>
      <c r="F176" s="68">
        <v>3.0</v>
      </c>
      <c r="G176" s="68">
        <v>2.0</v>
      </c>
      <c r="H176" s="68">
        <v>3.0</v>
      </c>
      <c r="I176" s="788" t="str">
        <f>HYPERLINK("https://d15f34w2p8l1cc.cloudfront.net/hearthstone/9ca8ac81382a66bc72489d36cb630d6c6901e4a759c229b68dcc56f58e4dc103.png","Image")</f>
        <v>Image</v>
      </c>
      <c r="J176" s="714">
        <v>3.0</v>
      </c>
      <c r="K176" s="714">
        <v>3.0</v>
      </c>
      <c r="L176" s="714">
        <v>2.0</v>
      </c>
      <c r="M176" s="714">
        <v>3.0</v>
      </c>
      <c r="N176" s="714">
        <v>3.0</v>
      </c>
      <c r="O176" s="714">
        <v>3.0</v>
      </c>
      <c r="P176" s="714">
        <v>5.0</v>
      </c>
      <c r="Q176" s="781"/>
    </row>
    <row r="177" ht="15.75" customHeight="1">
      <c r="B177" s="624"/>
      <c r="C177" s="710" t="s">
        <v>1597</v>
      </c>
      <c r="D177" s="712"/>
      <c r="E177" s="787" t="s">
        <v>43</v>
      </c>
      <c r="F177" s="68">
        <v>8.0</v>
      </c>
      <c r="G177" s="68">
        <v>8.0</v>
      </c>
      <c r="H177" s="68">
        <v>9.0</v>
      </c>
      <c r="I177" s="788" t="str">
        <f>HYPERLINK("https://d15f34w2p8l1cc.cloudfront.net/hearthstone/7dfd134a46d951eb43ae9694d60ee3a649578c570ba183f63ad4368f4aef7b31.png","Image")</f>
        <v>Image</v>
      </c>
      <c r="J177" s="738">
        <v>4.0</v>
      </c>
      <c r="K177" s="772">
        <v>3.0</v>
      </c>
      <c r="L177" s="772">
        <v>3.0</v>
      </c>
      <c r="M177" s="772">
        <v>1.0</v>
      </c>
      <c r="N177" s="772">
        <v>1.0</v>
      </c>
      <c r="O177" s="772">
        <v>4.0</v>
      </c>
      <c r="P177" s="772">
        <v>5.0</v>
      </c>
      <c r="Q177" s="781"/>
    </row>
    <row r="178" ht="15.75" customHeight="1">
      <c r="A178" s="716"/>
      <c r="B178" s="609"/>
      <c r="C178" s="136"/>
      <c r="D178" s="782"/>
      <c r="E178" s="783"/>
      <c r="F178" s="85"/>
      <c r="G178" s="85"/>
      <c r="H178" s="85"/>
      <c r="I178" s="700"/>
      <c r="J178" s="702" t="s">
        <v>2</v>
      </c>
      <c r="K178" s="702" t="s">
        <v>426</v>
      </c>
      <c r="L178" s="702" t="s">
        <v>1</v>
      </c>
      <c r="M178" s="702" t="s">
        <v>4</v>
      </c>
      <c r="N178" s="702" t="s">
        <v>208</v>
      </c>
      <c r="O178" s="702" t="s">
        <v>3</v>
      </c>
      <c r="P178" s="702" t="s">
        <v>427</v>
      </c>
      <c r="Q178" s="307"/>
    </row>
    <row r="179" ht="15.75" customHeight="1">
      <c r="A179" s="739" t="s">
        <v>1598</v>
      </c>
      <c r="B179" s="640"/>
      <c r="C179" s="705" t="s">
        <v>1599</v>
      </c>
      <c r="D179" s="707" t="s">
        <v>1583</v>
      </c>
      <c r="E179" s="785"/>
      <c r="F179" s="185">
        <v>2.0</v>
      </c>
      <c r="G179" s="185">
        <v>1.0</v>
      </c>
      <c r="H179" s="185">
        <v>1.0</v>
      </c>
      <c r="I179" s="786" t="str">
        <f>HYPERLINK("https://d15f34w2p8l1cc.cloudfront.net/hearthstone/465537d7c7a8b17b2d63d8ace737e717aa38e771b6a1adc8958b95278c1a3bba.png","Image")</f>
        <v>Image</v>
      </c>
      <c r="J179" s="802">
        <v>4.0</v>
      </c>
      <c r="K179" s="798">
        <v>4.0</v>
      </c>
      <c r="L179" s="798">
        <v>4.0</v>
      </c>
      <c r="M179" s="798">
        <v>4.0</v>
      </c>
      <c r="N179" s="798">
        <v>5.0</v>
      </c>
      <c r="O179" s="798">
        <v>4.0</v>
      </c>
      <c r="P179" s="798">
        <v>5.0</v>
      </c>
      <c r="Q179" s="781"/>
    </row>
    <row r="180" ht="15.75" customHeight="1">
      <c r="B180" s="353"/>
      <c r="C180" s="710" t="s">
        <v>1600</v>
      </c>
      <c r="D180" s="712"/>
      <c r="E180" s="787" t="s">
        <v>71</v>
      </c>
      <c r="F180" s="68"/>
      <c r="G180" s="68"/>
      <c r="H180" s="68">
        <v>2.0</v>
      </c>
      <c r="I180" s="788" t="str">
        <f>HYPERLINK("https://d15f34w2p8l1cc.cloudfront.net/hearthstone/d5ee3b62707bc6c748bb7b65f05ef5412d21b7ccd1eb20e24a9e14d98a73851a.png","Image")</f>
        <v>Image</v>
      </c>
      <c r="J180" s="714">
        <v>2.0</v>
      </c>
      <c r="K180" s="714">
        <v>2.0</v>
      </c>
      <c r="L180" s="714">
        <v>2.0</v>
      </c>
      <c r="M180" s="714">
        <v>2.0</v>
      </c>
      <c r="N180" s="714">
        <v>2.0</v>
      </c>
      <c r="O180" s="714">
        <v>3.0</v>
      </c>
      <c r="P180" s="714">
        <v>5.0</v>
      </c>
      <c r="Q180" s="781"/>
    </row>
    <row r="181" ht="15.75" customHeight="1">
      <c r="B181" s="353"/>
      <c r="C181" s="710" t="s">
        <v>1601</v>
      </c>
      <c r="D181" s="712"/>
      <c r="E181" s="787"/>
      <c r="F181" s="68">
        <v>2.0</v>
      </c>
      <c r="G181" s="68">
        <v>2.0</v>
      </c>
      <c r="H181" s="68">
        <v>2.0</v>
      </c>
      <c r="I181" s="788" t="str">
        <f>HYPERLINK("https://d15f34w2p8l1cc.cloudfront.net/hearthstone/b1c8987a4b8868dc8f2d5b9bd8ea13a0b935641fd57bcfce64500eb7b2cba575.png","Image")</f>
        <v>Image</v>
      </c>
      <c r="J181" s="714">
        <v>2.0</v>
      </c>
      <c r="K181" s="714">
        <v>1.0</v>
      </c>
      <c r="L181" s="714">
        <v>1.0</v>
      </c>
      <c r="M181" s="714">
        <v>2.0</v>
      </c>
      <c r="N181" s="714">
        <v>2.0</v>
      </c>
      <c r="O181" s="714">
        <v>1.0</v>
      </c>
      <c r="P181" s="714">
        <v>5.0</v>
      </c>
      <c r="Q181" s="781"/>
    </row>
    <row r="182" ht="15.75" customHeight="1">
      <c r="B182" s="353"/>
      <c r="C182" s="710" t="s">
        <v>1602</v>
      </c>
      <c r="D182" s="712" t="s">
        <v>1583</v>
      </c>
      <c r="E182" s="787" t="s">
        <v>71</v>
      </c>
      <c r="F182" s="68"/>
      <c r="G182" s="68"/>
      <c r="H182" s="68">
        <v>2.0</v>
      </c>
      <c r="I182" s="788" t="str">
        <f>HYPERLINK("https://d15f34w2p8l1cc.cloudfront.net/hearthstone/69bd9c67387e4306078253e4ad20abcc307a264275258e5bf83dfb4b4c0fe6e2.png","Image")</f>
        <v>Image</v>
      </c>
      <c r="J182" s="714">
        <v>3.0</v>
      </c>
      <c r="K182" s="714">
        <v>3.0</v>
      </c>
      <c r="L182" s="714">
        <v>2.0</v>
      </c>
      <c r="M182" s="714">
        <v>5.0</v>
      </c>
      <c r="N182" s="714">
        <v>5.0</v>
      </c>
      <c r="O182" s="714">
        <v>2.0</v>
      </c>
      <c r="P182" s="714">
        <v>5.0</v>
      </c>
      <c r="Q182" s="781"/>
    </row>
    <row r="183" ht="15.75" customHeight="1">
      <c r="B183" s="353"/>
      <c r="C183" s="710" t="s">
        <v>1603</v>
      </c>
      <c r="D183" s="712"/>
      <c r="E183" s="787"/>
      <c r="F183" s="68">
        <v>3.0</v>
      </c>
      <c r="G183" s="68">
        <v>5.0</v>
      </c>
      <c r="H183" s="68">
        <v>4.0</v>
      </c>
      <c r="I183" s="788" t="str">
        <f>HYPERLINK("https://d15f34w2p8l1cc.cloudfront.net/hearthstone/a01f4f16b85ef44d619eac17b5833eae7e50c9a322e2b1529f7662423eb65a72.png","Image")</f>
        <v>Image</v>
      </c>
      <c r="J183" s="714">
        <v>3.0</v>
      </c>
      <c r="K183" s="714">
        <v>3.0</v>
      </c>
      <c r="L183" s="714">
        <v>3.0</v>
      </c>
      <c r="M183" s="714">
        <v>2.0</v>
      </c>
      <c r="N183" s="714">
        <v>3.0</v>
      </c>
      <c r="O183" s="714">
        <v>3.0</v>
      </c>
      <c r="P183" s="714">
        <v>5.0</v>
      </c>
      <c r="Q183" s="307"/>
    </row>
    <row r="184" ht="15.75" customHeight="1">
      <c r="B184" s="353"/>
      <c r="C184" s="729" t="s">
        <v>1604</v>
      </c>
      <c r="D184" s="731"/>
      <c r="E184" s="789"/>
      <c r="F184" s="557">
        <v>8.0</v>
      </c>
      <c r="G184" s="557">
        <v>3.0</v>
      </c>
      <c r="H184" s="557">
        <v>6.0</v>
      </c>
      <c r="I184" s="790" t="str">
        <f>HYPERLINK("https://d15f34w2p8l1cc.cloudfront.net/hearthstone/6ab588307e7799ebe45041ea0da458cc0ce23bca5fefb2ceecaf43087a42af04.png","Image")</f>
        <v>Image</v>
      </c>
      <c r="J184" s="714">
        <v>1.0</v>
      </c>
      <c r="K184" s="714">
        <v>1.0</v>
      </c>
      <c r="L184" s="714">
        <v>1.0</v>
      </c>
      <c r="M184" s="714">
        <v>1.0</v>
      </c>
      <c r="N184" s="714">
        <v>1.0</v>
      </c>
      <c r="O184" s="714">
        <v>3.0</v>
      </c>
      <c r="P184" s="714">
        <v>5.0</v>
      </c>
      <c r="Q184" s="781"/>
    </row>
    <row r="185" ht="15.75" customHeight="1">
      <c r="B185" s="641"/>
      <c r="C185" s="710" t="s">
        <v>1605</v>
      </c>
      <c r="D185" s="712"/>
      <c r="E185" s="787" t="s">
        <v>51</v>
      </c>
      <c r="F185" s="68">
        <v>3.0</v>
      </c>
      <c r="G185" s="68">
        <v>2.0</v>
      </c>
      <c r="H185" s="68">
        <v>2.0</v>
      </c>
      <c r="I185" s="788" t="str">
        <f>HYPERLINK("https://d15f34w2p8l1cc.cloudfront.net/hearthstone/ffef41da7ef41cbe3966ee155677394af21f82730aa921f89cd8f50ca6c25adf.png","Image")</f>
        <v>Image</v>
      </c>
      <c r="J185" s="714">
        <v>3.0</v>
      </c>
      <c r="K185" s="714">
        <v>3.0</v>
      </c>
      <c r="L185" s="714">
        <v>4.0</v>
      </c>
      <c r="M185" s="714">
        <v>2.0</v>
      </c>
      <c r="N185" s="714">
        <v>2.0</v>
      </c>
      <c r="O185" s="714">
        <v>4.0</v>
      </c>
      <c r="P185" s="714">
        <v>5.0</v>
      </c>
      <c r="Q185" s="781"/>
    </row>
    <row r="186" ht="15.75" customHeight="1">
      <c r="B186" s="353"/>
      <c r="C186" s="710" t="s">
        <v>1606</v>
      </c>
      <c r="D186" s="712" t="s">
        <v>1448</v>
      </c>
      <c r="E186" s="787" t="s">
        <v>97</v>
      </c>
      <c r="F186" s="68">
        <v>10.0</v>
      </c>
      <c r="G186" s="68">
        <v>6.0</v>
      </c>
      <c r="H186" s="68">
        <v>5.0</v>
      </c>
      <c r="I186" s="788" t="str">
        <f>HYPERLINK("https://d15f34w2p8l1cc.cloudfront.net/hearthstone/f5f091f03fd9bf3fa8a631546dc3b5071242be23bba39f6058084cde1804bc96.png","Image")</f>
        <v>Image</v>
      </c>
      <c r="J186" s="714">
        <v>1.0</v>
      </c>
      <c r="K186" s="714">
        <v>1.0</v>
      </c>
      <c r="L186" s="714">
        <v>1.0</v>
      </c>
      <c r="M186" s="714">
        <v>3.0</v>
      </c>
      <c r="N186" s="714">
        <v>1.0</v>
      </c>
      <c r="O186" s="714">
        <v>1.0</v>
      </c>
      <c r="P186" s="714">
        <v>5.0</v>
      </c>
      <c r="Q186" s="781"/>
    </row>
    <row r="187" ht="15.75" customHeight="1">
      <c r="B187" s="353"/>
      <c r="C187" s="710" t="s">
        <v>1607</v>
      </c>
      <c r="D187" s="712" t="s">
        <v>1583</v>
      </c>
      <c r="E187" s="787" t="s">
        <v>71</v>
      </c>
      <c r="F187" s="68"/>
      <c r="G187" s="68"/>
      <c r="H187" s="68">
        <v>5.0</v>
      </c>
      <c r="I187" s="788" t="str">
        <f>HYPERLINK("https://d15f34w2p8l1cc.cloudfront.net/hearthstone/e5ef54f0d9fcb749ccb09edc2faddcacced0f0fa9f24a887e42c19a0c02416c1.png","Image")</f>
        <v>Image</v>
      </c>
      <c r="J187" s="714">
        <v>5.0</v>
      </c>
      <c r="K187" s="714">
        <v>5.0</v>
      </c>
      <c r="L187" s="714">
        <v>5.0</v>
      </c>
      <c r="M187" s="714">
        <v>5.0</v>
      </c>
      <c r="N187" s="714">
        <v>5.0</v>
      </c>
      <c r="O187" s="714">
        <v>4.0</v>
      </c>
      <c r="P187" s="714">
        <v>5.0</v>
      </c>
      <c r="Q187" s="781"/>
    </row>
    <row r="188" ht="15.75" customHeight="1">
      <c r="B188" s="353"/>
      <c r="C188" s="710" t="s">
        <v>1608</v>
      </c>
      <c r="D188" s="712"/>
      <c r="E188" s="787" t="s">
        <v>97</v>
      </c>
      <c r="F188" s="68">
        <v>6.0</v>
      </c>
      <c r="G188" s="68">
        <v>7.0</v>
      </c>
      <c r="H188" s="68">
        <v>7.0</v>
      </c>
      <c r="I188" s="788" t="str">
        <f>HYPERLINK("https://d15f34w2p8l1cc.cloudfront.net/hearthstone/2352183ec00e4946229afdaec584d80c17ea4126b6d8b06f023f9e68a9c56121.png","Image")</f>
        <v>Image</v>
      </c>
      <c r="J188" s="714">
        <v>2.0</v>
      </c>
      <c r="K188" s="714">
        <v>2.0</v>
      </c>
      <c r="L188" s="714">
        <v>4.0</v>
      </c>
      <c r="M188" s="714">
        <v>4.0</v>
      </c>
      <c r="N188" s="714">
        <v>3.0</v>
      </c>
      <c r="O188" s="714">
        <v>4.0</v>
      </c>
      <c r="P188" s="714">
        <v>5.0</v>
      </c>
      <c r="Q188" s="781"/>
    </row>
    <row r="189">
      <c r="B189" s="353"/>
      <c r="C189" s="729" t="s">
        <v>1609</v>
      </c>
      <c r="D189" s="731"/>
      <c r="E189" s="789"/>
      <c r="F189" s="557">
        <v>9.0</v>
      </c>
      <c r="G189" s="557">
        <v>5.0</v>
      </c>
      <c r="H189" s="557">
        <v>8.0</v>
      </c>
      <c r="I189" s="790" t="str">
        <f>HYPERLINK("https://d15f34w2p8l1cc.cloudfront.net/hearthstone/d12bdd705049e7e4fe848ea0ea14aad54d99815cf2dd2f77d97cc22283d07124.png","Image")</f>
        <v>Image</v>
      </c>
      <c r="J189" s="714">
        <v>2.0</v>
      </c>
      <c r="K189" s="714">
        <v>3.0</v>
      </c>
      <c r="L189" s="714">
        <v>4.0</v>
      </c>
      <c r="M189" s="714">
        <v>3.0</v>
      </c>
      <c r="N189" s="714">
        <v>2.0</v>
      </c>
      <c r="O189" s="714">
        <v>3.0</v>
      </c>
      <c r="P189" s="714">
        <v>5.0</v>
      </c>
      <c r="Q189" s="781"/>
    </row>
    <row r="190" ht="15.75" customHeight="1">
      <c r="B190" s="800"/>
      <c r="C190" s="710" t="s">
        <v>1610</v>
      </c>
      <c r="D190" s="712"/>
      <c r="E190" s="787" t="s">
        <v>97</v>
      </c>
      <c r="F190" s="68">
        <v>7.0</v>
      </c>
      <c r="G190" s="68">
        <v>9.0</v>
      </c>
      <c r="H190" s="68">
        <v>9.0</v>
      </c>
      <c r="I190" s="788" t="str">
        <f>HYPERLINK("https://d15f34w2p8l1cc.cloudfront.net/hearthstone/8ab728bc241bc5b5cb90d766e820eb89873921a5381a488320dab1b6d69188b2.png","Image")</f>
        <v>Image</v>
      </c>
      <c r="J190" s="714">
        <v>2.0</v>
      </c>
      <c r="K190" s="714">
        <v>2.0</v>
      </c>
      <c r="L190" s="714">
        <v>2.0</v>
      </c>
      <c r="M190" s="714">
        <v>3.0</v>
      </c>
      <c r="N190" s="714">
        <v>3.0</v>
      </c>
      <c r="O190" s="714">
        <v>3.0</v>
      </c>
      <c r="P190" s="714">
        <v>5.0</v>
      </c>
      <c r="Q190" s="803"/>
    </row>
    <row r="191" ht="15.75" customHeight="1">
      <c r="B191" s="734"/>
      <c r="C191" s="729" t="s">
        <v>1611</v>
      </c>
      <c r="D191" s="731"/>
      <c r="E191" s="789" t="s">
        <v>77</v>
      </c>
      <c r="F191" s="557">
        <v>3.0</v>
      </c>
      <c r="G191" s="557">
        <v>4.0</v>
      </c>
      <c r="H191" s="557">
        <v>5.0</v>
      </c>
      <c r="I191" s="790" t="str">
        <f>HYPERLINK("https://d15f34w2p8l1cc.cloudfront.net/hearthstone/bd4d55eeca1f611702b5bf5ccccf62db21c8291d304a7775feb6ec3d6c19173f.png","Image")</f>
        <v>Image</v>
      </c>
      <c r="J191" s="714">
        <v>2.0</v>
      </c>
      <c r="K191" s="714">
        <v>1.0</v>
      </c>
      <c r="L191" s="714">
        <v>3.0</v>
      </c>
      <c r="M191" s="714">
        <v>1.0</v>
      </c>
      <c r="N191" s="714">
        <v>1.0</v>
      </c>
      <c r="O191" s="714">
        <v>2.0</v>
      </c>
      <c r="P191" s="714">
        <v>5.0</v>
      </c>
      <c r="Q191" s="804"/>
    </row>
    <row r="192" ht="15.75" hidden="1" customHeight="1">
      <c r="B192" s="805"/>
      <c r="C192" s="710" t="s">
        <v>1612</v>
      </c>
      <c r="D192" s="712"/>
      <c r="E192" s="787" t="s">
        <v>1613</v>
      </c>
      <c r="F192" s="68">
        <v>3.0</v>
      </c>
      <c r="G192" s="68">
        <v>5.0</v>
      </c>
      <c r="H192" s="68">
        <v>4.0</v>
      </c>
      <c r="I192" s="788" t="str">
        <f>HYPERLINK("https://d15f34w2p8l1cc.cloudfront.net/hearthstone/509546bed390af1a5d5079def0459b860b9944e1b9c8c496eaca4c26423457c2.png","Image")</f>
        <v>Image</v>
      </c>
      <c r="J192" s="714"/>
      <c r="K192" s="714"/>
      <c r="L192" s="714"/>
      <c r="M192" s="714"/>
      <c r="N192" s="714"/>
      <c r="O192" s="714"/>
      <c r="P192" s="714"/>
      <c r="Q192" s="804"/>
    </row>
    <row r="193" ht="15.75" hidden="1" customHeight="1">
      <c r="B193" s="805"/>
      <c r="C193" s="710" t="s">
        <v>1614</v>
      </c>
      <c r="D193" s="712"/>
      <c r="E193" s="787"/>
      <c r="F193" s="68"/>
      <c r="G193" s="68"/>
      <c r="H193" s="68">
        <v>5.0</v>
      </c>
      <c r="I193" s="788" t="str">
        <f>HYPERLINK("https://d15f34w2p8l1cc.cloudfront.net/hearthstone/d1e92f58477c0de896902c0e906033e336b74f463b83f7e8be51149f0cec1388.png","Image")</f>
        <v>Image</v>
      </c>
      <c r="J193" s="714"/>
      <c r="K193" s="714"/>
      <c r="L193" s="714"/>
      <c r="M193" s="714"/>
      <c r="N193" s="714"/>
      <c r="O193" s="714"/>
      <c r="P193" s="714"/>
      <c r="Q193" s="804"/>
    </row>
    <row r="194" ht="15.75" hidden="1" customHeight="1">
      <c r="B194" s="805"/>
      <c r="C194" s="710"/>
      <c r="D194" s="712"/>
      <c r="E194" s="787"/>
      <c r="F194" s="68"/>
      <c r="G194" s="68"/>
      <c r="H194" s="68"/>
      <c r="I194" s="806"/>
      <c r="J194" s="714"/>
      <c r="K194" s="714"/>
      <c r="L194" s="714"/>
      <c r="M194" s="714"/>
      <c r="N194" s="714"/>
      <c r="O194" s="714"/>
      <c r="P194" s="714"/>
      <c r="Q194" s="807"/>
    </row>
    <row r="195" ht="15.75" hidden="1" customHeight="1">
      <c r="B195" s="805"/>
      <c r="C195" s="710"/>
      <c r="D195" s="712"/>
      <c r="E195" s="787"/>
      <c r="F195" s="68"/>
      <c r="G195" s="68"/>
      <c r="H195" s="68"/>
      <c r="I195" s="806"/>
      <c r="J195" s="714"/>
      <c r="K195" s="714"/>
      <c r="L195" s="714"/>
      <c r="M195" s="714"/>
      <c r="N195" s="714"/>
      <c r="O195" s="714"/>
      <c r="P195" s="714"/>
      <c r="Q195" s="807"/>
    </row>
    <row r="196" ht="15.75" customHeight="1">
      <c r="B196" s="801"/>
      <c r="C196" s="733" t="s">
        <v>1612</v>
      </c>
      <c r="D196" s="712"/>
      <c r="E196" s="787" t="s">
        <v>1613</v>
      </c>
      <c r="F196" s="68">
        <v>3.0</v>
      </c>
      <c r="G196" s="68">
        <v>5.0</v>
      </c>
      <c r="H196" s="68">
        <v>4.0</v>
      </c>
      <c r="I196" s="788" t="str">
        <f>HYPERLINK("https://d15f34w2p8l1cc.cloudfront.net/hearthstone/509546bed390af1a5d5079def0459b860b9944e1b9c8c496eaca4c26423457c2.png","Image")</f>
        <v>Image</v>
      </c>
      <c r="J196" s="714">
        <v>4.0</v>
      </c>
      <c r="K196" s="714">
        <v>5.0</v>
      </c>
      <c r="L196" s="714">
        <v>5.0</v>
      </c>
      <c r="M196" s="714">
        <v>5.0</v>
      </c>
      <c r="N196" s="714">
        <v>4.0</v>
      </c>
      <c r="O196" s="714">
        <v>5.0</v>
      </c>
      <c r="P196" s="714">
        <v>5.0</v>
      </c>
      <c r="Q196" s="803"/>
    </row>
    <row r="197" ht="15.75" customHeight="1">
      <c r="B197" s="355"/>
      <c r="C197" s="808" t="s">
        <v>1614</v>
      </c>
      <c r="D197" s="809"/>
      <c r="E197" s="810" t="s">
        <v>71</v>
      </c>
      <c r="F197" s="202"/>
      <c r="G197" s="202"/>
      <c r="H197" s="202">
        <v>5.0</v>
      </c>
      <c r="I197" s="811" t="str">
        <f>HYPERLINK("https://d15f34w2p8l1cc.cloudfront.net/hearthstone/d1e92f58477c0de896902c0e906033e336b74f463b83f7e8be51149f0cec1388.png","Image")</f>
        <v>Image</v>
      </c>
      <c r="J197" s="812">
        <v>4.0</v>
      </c>
      <c r="K197" s="813">
        <v>5.0</v>
      </c>
      <c r="L197" s="813">
        <v>4.0</v>
      </c>
      <c r="M197" s="813">
        <v>5.0</v>
      </c>
      <c r="N197" s="813">
        <v>5.0</v>
      </c>
      <c r="O197" s="813">
        <v>3.0</v>
      </c>
      <c r="P197" s="813">
        <v>5.0</v>
      </c>
      <c r="Q197" s="804"/>
    </row>
    <row r="198" ht="15.75" customHeight="1">
      <c r="A198" s="307"/>
      <c r="B198" s="814"/>
      <c r="C198" s="815"/>
      <c r="D198" s="814"/>
      <c r="E198" s="814"/>
      <c r="F198" s="815"/>
      <c r="G198" s="816"/>
      <c r="H198" s="814"/>
      <c r="I198" s="814"/>
      <c r="J198" s="814"/>
      <c r="K198" s="814"/>
      <c r="L198" s="814"/>
      <c r="M198" s="814"/>
      <c r="N198" s="814"/>
      <c r="O198" s="814"/>
      <c r="P198" s="814"/>
      <c r="Q198" s="307"/>
    </row>
    <row r="199" ht="15.75" customHeight="1">
      <c r="A199" s="716"/>
      <c r="B199" s="609"/>
      <c r="C199" s="740"/>
      <c r="D199" s="741"/>
      <c r="E199" s="742"/>
      <c r="F199" s="743"/>
      <c r="G199" s="743"/>
      <c r="H199" s="743"/>
      <c r="I199" s="744"/>
      <c r="J199" s="745" t="s">
        <v>2</v>
      </c>
      <c r="K199" s="745" t="s">
        <v>426</v>
      </c>
      <c r="L199" s="745" t="s">
        <v>1</v>
      </c>
      <c r="M199" s="701" t="s">
        <v>4</v>
      </c>
      <c r="N199" s="745" t="s">
        <v>208</v>
      </c>
      <c r="O199" s="745" t="s">
        <v>3</v>
      </c>
      <c r="P199" s="701" t="s">
        <v>427</v>
      </c>
      <c r="Q199" s="804"/>
    </row>
    <row r="200" ht="15.75" customHeight="1">
      <c r="A200" s="328"/>
      <c r="B200" s="307"/>
      <c r="C200" s="307"/>
      <c r="D200" s="747"/>
      <c r="E200" s="748"/>
      <c r="F200" s="749"/>
      <c r="G200" s="749"/>
      <c r="H200" s="749"/>
      <c r="I200" s="751" t="s">
        <v>1615</v>
      </c>
      <c r="J200" s="752">
        <f>AVERAGE(J6:J24,J26:J36,J39:J48,J51:J60,J63:J72,J75:J84,J87:J96,J99:J108,J111:J120,J123:J132,J135:J144,J147:J155,J158:J177,J179:J197)</f>
        <v>2.451219512</v>
      </c>
      <c r="K200" s="752">
        <f>AVERAGE(K6:K24,K26:K36,K39:K48,K51:K60,K63:K72,K75:K84,K87:K96,K99:K108,K111:K120,K123:K132,K135:K144,K147:K154,K158:K177,K179:K197)</f>
        <v>2.429447853</v>
      </c>
      <c r="L200" s="752">
        <f t="shared" ref="L200:P200" si="1">AVERAGE(L6:L24,L26:L36,L39:L48,L51:L60,L63:L72,L75:L84,L87:L96,L99:L108,L111:L120,L123:L132,L135:L144,L147:L155,L158:L177,L179:L197)</f>
        <v>2.615853659</v>
      </c>
      <c r="M200" s="752">
        <f t="shared" si="1"/>
        <v>2.573170732</v>
      </c>
      <c r="N200" s="752">
        <f t="shared" si="1"/>
        <v>2.225609756</v>
      </c>
      <c r="O200" s="752">
        <f t="shared" si="1"/>
        <v>2.701219512</v>
      </c>
      <c r="P200" s="752">
        <f t="shared" si="1"/>
        <v>2.097560976</v>
      </c>
      <c r="Q200" s="804"/>
    </row>
    <row r="201" ht="27.75" customHeight="1">
      <c r="A201" s="307"/>
      <c r="B201" s="307"/>
      <c r="C201" s="747"/>
      <c r="D201" s="747"/>
      <c r="E201" s="748"/>
      <c r="F201" s="307"/>
      <c r="G201" s="307"/>
      <c r="H201" s="307"/>
      <c r="I201" s="750" t="s">
        <v>205</v>
      </c>
      <c r="J201" s="752">
        <f t="shared" ref="J201:P201" si="2">STDEV(J7:J25,J27:J37,J40:J49,J52:J61,J64:J73,J76:J85,J88:J97,J100:J109,J112:J121,J124:J133,J136:J145,J148:J156,J159:J178,J180:J198)</f>
        <v>1.163385484</v>
      </c>
      <c r="K201" s="752">
        <f t="shared" si="2"/>
        <v>1.218510653</v>
      </c>
      <c r="L201" s="752">
        <f t="shared" si="2"/>
        <v>1.306800011</v>
      </c>
      <c r="M201" s="752">
        <f t="shared" si="2"/>
        <v>1.219343724</v>
      </c>
      <c r="N201" s="752">
        <f t="shared" si="2"/>
        <v>1.241554249</v>
      </c>
      <c r="O201" s="752">
        <f t="shared" si="2"/>
        <v>1.101474027</v>
      </c>
      <c r="P201" s="752">
        <f t="shared" si="2"/>
        <v>1.811223289</v>
      </c>
      <c r="Q201" s="807"/>
    </row>
  </sheetData>
  <mergeCells count="75">
    <mergeCell ref="B87:B89"/>
    <mergeCell ref="B90:B92"/>
    <mergeCell ref="B93:B94"/>
    <mergeCell ref="B95:B96"/>
    <mergeCell ref="C97:I97"/>
    <mergeCell ref="B99:B101"/>
    <mergeCell ref="B102:B104"/>
    <mergeCell ref="B105:B106"/>
    <mergeCell ref="B107:B108"/>
    <mergeCell ref="C109:I109"/>
    <mergeCell ref="B111:B113"/>
    <mergeCell ref="B114:B116"/>
    <mergeCell ref="B117:B118"/>
    <mergeCell ref="C121:I121"/>
    <mergeCell ref="B158:B165"/>
    <mergeCell ref="B166:B171"/>
    <mergeCell ref="B172:B175"/>
    <mergeCell ref="B176:B177"/>
    <mergeCell ref="A179:A197"/>
    <mergeCell ref="B179:B184"/>
    <mergeCell ref="B185:B189"/>
    <mergeCell ref="B190:B191"/>
    <mergeCell ref="B196:B197"/>
    <mergeCell ref="B138:B140"/>
    <mergeCell ref="B141:B142"/>
    <mergeCell ref="B143:B144"/>
    <mergeCell ref="C145:I145"/>
    <mergeCell ref="A147:A155"/>
    <mergeCell ref="B147:B156"/>
    <mergeCell ref="A158:A177"/>
    <mergeCell ref="J1:J3"/>
    <mergeCell ref="K1:K3"/>
    <mergeCell ref="L1:L3"/>
    <mergeCell ref="M1:M3"/>
    <mergeCell ref="N1:N3"/>
    <mergeCell ref="O1:O3"/>
    <mergeCell ref="P1:P3"/>
    <mergeCell ref="J5:P5"/>
    <mergeCell ref="D1:F1"/>
    <mergeCell ref="A2:C2"/>
    <mergeCell ref="D2:F2"/>
    <mergeCell ref="G2:I2"/>
    <mergeCell ref="C4:I4"/>
    <mergeCell ref="B6:B24"/>
    <mergeCell ref="B26:B28"/>
    <mergeCell ref="B29:B31"/>
    <mergeCell ref="B32:B36"/>
    <mergeCell ref="C37:I37"/>
    <mergeCell ref="B39:B41"/>
    <mergeCell ref="B42:B44"/>
    <mergeCell ref="B45:B46"/>
    <mergeCell ref="C49:I49"/>
    <mergeCell ref="C61:I61"/>
    <mergeCell ref="B69:B70"/>
    <mergeCell ref="B71:B72"/>
    <mergeCell ref="C73:I73"/>
    <mergeCell ref="B75:B77"/>
    <mergeCell ref="B78:B80"/>
    <mergeCell ref="B81:B82"/>
    <mergeCell ref="B83:B84"/>
    <mergeCell ref="C85:I85"/>
    <mergeCell ref="B47:B48"/>
    <mergeCell ref="B51:B53"/>
    <mergeCell ref="B54:B56"/>
    <mergeCell ref="B57:B58"/>
    <mergeCell ref="B59:B60"/>
    <mergeCell ref="B63:B65"/>
    <mergeCell ref="B66:B68"/>
    <mergeCell ref="B119:B120"/>
    <mergeCell ref="B123:B125"/>
    <mergeCell ref="B126:B128"/>
    <mergeCell ref="B129:B130"/>
    <mergeCell ref="B131:B132"/>
    <mergeCell ref="C133:I133"/>
    <mergeCell ref="B135:B137"/>
  </mergeCells>
  <conditionalFormatting sqref="J6:P24 J26:P36 J39:P48 J51:P60 J63:J70 K63:P72 J72 J75:P84 J87:P96 J99:P108 J111:P120 J123:P132 J135:P144 J147:J156 K147:K154 L147:P156 K156 J158:P177 J179:P197">
    <cfRule type="cellIs" dxfId="0" priority="1" operator="equal">
      <formula>1</formula>
    </cfRule>
  </conditionalFormatting>
  <conditionalFormatting sqref="J6:P24 J26:P36 J39:P48 J51:P60 J63:J70 K63:P72 J72 J75:P84 J87:P96 J99:P108 J111:P120 J123:P132 J135:P144 J147:J156 K147:K154 L147:P156 K156 J158:P177 J179:P197">
    <cfRule type="cellIs" dxfId="1" priority="2" operator="equal">
      <formula>2</formula>
    </cfRule>
  </conditionalFormatting>
  <conditionalFormatting sqref="J6:P24 J26:P36 J39:P48 J51:P60 J63:J70 K63:P72 J72 J75:P84 J87:P96 J99:P108 J111:P120 J123:P132 J135:P144 J147:J156 K147:K154 L147:P156 K156 J158:P177 J179:P197">
    <cfRule type="cellIs" dxfId="2" priority="3" operator="equal">
      <formula>5</formula>
    </cfRule>
  </conditionalFormatting>
  <conditionalFormatting sqref="J6:P24 J26:P36 J39:P48 J51:P60 J63:J70 K63:P72 J72 J75:P84 J87:P96 J99:P108 J111:P120 J123:P132 J135:P144 J147:P156 J158:P177 J179:P197">
    <cfRule type="cellIs" dxfId="3" priority="4" operator="equal">
      <formula>3</formula>
    </cfRule>
  </conditionalFormatting>
  <conditionalFormatting sqref="J6:P24 J26:P36 J39:P48 J51:P60 J63:J70 K63:P72 J72 J75:P84 J87:P96 J99:P108 J111:P120 J123:P132 J135:P144 J147:J156 K147:K154 L147:P156 K156 J158:P177 J179:P197">
    <cfRule type="cellIs" dxfId="4" priority="5" operator="equal">
      <formula>4</formula>
    </cfRule>
  </conditionalFormatting>
  <conditionalFormatting sqref="Q201">
    <cfRule type="notContainsBlanks" dxfId="5" priority="6">
      <formula>LEN(TRIM(Q201))&gt;0</formula>
    </cfRule>
  </conditionalFormatting>
  <conditionalFormatting sqref="A1">
    <cfRule type="notContainsBlanks" dxfId="5" priority="7">
      <formula>LEN(TRIM(A1))&gt;0</formula>
    </cfRule>
  </conditionalFormatting>
  <hyperlinks>
    <hyperlink r:id="rId1" ref="D1"/>
    <hyperlink r:id="rId2" ref="E3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27.75"/>
    <col customWidth="1" min="4" max="4" width="13.5"/>
    <col customWidth="1" min="5" max="7" width="5.13"/>
    <col customWidth="1" min="8" max="8" width="7.0"/>
    <col customWidth="1" min="9" max="15" width="11.75"/>
    <col customWidth="1" min="16" max="17" width="9.5"/>
    <col customWidth="1" hidden="1" min="18" max="18" width="10.63"/>
    <col customWidth="1" min="19" max="19" width="2.75"/>
  </cols>
  <sheetData>
    <row r="1" ht="15.75" customHeight="1">
      <c r="A1" s="300"/>
      <c r="B1" s="300"/>
      <c r="C1" s="777" t="s">
        <v>1616</v>
      </c>
      <c r="D1" s="766"/>
      <c r="E1" s="598"/>
      <c r="F1" s="693"/>
      <c r="G1" s="598"/>
      <c r="H1" s="599"/>
      <c r="I1" s="601" t="s">
        <v>2</v>
      </c>
      <c r="J1" s="601" t="s">
        <v>426</v>
      </c>
      <c r="K1" s="601" t="s">
        <v>1</v>
      </c>
      <c r="L1" s="601" t="s">
        <v>427</v>
      </c>
      <c r="M1" s="601" t="s">
        <v>208</v>
      </c>
      <c r="N1" s="601" t="s">
        <v>3</v>
      </c>
      <c r="O1" s="817" t="s">
        <v>4</v>
      </c>
      <c r="P1" s="818" t="s">
        <v>1617</v>
      </c>
      <c r="Q1" s="349"/>
      <c r="R1" s="819" t="s">
        <v>1618</v>
      </c>
      <c r="S1" s="820"/>
    </row>
    <row r="2">
      <c r="A2" s="300"/>
      <c r="B2" s="480"/>
      <c r="C2" s="821"/>
      <c r="D2" s="348"/>
      <c r="E2" s="348"/>
      <c r="F2" s="348"/>
      <c r="G2" s="349"/>
      <c r="H2" s="822"/>
      <c r="I2" s="286"/>
      <c r="J2" s="286"/>
      <c r="K2" s="286"/>
      <c r="L2" s="286"/>
      <c r="M2" s="286"/>
      <c r="N2" s="286"/>
      <c r="O2" s="604"/>
      <c r="P2" s="604"/>
      <c r="Q2" s="287"/>
      <c r="R2" s="819" t="s">
        <v>1619</v>
      </c>
      <c r="S2" s="820"/>
    </row>
    <row r="3">
      <c r="A3" s="823"/>
      <c r="B3" s="824"/>
      <c r="C3" s="195" t="s">
        <v>11</v>
      </c>
      <c r="D3" s="82"/>
      <c r="E3" s="82"/>
      <c r="F3" s="82"/>
      <c r="G3" s="82"/>
      <c r="H3" s="96"/>
      <c r="I3" s="825"/>
      <c r="J3" s="825"/>
      <c r="K3" s="825"/>
      <c r="L3" s="825"/>
      <c r="M3" s="825"/>
      <c r="N3" s="825"/>
      <c r="O3" s="826"/>
      <c r="P3" s="827" t="s">
        <v>1620</v>
      </c>
      <c r="Q3" s="828" t="s">
        <v>204</v>
      </c>
      <c r="R3" s="819" t="s">
        <v>1617</v>
      </c>
      <c r="S3" s="307"/>
    </row>
    <row r="4" ht="15.75" customHeight="1">
      <c r="A4" s="829"/>
      <c r="B4" s="636"/>
      <c r="C4" s="830"/>
      <c r="D4" s="831"/>
      <c r="E4" s="832"/>
      <c r="F4" s="832"/>
      <c r="G4" s="832"/>
      <c r="H4" s="831"/>
      <c r="I4" s="831"/>
      <c r="J4" s="831"/>
      <c r="K4" s="831"/>
      <c r="L4" s="831"/>
      <c r="M4" s="831"/>
      <c r="N4" s="833"/>
      <c r="O4" s="834"/>
      <c r="P4" s="835"/>
      <c r="Q4" s="836" t="s">
        <v>1621</v>
      </c>
      <c r="R4" s="819" t="s">
        <v>1622</v>
      </c>
      <c r="S4" s="693"/>
    </row>
    <row r="5">
      <c r="A5" s="829"/>
      <c r="B5" s="837" t="s">
        <v>1623</v>
      </c>
      <c r="C5" s="838" t="s">
        <v>1624</v>
      </c>
      <c r="D5" s="839"/>
      <c r="E5" s="185">
        <v>2.0</v>
      </c>
      <c r="F5" s="185">
        <v>2.0</v>
      </c>
      <c r="G5" s="185">
        <v>1.0</v>
      </c>
      <c r="H5" s="840" t="str">
        <f>HYPERLINK("https://d15f34w2p8l1cc.cloudfront.net/hearthstone/b477682621ff12b16070a427a4ec1162326b985c27ccfaf844df1a9aac7f8817.png","Image")</f>
        <v>Image</v>
      </c>
      <c r="I5" s="709">
        <v>2.0</v>
      </c>
      <c r="J5" s="709">
        <v>1.0</v>
      </c>
      <c r="K5" s="709">
        <v>2.0</v>
      </c>
      <c r="L5" s="709">
        <v>2.0</v>
      </c>
      <c r="M5" s="709">
        <v>2.0</v>
      </c>
      <c r="N5" s="709">
        <v>1.0</v>
      </c>
      <c r="O5" s="841">
        <v>2.0</v>
      </c>
      <c r="P5" s="842">
        <v>2.0</v>
      </c>
      <c r="Q5" s="843">
        <v>2.0881057268722465</v>
      </c>
      <c r="R5" s="844" t="str">
        <f>HYPERLINK("https://www.strawpoll.me/19055165","Vote")</f>
        <v>Vote</v>
      </c>
      <c r="S5" s="781"/>
    </row>
    <row r="6">
      <c r="A6" s="829"/>
      <c r="B6" s="353"/>
      <c r="C6" s="845" t="s">
        <v>1625</v>
      </c>
      <c r="D6" s="846" t="s">
        <v>20</v>
      </c>
      <c r="E6" s="119">
        <v>1.0</v>
      </c>
      <c r="F6" s="119">
        <v>2.0</v>
      </c>
      <c r="G6" s="119">
        <v>1.0</v>
      </c>
      <c r="H6" s="847" t="str">
        <f>HYPERLINK("https://d15f34w2p8l1cc.cloudfront.net/hearthstone/fe8b794cff2f6e89e48c3e7172df4373db983650d869521991d8aef077e70c95.png","Image")</f>
        <v>Image</v>
      </c>
      <c r="I6" s="714">
        <v>2.0</v>
      </c>
      <c r="J6" s="714">
        <v>1.0</v>
      </c>
      <c r="K6" s="714">
        <v>1.0</v>
      </c>
      <c r="L6" s="714">
        <v>2.0</v>
      </c>
      <c r="M6" s="714">
        <v>2.0</v>
      </c>
      <c r="N6" s="714">
        <v>1.0</v>
      </c>
      <c r="O6" s="848">
        <v>1.0</v>
      </c>
      <c r="P6" s="849">
        <v>2.0</v>
      </c>
      <c r="Q6" s="850">
        <v>1.6165413533834587</v>
      </c>
      <c r="R6" s="851" t="str">
        <f>HYPERLINK("https://www.strawpoll.me/19055176","Vote")</f>
        <v>Vote</v>
      </c>
      <c r="S6" s="781"/>
    </row>
    <row r="7">
      <c r="A7" s="829"/>
      <c r="B7" s="353"/>
      <c r="C7" s="838" t="s">
        <v>1626</v>
      </c>
      <c r="D7" s="852" t="s">
        <v>60</v>
      </c>
      <c r="E7" s="185">
        <v>2.0</v>
      </c>
      <c r="F7" s="185">
        <v>2.0</v>
      </c>
      <c r="G7" s="185">
        <v>2.0</v>
      </c>
      <c r="H7" s="840" t="str">
        <f>HYPERLINK("https://d15f34w2p8l1cc.cloudfront.net/hearthstone/ed5bde179b9003b49f93da347dec0527f94d7dda710b784255f48b52a207ee15.png","Image")</f>
        <v>Image</v>
      </c>
      <c r="I7" s="714">
        <v>3.0</v>
      </c>
      <c r="J7" s="714">
        <v>2.0</v>
      </c>
      <c r="K7" s="714">
        <v>3.0</v>
      </c>
      <c r="L7" s="714">
        <v>2.0</v>
      </c>
      <c r="M7" s="714">
        <v>2.0</v>
      </c>
      <c r="N7" s="714">
        <v>2.0</v>
      </c>
      <c r="O7" s="848">
        <v>3.0</v>
      </c>
      <c r="P7" s="849">
        <v>3.0</v>
      </c>
      <c r="Q7" s="850">
        <v>2.7168141592920354</v>
      </c>
      <c r="R7" s="851" t="str">
        <f>HYPERLINK("https://www.strawpoll.me/19055178","Vote")</f>
        <v>Vote</v>
      </c>
      <c r="S7" s="781"/>
    </row>
    <row r="8">
      <c r="A8" s="829"/>
      <c r="B8" s="353"/>
      <c r="C8" s="853" t="s">
        <v>1627</v>
      </c>
      <c r="D8" s="854" t="s">
        <v>22</v>
      </c>
      <c r="E8" s="855">
        <v>2.0</v>
      </c>
      <c r="F8" s="855">
        <v>1.0</v>
      </c>
      <c r="G8" s="855">
        <v>2.0</v>
      </c>
      <c r="H8" s="856" t="str">
        <f>HYPERLINK("https://d15f34w2p8l1cc.cloudfront.net/hearthstone/a2aef4dd7d8abfa42694db3d374326186c526013a928f4faaa1bc54ab6734133.png","Image")</f>
        <v>Image</v>
      </c>
      <c r="I8" s="714">
        <v>1.0</v>
      </c>
      <c r="J8" s="714">
        <v>1.0</v>
      </c>
      <c r="K8" s="714">
        <v>1.0</v>
      </c>
      <c r="L8" s="714">
        <v>1.0</v>
      </c>
      <c r="M8" s="714">
        <v>1.0</v>
      </c>
      <c r="N8" s="714">
        <v>1.0</v>
      </c>
      <c r="O8" s="848">
        <v>1.0</v>
      </c>
      <c r="P8" s="849">
        <v>1.0</v>
      </c>
      <c r="Q8" s="850">
        <v>1.3608247422680413</v>
      </c>
      <c r="R8" s="851" t="str">
        <f>HYPERLINK("https://www.strawpoll.me/19055179","Vote")</f>
        <v>Vote</v>
      </c>
      <c r="S8" s="781"/>
    </row>
    <row r="9">
      <c r="A9" s="829"/>
      <c r="B9" s="353"/>
      <c r="C9" s="857" t="s">
        <v>1628</v>
      </c>
      <c r="D9" s="858" t="s">
        <v>51</v>
      </c>
      <c r="E9" s="859">
        <v>2.0</v>
      </c>
      <c r="F9" s="859">
        <v>2.0</v>
      </c>
      <c r="G9" s="859">
        <v>2.0</v>
      </c>
      <c r="H9" s="860" t="str">
        <f>HYPERLINK("https://d15f34w2p8l1cc.cloudfront.net/hearthstone/2bc325052adc4f12270e6f4c8bba11bc8b7cd394235eb2136c68c00b860908bb.png","Image")</f>
        <v>Image</v>
      </c>
      <c r="I9" s="714">
        <v>1.0</v>
      </c>
      <c r="J9" s="714">
        <v>2.0</v>
      </c>
      <c r="K9" s="714">
        <v>1.0</v>
      </c>
      <c r="L9" s="714">
        <v>1.0</v>
      </c>
      <c r="M9" s="714">
        <v>2.0</v>
      </c>
      <c r="N9" s="714">
        <v>2.0</v>
      </c>
      <c r="O9" s="848">
        <v>1.0</v>
      </c>
      <c r="P9" s="849">
        <v>1.0</v>
      </c>
      <c r="Q9" s="850">
        <v>1.3444444444444446</v>
      </c>
      <c r="R9" s="851" t="str">
        <f>HYPERLINK("https://www.strawpoll.me/19055180","Vote")</f>
        <v>Vote</v>
      </c>
      <c r="S9" s="781"/>
    </row>
    <row r="10">
      <c r="A10" s="829"/>
      <c r="B10" s="353"/>
      <c r="C10" s="838" t="s">
        <v>1629</v>
      </c>
      <c r="D10" s="839"/>
      <c r="E10" s="185">
        <v>3.0</v>
      </c>
      <c r="F10" s="185">
        <v>3.0</v>
      </c>
      <c r="G10" s="185">
        <v>3.0</v>
      </c>
      <c r="H10" s="840" t="str">
        <f>HYPERLINK("https://d15f34w2p8l1cc.cloudfront.net/hearthstone/a3733ea13b0e98346c020211f6ea267fc06ffb88b3495818f7427ee1419e7c65.png","Image")</f>
        <v>Image</v>
      </c>
      <c r="I10" s="714">
        <v>3.0</v>
      </c>
      <c r="J10" s="714">
        <v>3.0</v>
      </c>
      <c r="K10" s="714">
        <v>3.0</v>
      </c>
      <c r="L10" s="714">
        <v>3.0</v>
      </c>
      <c r="M10" s="714">
        <v>3.0</v>
      </c>
      <c r="N10" s="714">
        <v>3.0</v>
      </c>
      <c r="O10" s="848">
        <v>3.0</v>
      </c>
      <c r="P10" s="849">
        <v>3.0</v>
      </c>
      <c r="Q10" s="850">
        <v>2.9302325581395348</v>
      </c>
      <c r="R10" s="851" t="str">
        <f>HYPERLINK("https://www.strawpoll.me/19055181","Vote")</f>
        <v>Vote</v>
      </c>
      <c r="S10" s="781"/>
    </row>
    <row r="11">
      <c r="A11" s="829"/>
      <c r="B11" s="353"/>
      <c r="C11" s="710" t="s">
        <v>1630</v>
      </c>
      <c r="D11" s="861" t="s">
        <v>27</v>
      </c>
      <c r="E11" s="176">
        <v>1.0</v>
      </c>
      <c r="F11" s="176">
        <v>3.0</v>
      </c>
      <c r="G11" s="176">
        <v>3.0</v>
      </c>
      <c r="H11" s="791" t="str">
        <f>HYPERLINK("https://d15f34w2p8l1cc.cloudfront.net/hearthstone/0f7f762ba943cc297c497661b232a1803215051b212486fb4c6bec66383f11e1.png","Image")</f>
        <v>Image</v>
      </c>
      <c r="I11" s="714">
        <v>1.0</v>
      </c>
      <c r="J11" s="714">
        <v>1.0</v>
      </c>
      <c r="K11" s="714">
        <v>1.0</v>
      </c>
      <c r="L11" s="714">
        <v>1.0</v>
      </c>
      <c r="M11" s="714">
        <v>1.0</v>
      </c>
      <c r="N11" s="714">
        <v>1.0</v>
      </c>
      <c r="O11" s="848">
        <v>1.0</v>
      </c>
      <c r="P11" s="849">
        <v>1.0</v>
      </c>
      <c r="Q11" s="850">
        <v>1.3846153846153846</v>
      </c>
      <c r="R11" s="851" t="str">
        <f>HYPERLINK("https://www.strawpoll.me/19055185","Vote")</f>
        <v>Vote</v>
      </c>
      <c r="S11" s="781"/>
    </row>
    <row r="12">
      <c r="A12" s="829"/>
      <c r="B12" s="353"/>
      <c r="C12" s="853" t="s">
        <v>1631</v>
      </c>
      <c r="D12" s="854" t="s">
        <v>27</v>
      </c>
      <c r="E12" s="855">
        <v>3.0</v>
      </c>
      <c r="F12" s="855">
        <v>4.0</v>
      </c>
      <c r="G12" s="855">
        <v>3.0</v>
      </c>
      <c r="H12" s="856" t="str">
        <f>HYPERLINK("https://d15f34w2p8l1cc.cloudfront.net/hearthstone/75241ae18478c0343cf8f28c888adca190a26cd132f36a2fa070afcfa0a96ddb.png","Image")</f>
        <v>Image</v>
      </c>
      <c r="I12" s="714">
        <v>1.0</v>
      </c>
      <c r="J12" s="714">
        <v>1.0</v>
      </c>
      <c r="K12" s="714">
        <v>1.0</v>
      </c>
      <c r="L12" s="714">
        <v>1.0</v>
      </c>
      <c r="M12" s="714">
        <v>2.0</v>
      </c>
      <c r="N12" s="714">
        <v>2.0</v>
      </c>
      <c r="O12" s="848">
        <v>2.0</v>
      </c>
      <c r="P12" s="849">
        <v>1.0</v>
      </c>
      <c r="Q12" s="850">
        <v>1.2972972972972974</v>
      </c>
      <c r="R12" s="851" t="str">
        <f>HYPERLINK("https://www.strawpoll.me/19055186","Vote")</f>
        <v>Vote</v>
      </c>
      <c r="S12" s="781"/>
    </row>
    <row r="13">
      <c r="A13" s="829"/>
      <c r="B13" s="353"/>
      <c r="C13" s="857" t="s">
        <v>1632</v>
      </c>
      <c r="D13" s="862"/>
      <c r="E13" s="859">
        <v>3.0</v>
      </c>
      <c r="F13" s="859">
        <v>3.0</v>
      </c>
      <c r="G13" s="859">
        <v>3.0</v>
      </c>
      <c r="H13" s="860" t="str">
        <f>HYPERLINK("https://d15f34w2p8l1cc.cloudfront.net/hearthstone/d663f3a156b8e3fffe29448c83c1fcde94934b6039d0935d9576730b1b73406a.png","Image")</f>
        <v>Image</v>
      </c>
      <c r="I13" s="714">
        <v>2.0</v>
      </c>
      <c r="J13" s="714">
        <v>2.0</v>
      </c>
      <c r="K13" s="714">
        <v>1.0</v>
      </c>
      <c r="L13" s="714">
        <v>2.0</v>
      </c>
      <c r="M13" s="714">
        <v>2.0</v>
      </c>
      <c r="N13" s="714">
        <v>3.0</v>
      </c>
      <c r="O13" s="848">
        <v>2.0</v>
      </c>
      <c r="P13" s="849">
        <v>2.0</v>
      </c>
      <c r="Q13" s="850">
        <v>2.2388059701492535</v>
      </c>
      <c r="R13" s="851" t="str">
        <f>HYPERLINK("https://www.strawpoll.me/19055187","Vote")</f>
        <v>Vote</v>
      </c>
      <c r="S13" s="781"/>
    </row>
    <row r="14">
      <c r="A14" s="829"/>
      <c r="B14" s="353"/>
      <c r="C14" s="838" t="s">
        <v>1633</v>
      </c>
      <c r="D14" s="852" t="s">
        <v>43</v>
      </c>
      <c r="E14" s="185">
        <v>5.0</v>
      </c>
      <c r="F14" s="185">
        <v>4.0</v>
      </c>
      <c r="G14" s="185">
        <v>4.0</v>
      </c>
      <c r="H14" s="840" t="str">
        <f>HYPERLINK("https://d15f34w2p8l1cc.cloudfront.net/hearthstone/c33e8ccea783a88d1d2f39b1d5f1924e68c3375d178a8af1c5573710b1cb053a.png","Image")</f>
        <v>Image</v>
      </c>
      <c r="I14" s="714">
        <v>1.0</v>
      </c>
      <c r="J14" s="714">
        <v>2.0</v>
      </c>
      <c r="K14" s="714">
        <v>1.0</v>
      </c>
      <c r="L14" s="714">
        <v>2.0</v>
      </c>
      <c r="M14" s="714">
        <v>2.0</v>
      </c>
      <c r="N14" s="714">
        <v>2.0</v>
      </c>
      <c r="O14" s="848">
        <v>2.0</v>
      </c>
      <c r="P14" s="849">
        <v>2.0</v>
      </c>
      <c r="Q14" s="850">
        <v>2.014925373134328</v>
      </c>
      <c r="R14" s="851" t="str">
        <f>HYPERLINK("https://www.strawpoll.me/19055188","Vote")</f>
        <v>Vote</v>
      </c>
      <c r="S14" s="781"/>
    </row>
    <row r="15">
      <c r="A15" s="829"/>
      <c r="B15" s="353"/>
      <c r="C15" s="853" t="s">
        <v>1634</v>
      </c>
      <c r="D15" s="863"/>
      <c r="E15" s="855">
        <v>2.0</v>
      </c>
      <c r="F15" s="855">
        <v>5.0</v>
      </c>
      <c r="G15" s="855">
        <v>4.0</v>
      </c>
      <c r="H15" s="856" t="str">
        <f>HYPERLINK("https://d15f34w2p8l1cc.cloudfront.net/hearthstone/4aea7e1a9fbe32141c8bdd2aa07d38e3bc617cd5501d099914567841f48308d3.png","Image")</f>
        <v>Image</v>
      </c>
      <c r="I15" s="714">
        <v>1.0</v>
      </c>
      <c r="J15" s="714">
        <v>1.0</v>
      </c>
      <c r="K15" s="714">
        <v>1.0</v>
      </c>
      <c r="L15" s="714">
        <v>1.0</v>
      </c>
      <c r="M15" s="714">
        <v>1.0</v>
      </c>
      <c r="N15" s="714">
        <v>2.0</v>
      </c>
      <c r="O15" s="848">
        <v>1.0</v>
      </c>
      <c r="P15" s="849">
        <v>1.0</v>
      </c>
      <c r="Q15" s="850">
        <v>1.3285714285714285</v>
      </c>
      <c r="R15" s="851" t="str">
        <f>HYPERLINK("https://www.strawpoll.me/19055189","Vote")</f>
        <v>Vote</v>
      </c>
      <c r="S15" s="781"/>
    </row>
    <row r="16">
      <c r="A16" s="829"/>
      <c r="B16" s="353"/>
      <c r="C16" s="853" t="s">
        <v>1635</v>
      </c>
      <c r="D16" s="863"/>
      <c r="E16" s="855">
        <v>3.0</v>
      </c>
      <c r="F16" s="855">
        <v>3.0</v>
      </c>
      <c r="G16" s="855">
        <v>4.0</v>
      </c>
      <c r="H16" s="856" t="str">
        <f>HYPERLINK("https://d15f34w2p8l1cc.cloudfront.net/hearthstone/e104a8a9c8c568b5a7a0a41efc69f0371d4e7689127aaf28671449975c6c8847.png","Image")</f>
        <v>Image</v>
      </c>
      <c r="I16" s="714">
        <v>1.0</v>
      </c>
      <c r="J16" s="714">
        <v>1.0</v>
      </c>
      <c r="K16" s="714">
        <v>1.0</v>
      </c>
      <c r="L16" s="714">
        <v>1.0</v>
      </c>
      <c r="M16" s="714">
        <v>2.0</v>
      </c>
      <c r="N16" s="714">
        <v>2.0</v>
      </c>
      <c r="O16" s="848">
        <v>2.0</v>
      </c>
      <c r="P16" s="849">
        <v>2.0</v>
      </c>
      <c r="Q16" s="850">
        <v>1.6065573770491803</v>
      </c>
      <c r="R16" s="851" t="str">
        <f>HYPERLINK("https://www.strawpoll.me/19055191","Vote")</f>
        <v>Vote</v>
      </c>
      <c r="S16" s="781"/>
    </row>
    <row r="17">
      <c r="A17" s="829"/>
      <c r="B17" s="353"/>
      <c r="C17" s="853" t="s">
        <v>1636</v>
      </c>
      <c r="D17" s="863" t="s">
        <v>22</v>
      </c>
      <c r="E17" s="855">
        <v>2.0</v>
      </c>
      <c r="F17" s="855">
        <v>6.0</v>
      </c>
      <c r="G17" s="855">
        <v>4.0</v>
      </c>
      <c r="H17" s="856" t="str">
        <f>HYPERLINK("https://d15f34w2p8l1cc.cloudfront.net/hearthstone/2a5a89befa4902988c98587138b74fa2b71657afce3e7c979e025c31ae2b0597.png","Image")</f>
        <v>Image</v>
      </c>
      <c r="I17" s="714">
        <v>1.0</v>
      </c>
      <c r="J17" s="714">
        <v>1.0</v>
      </c>
      <c r="K17" s="714">
        <v>1.0</v>
      </c>
      <c r="L17" s="714">
        <v>1.0</v>
      </c>
      <c r="M17" s="714">
        <v>1.0</v>
      </c>
      <c r="N17" s="714">
        <v>1.0</v>
      </c>
      <c r="O17" s="848">
        <v>1.0</v>
      </c>
      <c r="P17" s="849">
        <v>1.0</v>
      </c>
      <c r="Q17" s="850">
        <v>1.125</v>
      </c>
      <c r="R17" s="851" t="str">
        <f>HYPERLINK("https://www.strawpoll.me/19055192","Vote")</f>
        <v>Vote</v>
      </c>
      <c r="S17" s="781"/>
    </row>
    <row r="18">
      <c r="A18" s="829"/>
      <c r="B18" s="353"/>
      <c r="C18" s="864" t="s">
        <v>1637</v>
      </c>
      <c r="D18" s="865" t="s">
        <v>1638</v>
      </c>
      <c r="E18" s="859">
        <v>2.0</v>
      </c>
      <c r="F18" s="859">
        <v>2.0</v>
      </c>
      <c r="G18" s="859">
        <v>4.0</v>
      </c>
      <c r="H18" s="860" t="str">
        <f>HYPERLINK("https://d15f34w2p8l1cc.cloudfront.net/hearthstone/5fac13e098b7528f46558b1eaad8596d3ceb72271c9c829f8cd72dd15ab6ec73.png","Image")</f>
        <v>Image</v>
      </c>
      <c r="I18" s="714">
        <v>1.0</v>
      </c>
      <c r="J18" s="714">
        <v>2.0</v>
      </c>
      <c r="K18" s="714">
        <v>2.0</v>
      </c>
      <c r="L18" s="714">
        <v>2.0</v>
      </c>
      <c r="M18" s="714">
        <v>2.0</v>
      </c>
      <c r="N18" s="714">
        <v>1.0</v>
      </c>
      <c r="O18" s="848">
        <v>2.0</v>
      </c>
      <c r="P18" s="849">
        <v>2.0</v>
      </c>
      <c r="Q18" s="850">
        <v>1.7777777777777777</v>
      </c>
      <c r="R18" s="851" t="str">
        <f>HYPERLINK("https://www.strawpoll.me/19055193","Vote")</f>
        <v>Vote</v>
      </c>
      <c r="S18" s="781"/>
    </row>
    <row r="19">
      <c r="A19" s="829"/>
      <c r="B19" s="353"/>
      <c r="C19" s="866" t="s">
        <v>1639</v>
      </c>
      <c r="D19" s="867" t="s">
        <v>43</v>
      </c>
      <c r="E19" s="868">
        <v>5.0</v>
      </c>
      <c r="F19" s="868">
        <v>5.0</v>
      </c>
      <c r="G19" s="868">
        <v>5.0</v>
      </c>
      <c r="H19" s="869" t="str">
        <f>HYPERLINK("https://d15f34w2p8l1cc.cloudfront.net/hearthstone/eaa4b92eec09656b619585e8a4a9f6fc18f9fa0279d64733b009e047c10de793.png","Image")</f>
        <v>Image</v>
      </c>
      <c r="I19" s="714">
        <v>3.0</v>
      </c>
      <c r="J19" s="714">
        <v>3.0</v>
      </c>
      <c r="K19" s="714">
        <v>3.0</v>
      </c>
      <c r="L19" s="714">
        <v>3.0</v>
      </c>
      <c r="M19" s="714">
        <v>4.0</v>
      </c>
      <c r="N19" s="714">
        <v>3.0</v>
      </c>
      <c r="O19" s="848">
        <v>3.0</v>
      </c>
      <c r="P19" s="849">
        <v>3.0</v>
      </c>
      <c r="Q19" s="850">
        <v>3.044776119402985</v>
      </c>
      <c r="R19" s="851" t="str">
        <f>HYPERLINK("https://www.strawpoll.me/19055195","Vote")</f>
        <v>Vote</v>
      </c>
      <c r="S19" s="781"/>
    </row>
    <row r="20">
      <c r="A20" s="829"/>
      <c r="B20" s="353"/>
      <c r="C20" s="853" t="s">
        <v>1640</v>
      </c>
      <c r="D20" s="854" t="s">
        <v>1638</v>
      </c>
      <c r="E20" s="855">
        <v>4.0</v>
      </c>
      <c r="F20" s="855">
        <v>5.0</v>
      </c>
      <c r="G20" s="855">
        <v>5.0</v>
      </c>
      <c r="H20" s="856" t="str">
        <f>HYPERLINK("https://d15f34w2p8l1cc.cloudfront.net/hearthstone/be087d697092da272684956cc1e9e4a9a210df2674001fb15699c8755513cbca.png","Image")</f>
        <v>Image</v>
      </c>
      <c r="I20" s="714">
        <v>2.0</v>
      </c>
      <c r="J20" s="714">
        <v>3.0</v>
      </c>
      <c r="K20" s="714">
        <v>3.0</v>
      </c>
      <c r="L20" s="714">
        <v>2.0</v>
      </c>
      <c r="M20" s="714">
        <v>3.0</v>
      </c>
      <c r="N20" s="714">
        <v>4.0</v>
      </c>
      <c r="O20" s="848">
        <v>2.0</v>
      </c>
      <c r="P20" s="849">
        <v>3.0</v>
      </c>
      <c r="Q20" s="850">
        <v>2.6610169491525424</v>
      </c>
      <c r="R20" s="851" t="str">
        <f>HYPERLINK("https://www.strawpoll.me/19055196","Vote")</f>
        <v>Vote</v>
      </c>
      <c r="S20" s="781"/>
    </row>
    <row r="21">
      <c r="A21" s="829"/>
      <c r="B21" s="353"/>
      <c r="C21" s="864" t="s">
        <v>1641</v>
      </c>
      <c r="D21" s="865"/>
      <c r="E21" s="859">
        <v>5.0</v>
      </c>
      <c r="F21" s="859">
        <v>5.0</v>
      </c>
      <c r="G21" s="859">
        <v>5.0</v>
      </c>
      <c r="H21" s="860" t="str">
        <f>HYPERLINK("https://d15f34w2p8l1cc.cloudfront.net/hearthstone/925d3e5dc70cc425e968f4d8b41ea9c5d5ff62ad463e2006310a6f30a5939950.png","Image")</f>
        <v>Image</v>
      </c>
      <c r="I21" s="714">
        <v>1.0</v>
      </c>
      <c r="J21" s="714">
        <v>2.0</v>
      </c>
      <c r="K21" s="714">
        <v>1.0</v>
      </c>
      <c r="L21" s="714">
        <v>1.0</v>
      </c>
      <c r="M21" s="714">
        <v>1.0</v>
      </c>
      <c r="N21" s="714">
        <v>2.0</v>
      </c>
      <c r="O21" s="848">
        <v>1.0</v>
      </c>
      <c r="P21" s="870">
        <v>1.0</v>
      </c>
      <c r="Q21" s="850">
        <v>1.7096774193548387</v>
      </c>
      <c r="R21" s="851" t="str">
        <f>HYPERLINK("https://www.strawpoll.me/19055199","Vote")</f>
        <v>Vote</v>
      </c>
      <c r="S21" s="781"/>
    </row>
    <row r="22">
      <c r="A22" s="829"/>
      <c r="B22" s="353"/>
      <c r="C22" s="838" t="s">
        <v>1642</v>
      </c>
      <c r="D22" s="852" t="s">
        <v>20</v>
      </c>
      <c r="E22" s="185">
        <v>6.0</v>
      </c>
      <c r="F22" s="185">
        <v>6.0</v>
      </c>
      <c r="G22" s="185">
        <v>6.0</v>
      </c>
      <c r="H22" s="840" t="str">
        <f>HYPERLINK("https://d15f34w2p8l1cc.cloudfront.net/hearthstone/3b53ecb792bf7956e71640b368aed3dc2eb8fd91031c319b254de0e12a043377.png","Image")</f>
        <v>Image</v>
      </c>
      <c r="I22" s="714">
        <v>1.0</v>
      </c>
      <c r="J22" s="714">
        <v>2.0</v>
      </c>
      <c r="K22" s="714">
        <v>1.0</v>
      </c>
      <c r="L22" s="714">
        <v>2.0</v>
      </c>
      <c r="M22" s="714">
        <v>1.0</v>
      </c>
      <c r="N22" s="714">
        <v>2.0</v>
      </c>
      <c r="O22" s="848">
        <v>1.0</v>
      </c>
      <c r="P22" s="870">
        <v>1.0</v>
      </c>
      <c r="Q22" s="850">
        <v>1.4166666666666667</v>
      </c>
      <c r="R22" s="851" t="str">
        <f>HYPERLINK("https://www.strawpoll.me/19055200","Vote")</f>
        <v>Vote</v>
      </c>
      <c r="S22" s="781"/>
    </row>
    <row r="23">
      <c r="A23" s="829"/>
      <c r="B23" s="353"/>
      <c r="C23" s="853" t="s">
        <v>1643</v>
      </c>
      <c r="D23" s="863" t="s">
        <v>20</v>
      </c>
      <c r="E23" s="855">
        <v>4.0</v>
      </c>
      <c r="F23" s="855">
        <v>5.0</v>
      </c>
      <c r="G23" s="855">
        <v>6.0</v>
      </c>
      <c r="H23" s="856" t="str">
        <f>HYPERLINK("https://d15f34w2p8l1cc.cloudfront.net/hearthstone/c9b81b760ced55e97b768fa10c37e821c246b5b6f495d63602b26ac1aa2d3da2.png","Image")</f>
        <v>Image</v>
      </c>
      <c r="I23" s="714">
        <v>1.0</v>
      </c>
      <c r="J23" s="714">
        <v>2.0</v>
      </c>
      <c r="K23" s="714">
        <v>1.0</v>
      </c>
      <c r="L23" s="714">
        <v>1.0</v>
      </c>
      <c r="M23" s="714">
        <v>1.0</v>
      </c>
      <c r="N23" s="871">
        <v>2.0</v>
      </c>
      <c r="O23" s="848">
        <v>1.0</v>
      </c>
      <c r="P23" s="870">
        <v>1.0</v>
      </c>
      <c r="Q23" s="850">
        <v>1.4137931034482758</v>
      </c>
      <c r="R23" s="851" t="str">
        <f>HYPERLINK("https://www.strawpoll.me/19055201","Vote")</f>
        <v>Vote</v>
      </c>
      <c r="S23" s="781"/>
    </row>
    <row r="24">
      <c r="A24" s="829"/>
      <c r="B24" s="353"/>
      <c r="C24" s="864" t="s">
        <v>1644</v>
      </c>
      <c r="D24" s="865" t="s">
        <v>43</v>
      </c>
      <c r="E24" s="859">
        <v>5.0</v>
      </c>
      <c r="F24" s="859">
        <v>3.0</v>
      </c>
      <c r="G24" s="859">
        <v>6.0</v>
      </c>
      <c r="H24" s="860" t="str">
        <f>HYPERLINK("https://d15f34w2p8l1cc.cloudfront.net/hearthstone/4025b7f0bf24c1cdbd1a75006eced26232bb30045695c5ccc3b17cf84a41bbed.png","Image")</f>
        <v>Image</v>
      </c>
      <c r="I24" s="714">
        <v>2.0</v>
      </c>
      <c r="J24" s="714">
        <v>2.0</v>
      </c>
      <c r="K24" s="714">
        <v>2.0</v>
      </c>
      <c r="L24" s="714">
        <v>3.0</v>
      </c>
      <c r="M24" s="714">
        <v>3.0</v>
      </c>
      <c r="N24" s="714">
        <v>4.0</v>
      </c>
      <c r="O24" s="848">
        <v>2.0</v>
      </c>
      <c r="P24" s="870">
        <v>3.0</v>
      </c>
      <c r="Q24" s="850">
        <v>2.4237288135593222</v>
      </c>
      <c r="R24" s="851" t="str">
        <f>HYPERLINK("https://www.strawpoll.me/19055202","Vote")</f>
        <v>Vote</v>
      </c>
      <c r="S24" s="781"/>
    </row>
    <row r="25">
      <c r="A25" s="872"/>
      <c r="B25" s="353"/>
      <c r="C25" s="873" t="s">
        <v>1645</v>
      </c>
      <c r="D25" s="874" t="s">
        <v>43</v>
      </c>
      <c r="E25" s="176">
        <v>7.0</v>
      </c>
      <c r="F25" s="176">
        <v>7.0</v>
      </c>
      <c r="G25" s="176">
        <v>7.0</v>
      </c>
      <c r="H25" s="791" t="str">
        <f>HYPERLINK("https://d15f34w2p8l1cc.cloudfront.net/hearthstone/57a781385891a38295816f58b4f14f6065ff3174f0cf3f445b9e21b95946cdc6.png","Image")</f>
        <v>Image</v>
      </c>
      <c r="I25" s="714">
        <v>2.0</v>
      </c>
      <c r="J25" s="714">
        <v>2.0</v>
      </c>
      <c r="K25" s="714">
        <v>2.0</v>
      </c>
      <c r="L25" s="714">
        <v>2.0</v>
      </c>
      <c r="M25" s="714">
        <v>2.0</v>
      </c>
      <c r="N25" s="871">
        <v>2.0</v>
      </c>
      <c r="O25" s="848">
        <v>2.0</v>
      </c>
      <c r="P25" s="849">
        <v>2.0</v>
      </c>
      <c r="Q25" s="850">
        <v>2.1379310344827585</v>
      </c>
      <c r="R25" s="851" t="str">
        <f>HYPERLINK("https://www.strawpoll.me/19055203","Vote")</f>
        <v>Vote</v>
      </c>
      <c r="S25" s="781"/>
    </row>
    <row r="26" ht="17.25" customHeight="1">
      <c r="A26" s="829"/>
      <c r="B26" s="355"/>
      <c r="C26" s="875" t="s">
        <v>1646</v>
      </c>
      <c r="D26" s="876" t="s">
        <v>43</v>
      </c>
      <c r="E26" s="877">
        <v>4.0</v>
      </c>
      <c r="F26" s="877">
        <v>10.0</v>
      </c>
      <c r="G26" s="877">
        <v>8.0</v>
      </c>
      <c r="H26" s="878" t="str">
        <f>HYPERLINK("https://d15f34w2p8l1cc.cloudfront.net/hearthstone/e207bae988eef3e4ab4d989a1086ae5ec4c82b1a770c1e828affb8a0da139d49.png","Image")</f>
        <v>Image</v>
      </c>
      <c r="I26" s="774">
        <v>1.0</v>
      </c>
      <c r="J26" s="774">
        <v>1.0</v>
      </c>
      <c r="K26" s="774">
        <v>1.0</v>
      </c>
      <c r="L26" s="774">
        <v>1.0</v>
      </c>
      <c r="M26" s="774">
        <v>1.0</v>
      </c>
      <c r="N26" s="879">
        <v>2.0</v>
      </c>
      <c r="O26" s="880">
        <v>1.0</v>
      </c>
      <c r="P26" s="881">
        <v>1.0</v>
      </c>
      <c r="Q26" s="882">
        <v>1.3666666666666667</v>
      </c>
      <c r="R26" s="851" t="str">
        <f>HYPERLINK("https://www.strawpoll.me/19055205","Vote")</f>
        <v>Vote</v>
      </c>
      <c r="S26" s="781"/>
    </row>
    <row r="27" ht="15.75" customHeight="1">
      <c r="A27" s="883"/>
      <c r="B27" s="884"/>
      <c r="C27" s="740"/>
      <c r="D27" s="885"/>
      <c r="E27" s="743"/>
      <c r="F27" s="743"/>
      <c r="G27" s="743"/>
      <c r="H27" s="886"/>
      <c r="I27" s="702" t="s">
        <v>2</v>
      </c>
      <c r="J27" s="702" t="s">
        <v>426</v>
      </c>
      <c r="K27" s="702" t="s">
        <v>1</v>
      </c>
      <c r="L27" s="702" t="s">
        <v>427</v>
      </c>
      <c r="M27" s="702" t="s">
        <v>208</v>
      </c>
      <c r="N27" s="702" t="s">
        <v>3</v>
      </c>
      <c r="O27" s="887" t="s">
        <v>4</v>
      </c>
      <c r="P27" s="888" t="s">
        <v>1617</v>
      </c>
      <c r="Q27" s="835"/>
      <c r="R27" s="749"/>
      <c r="S27" s="307"/>
    </row>
    <row r="28">
      <c r="A28" s="829"/>
      <c r="B28" s="889" t="s">
        <v>734</v>
      </c>
      <c r="C28" s="890" t="s">
        <v>1647</v>
      </c>
      <c r="D28" s="891"/>
      <c r="E28" s="892">
        <v>0.0</v>
      </c>
      <c r="F28" s="892">
        <v>5.0</v>
      </c>
      <c r="G28" s="892">
        <v>1.0</v>
      </c>
      <c r="H28" s="893" t="str">
        <f>HYPERLINK("https://d15f34w2p8l1cc.cloudfront.net/hearthstone/2893838e459524f0a547a63c320097055b843ee9c3e6c7ef8c526dc9d3a40978.png","Image")</f>
        <v>Image</v>
      </c>
      <c r="I28" s="709">
        <v>1.0</v>
      </c>
      <c r="J28" s="709">
        <v>2.0</v>
      </c>
      <c r="K28" s="709">
        <v>1.0</v>
      </c>
      <c r="L28" s="709">
        <v>1.0</v>
      </c>
      <c r="M28" s="709">
        <v>1.0</v>
      </c>
      <c r="N28" s="894">
        <v>3.0</v>
      </c>
      <c r="O28" s="841">
        <v>1.0</v>
      </c>
      <c r="P28" s="870">
        <v>1.0</v>
      </c>
      <c r="Q28" s="895">
        <v>1.7</v>
      </c>
      <c r="R28" s="851" t="str">
        <f>HYPERLINK("https://www.strawpoll.me/19055206","Vote")</f>
        <v>Vote</v>
      </c>
      <c r="S28" s="781"/>
    </row>
    <row r="29">
      <c r="A29" s="829"/>
      <c r="B29" s="353"/>
      <c r="C29" s="896" t="s">
        <v>1648</v>
      </c>
      <c r="D29" s="897"/>
      <c r="E29" s="898">
        <v>2.0</v>
      </c>
      <c r="F29" s="898">
        <v>3.0</v>
      </c>
      <c r="G29" s="898">
        <v>2.0</v>
      </c>
      <c r="H29" s="899" t="str">
        <f>HYPERLINK("https://d15f34w2p8l1cc.cloudfront.net/hearthstone/2c116ec91bf64eb84485425c0249980f62c6bfd8ffe3bacc40de780d96f8dfbe.png","Image")</f>
        <v>Image</v>
      </c>
      <c r="I29" s="714">
        <v>2.0</v>
      </c>
      <c r="J29" s="714">
        <v>2.0</v>
      </c>
      <c r="K29" s="714">
        <v>2.0</v>
      </c>
      <c r="L29" s="714">
        <v>2.0</v>
      </c>
      <c r="M29" s="714">
        <v>2.0</v>
      </c>
      <c r="N29" s="871">
        <v>2.0</v>
      </c>
      <c r="O29" s="848">
        <v>2.0</v>
      </c>
      <c r="P29" s="849">
        <v>2.0</v>
      </c>
      <c r="Q29" s="850">
        <v>2.2</v>
      </c>
      <c r="R29" s="851" t="str">
        <f>HYPERLINK("https://www.strawpoll.me/19055210","Vote")</f>
        <v>Vote</v>
      </c>
      <c r="S29" s="781"/>
    </row>
    <row r="30">
      <c r="A30" s="829"/>
      <c r="B30" s="353"/>
      <c r="C30" s="900" t="s">
        <v>1649</v>
      </c>
      <c r="D30" s="901" t="s">
        <v>22</v>
      </c>
      <c r="E30" s="902">
        <v>4.0</v>
      </c>
      <c r="F30" s="902">
        <v>3.0</v>
      </c>
      <c r="G30" s="902">
        <v>3.0</v>
      </c>
      <c r="H30" s="903" t="str">
        <f>HYPERLINK("https://d15f34w2p8l1cc.cloudfront.net/hearthstone/874b43e029702979dd6fc6ee1664c1dd9a88682b183f73f44943d8aa7d93c0be.png","Image")</f>
        <v>Image</v>
      </c>
      <c r="I30" s="714">
        <v>1.0</v>
      </c>
      <c r="J30" s="714">
        <v>2.0</v>
      </c>
      <c r="K30" s="714">
        <v>1.0</v>
      </c>
      <c r="L30" s="714">
        <v>1.0</v>
      </c>
      <c r="M30" s="714">
        <v>1.0</v>
      </c>
      <c r="N30" s="871">
        <v>2.0</v>
      </c>
      <c r="O30" s="848">
        <v>1.0</v>
      </c>
      <c r="P30" s="870">
        <v>1.0</v>
      </c>
      <c r="Q30" s="850">
        <v>1.7678571428571428</v>
      </c>
      <c r="R30" s="851" t="str">
        <f>HYPERLINK("https://www.strawpoll.me/19055212","Vote")</f>
        <v>Vote</v>
      </c>
      <c r="S30" s="781"/>
    </row>
    <row r="31">
      <c r="A31" s="829"/>
      <c r="B31" s="353"/>
      <c r="C31" s="890" t="s">
        <v>1650</v>
      </c>
      <c r="D31" s="904"/>
      <c r="E31" s="905">
        <v>4.0</v>
      </c>
      <c r="F31" s="905">
        <v>4.0</v>
      </c>
      <c r="G31" s="905">
        <v>4.0</v>
      </c>
      <c r="H31" s="893" t="str">
        <f>HYPERLINK("https://d15f34w2p8l1cc.cloudfront.net/hearthstone/961f15f18574d1dbebe851a0ccdb8b4d7c6300e9556d3267b003b37bfe10d8d9.png","Image")</f>
        <v>Image</v>
      </c>
      <c r="I31" s="714">
        <v>2.0</v>
      </c>
      <c r="J31" s="714">
        <v>3.0</v>
      </c>
      <c r="K31" s="714">
        <v>3.0</v>
      </c>
      <c r="L31" s="714">
        <v>3.0</v>
      </c>
      <c r="M31" s="714">
        <v>3.0</v>
      </c>
      <c r="N31" s="871">
        <v>4.0</v>
      </c>
      <c r="O31" s="848">
        <v>3.0</v>
      </c>
      <c r="P31" s="849">
        <v>3.0</v>
      </c>
      <c r="Q31" s="850">
        <v>3.2777777777777777</v>
      </c>
      <c r="R31" s="851" t="str">
        <f>HYPERLINK("https://www.strawpoll.me/19055214","Vote")</f>
        <v>Vote</v>
      </c>
      <c r="S31" s="781"/>
    </row>
    <row r="32">
      <c r="A32" s="829"/>
      <c r="B32" s="353"/>
      <c r="C32" s="720" t="s">
        <v>1651</v>
      </c>
      <c r="D32" s="906" t="s">
        <v>60</v>
      </c>
      <c r="E32" s="508">
        <v>4.0</v>
      </c>
      <c r="F32" s="508">
        <v>2.0</v>
      </c>
      <c r="G32" s="508">
        <v>4.0</v>
      </c>
      <c r="H32" s="899" t="str">
        <f>HYPERLINK("https://d15f34w2p8l1cc.cloudfront.net/hearthstone/98fd22b7711f42ce2a0a252758caee29bb3996b058dd1c3af60a24b00e5fdff1.png","Image")</f>
        <v>Image</v>
      </c>
      <c r="I32" s="714">
        <v>2.0</v>
      </c>
      <c r="J32" s="714">
        <v>2.0</v>
      </c>
      <c r="K32" s="714">
        <v>3.0</v>
      </c>
      <c r="L32" s="714">
        <v>2.0</v>
      </c>
      <c r="M32" s="714">
        <v>3.0</v>
      </c>
      <c r="N32" s="871">
        <v>3.0</v>
      </c>
      <c r="O32" s="848">
        <v>2.0</v>
      </c>
      <c r="P32" s="849">
        <v>3.0</v>
      </c>
      <c r="Q32" s="850">
        <v>2.7222222222222223</v>
      </c>
      <c r="R32" s="851" t="str">
        <f>HYPERLINK("https://www.strawpoll.me/19055215","Vote")</f>
        <v>Vote</v>
      </c>
      <c r="S32" s="781"/>
    </row>
    <row r="33">
      <c r="A33" s="829"/>
      <c r="B33" s="353"/>
      <c r="C33" s="907" t="s">
        <v>1652</v>
      </c>
      <c r="D33" s="908"/>
      <c r="E33" s="909">
        <v>3.0</v>
      </c>
      <c r="F33" s="909">
        <v>9.0</v>
      </c>
      <c r="G33" s="909">
        <v>4.0</v>
      </c>
      <c r="H33" s="910" t="str">
        <f>HYPERLINK("https://d15f34w2p8l1cc.cloudfront.net/hearthstone/14617b8b27bc155a90376b930e6f95b209137be71cc6bb4f80b0ceb767614a1c.png","Image")</f>
        <v>Image</v>
      </c>
      <c r="I33" s="714">
        <v>1.0</v>
      </c>
      <c r="J33" s="714">
        <v>1.0</v>
      </c>
      <c r="K33" s="714">
        <v>1.0</v>
      </c>
      <c r="L33" s="714">
        <v>1.0</v>
      </c>
      <c r="M33" s="714">
        <v>1.0</v>
      </c>
      <c r="N33" s="871">
        <v>1.0</v>
      </c>
      <c r="O33" s="848">
        <v>1.0</v>
      </c>
      <c r="P33" s="849">
        <v>1.0</v>
      </c>
      <c r="Q33" s="850">
        <v>1.2641509433962264</v>
      </c>
      <c r="R33" s="851" t="str">
        <f>HYPERLINK("https://www.strawpoll.me/19055216","Vote")</f>
        <v>Vote</v>
      </c>
      <c r="S33" s="781"/>
    </row>
    <row r="34">
      <c r="A34" s="872"/>
      <c r="B34" s="353"/>
      <c r="C34" s="890" t="s">
        <v>1653</v>
      </c>
      <c r="D34" s="891"/>
      <c r="E34" s="892">
        <v>5.0</v>
      </c>
      <c r="F34" s="892">
        <v>4.0</v>
      </c>
      <c r="G34" s="892">
        <v>5.0</v>
      </c>
      <c r="H34" s="911" t="str">
        <f>HYPERLINK("https://d15f34w2p8l1cc.cloudfront.net/hearthstone/4f270048f530eba4ff1cd5a49a5e605d3690bd1a7da9a8efc86d9c7ee2b276b9.png","Image")</f>
        <v>Image</v>
      </c>
      <c r="I34" s="714">
        <v>4.0</v>
      </c>
      <c r="J34" s="714">
        <v>4.0</v>
      </c>
      <c r="K34" s="714">
        <v>4.0</v>
      </c>
      <c r="L34" s="714">
        <v>4.0</v>
      </c>
      <c r="M34" s="714">
        <v>4.0</v>
      </c>
      <c r="N34" s="871">
        <v>4.0</v>
      </c>
      <c r="O34" s="848">
        <v>4.0</v>
      </c>
      <c r="P34" s="849">
        <v>4.0</v>
      </c>
      <c r="Q34" s="850">
        <v>3.6666666666666665</v>
      </c>
      <c r="R34" s="851" t="str">
        <f>HYPERLINK("https://www.strawpoll.me/19055218","Vote")</f>
        <v>Vote</v>
      </c>
      <c r="S34" s="781"/>
    </row>
    <row r="35" ht="17.25" customHeight="1">
      <c r="A35" s="829"/>
      <c r="B35" s="353"/>
      <c r="C35" s="720" t="s">
        <v>1654</v>
      </c>
      <c r="D35" s="912" t="s">
        <v>43</v>
      </c>
      <c r="E35" s="508">
        <v>3.0</v>
      </c>
      <c r="F35" s="508">
        <v>5.0</v>
      </c>
      <c r="G35" s="508">
        <v>5.0</v>
      </c>
      <c r="H35" s="899" t="str">
        <f>HYPERLINK("https://d15f34w2p8l1cc.cloudfront.net/hearthstone/4cb2876632d961c7417fc7906f7557469308c4d94949328b8113a34adeb55db2.png","Image")</f>
        <v>Image</v>
      </c>
      <c r="I35" s="714">
        <v>2.0</v>
      </c>
      <c r="J35" s="714">
        <v>3.0</v>
      </c>
      <c r="K35" s="714">
        <v>2.0</v>
      </c>
      <c r="L35" s="714">
        <v>2.0</v>
      </c>
      <c r="M35" s="714">
        <v>2.0</v>
      </c>
      <c r="N35" s="871">
        <v>3.0</v>
      </c>
      <c r="O35" s="848">
        <v>3.0</v>
      </c>
      <c r="P35" s="849">
        <v>2.0</v>
      </c>
      <c r="Q35" s="850">
        <v>2.3846153846153846</v>
      </c>
      <c r="R35" s="851" t="str">
        <f>HYPERLINK("https://www.strawpoll.me/19055219","Vote")</f>
        <v>Vote</v>
      </c>
      <c r="S35" s="781"/>
    </row>
    <row r="36">
      <c r="A36" s="872"/>
      <c r="B36" s="353"/>
      <c r="C36" s="913" t="s">
        <v>1655</v>
      </c>
      <c r="D36" s="914"/>
      <c r="E36" s="915">
        <v>5.0</v>
      </c>
      <c r="F36" s="915">
        <v>5.0</v>
      </c>
      <c r="G36" s="915">
        <v>6.0</v>
      </c>
      <c r="H36" s="916" t="str">
        <f>HYPERLINK("https://d15f34w2p8l1cc.cloudfront.net/hearthstone/8e8d839939b3b095202f967f4c38b462262ce9223fb6b7c82b852af7711428eb.png","Image")</f>
        <v>Image</v>
      </c>
      <c r="I36" s="714">
        <v>1.0</v>
      </c>
      <c r="J36" s="714">
        <v>1.0</v>
      </c>
      <c r="K36" s="714">
        <v>1.0</v>
      </c>
      <c r="L36" s="714">
        <v>1.0</v>
      </c>
      <c r="M36" s="714">
        <v>1.0</v>
      </c>
      <c r="N36" s="714">
        <v>2.0</v>
      </c>
      <c r="O36" s="848">
        <v>1.0</v>
      </c>
      <c r="P36" s="849">
        <v>1.0</v>
      </c>
      <c r="Q36" s="850">
        <v>1.2941176470588236</v>
      </c>
      <c r="R36" s="851" t="str">
        <f>HYPERLINK("https://www.strawpoll.me/19055221","Vote")</f>
        <v>Vote</v>
      </c>
      <c r="S36" s="781"/>
    </row>
    <row r="37">
      <c r="A37" s="829"/>
      <c r="B37" s="626" t="s">
        <v>740</v>
      </c>
      <c r="C37" s="917" t="s">
        <v>1656</v>
      </c>
      <c r="D37" s="918"/>
      <c r="E37" s="905">
        <v>3.0</v>
      </c>
      <c r="F37" s="905">
        <v>2.0</v>
      </c>
      <c r="G37" s="905">
        <v>2.0</v>
      </c>
      <c r="H37" s="893" t="str">
        <f>HYPERLINK("https://d15f34w2p8l1cc.cloudfront.net/hearthstone/d0226b466fd69287cc73fdf651ca73e7b5a9c4bf189840413b9db8041769ed9a.png","Image")</f>
        <v>Image</v>
      </c>
      <c r="I37" s="714">
        <v>1.0</v>
      </c>
      <c r="J37" s="714">
        <v>1.0</v>
      </c>
      <c r="K37" s="714">
        <v>1.0</v>
      </c>
      <c r="L37" s="714">
        <v>1.0</v>
      </c>
      <c r="M37" s="714">
        <v>1.0</v>
      </c>
      <c r="N37" s="714">
        <v>1.0</v>
      </c>
      <c r="O37" s="848">
        <v>1.0</v>
      </c>
      <c r="P37" s="849">
        <v>1.0</v>
      </c>
      <c r="Q37" s="850">
        <v>1.1041666666666667</v>
      </c>
      <c r="R37" s="851" t="str">
        <f>HYPERLINK("https://www.strawpoll.me/19055224","Vote")</f>
        <v>Vote</v>
      </c>
      <c r="S37" s="781"/>
    </row>
    <row r="38">
      <c r="A38" s="829"/>
      <c r="B38" s="353"/>
      <c r="C38" s="720" t="s">
        <v>1657</v>
      </c>
      <c r="D38" s="906"/>
      <c r="E38" s="898">
        <v>3.0</v>
      </c>
      <c r="F38" s="898">
        <v>2.0</v>
      </c>
      <c r="G38" s="898">
        <v>2.0</v>
      </c>
      <c r="H38" s="899" t="str">
        <f>HYPERLINK("https://d15f34w2p8l1cc.cloudfront.net/hearthstone/99363c3c36210405f15f3f3449cb0555f15ae82e23f9591f4d98e5064cddf538.png","Image")</f>
        <v>Image</v>
      </c>
      <c r="I38" s="714">
        <v>1.0</v>
      </c>
      <c r="J38" s="714">
        <v>1.0</v>
      </c>
      <c r="K38" s="714">
        <v>1.0</v>
      </c>
      <c r="L38" s="714">
        <v>1.0</v>
      </c>
      <c r="M38" s="714">
        <v>1.0</v>
      </c>
      <c r="N38" s="871">
        <v>1.0</v>
      </c>
      <c r="O38" s="848">
        <v>1.0</v>
      </c>
      <c r="P38" s="849">
        <v>1.0</v>
      </c>
      <c r="Q38" s="850">
        <v>1.12</v>
      </c>
      <c r="R38" s="851" t="str">
        <f>HYPERLINK("https://www.strawpoll.me/19055225","Vote")</f>
        <v>Vote</v>
      </c>
      <c r="S38" s="781"/>
    </row>
    <row r="39">
      <c r="A39" s="829"/>
      <c r="B39" s="353"/>
      <c r="C39" s="919" t="s">
        <v>1658</v>
      </c>
      <c r="D39" s="920"/>
      <c r="E39" s="921">
        <v>2.0</v>
      </c>
      <c r="F39" s="921">
        <v>3.0</v>
      </c>
      <c r="G39" s="921">
        <v>2.0</v>
      </c>
      <c r="H39" s="922" t="str">
        <f>HYPERLINK("https://d15f34w2p8l1cc.cloudfront.net/hearthstone/475f72dcd53dad6488178482e9721181861d688d659a48be65ca444e5cdde577.png","Image")</f>
        <v>Image</v>
      </c>
      <c r="I39" s="714">
        <v>1.0</v>
      </c>
      <c r="J39" s="714">
        <v>1.0</v>
      </c>
      <c r="K39" s="714">
        <v>1.0</v>
      </c>
      <c r="L39" s="714">
        <v>1.0</v>
      </c>
      <c r="M39" s="714">
        <v>1.0</v>
      </c>
      <c r="N39" s="871">
        <v>1.0</v>
      </c>
      <c r="O39" s="848">
        <v>1.0</v>
      </c>
      <c r="P39" s="849">
        <v>1.0</v>
      </c>
      <c r="Q39" s="850">
        <v>1.0833333333333333</v>
      </c>
      <c r="R39" s="851" t="str">
        <f>HYPERLINK("https://www.strawpoll.me/19055226","Vote")</f>
        <v>Vote</v>
      </c>
      <c r="S39" s="781"/>
    </row>
    <row r="40">
      <c r="A40" s="829"/>
      <c r="B40" s="353"/>
      <c r="C40" s="890" t="s">
        <v>1659</v>
      </c>
      <c r="D40" s="923" t="s">
        <v>22</v>
      </c>
      <c r="E40" s="905">
        <v>3.0</v>
      </c>
      <c r="F40" s="905">
        <v>4.0</v>
      </c>
      <c r="G40" s="905">
        <v>3.0</v>
      </c>
      <c r="H40" s="893" t="str">
        <f>HYPERLINK("https://d15f34w2p8l1cc.cloudfront.net/hearthstone/921bb1ba650528d1296ef03d5e2332ce6001962c2119393d3c187e267074718d.png","Image")</f>
        <v>Image</v>
      </c>
      <c r="I40" s="714">
        <v>1.0</v>
      </c>
      <c r="J40" s="714">
        <v>1.0</v>
      </c>
      <c r="K40" s="714">
        <v>1.0</v>
      </c>
      <c r="L40" s="714">
        <v>1.0</v>
      </c>
      <c r="M40" s="714">
        <v>1.0</v>
      </c>
      <c r="N40" s="871">
        <v>1.0</v>
      </c>
      <c r="O40" s="848">
        <v>1.0</v>
      </c>
      <c r="P40" s="849">
        <v>1.0</v>
      </c>
      <c r="Q40" s="850">
        <v>1.2708333333333333</v>
      </c>
      <c r="R40" s="851" t="str">
        <f>HYPERLINK("https://www.strawpoll.me/19055227","Vote")</f>
        <v>Vote</v>
      </c>
      <c r="S40" s="781"/>
    </row>
    <row r="41">
      <c r="A41" s="829"/>
      <c r="B41" s="353"/>
      <c r="C41" s="913" t="s">
        <v>1660</v>
      </c>
      <c r="D41" s="924"/>
      <c r="E41" s="921">
        <v>3.0</v>
      </c>
      <c r="F41" s="921">
        <v>4.0</v>
      </c>
      <c r="G41" s="921">
        <v>3.0</v>
      </c>
      <c r="H41" s="916" t="str">
        <f>HYPERLINK("https://d15f34w2p8l1cc.cloudfront.net/hearthstone/50fad6b6d8543d15c840610e6c27b9b1e5b4e228e2b09cd56a60b6cf91a7cadd.png","Image")</f>
        <v>Image</v>
      </c>
      <c r="I41" s="714">
        <v>1.0</v>
      </c>
      <c r="J41" s="714">
        <v>1.0</v>
      </c>
      <c r="K41" s="714">
        <v>1.0</v>
      </c>
      <c r="L41" s="714">
        <v>1.0</v>
      </c>
      <c r="M41" s="714">
        <v>1.0</v>
      </c>
      <c r="N41" s="871">
        <v>1.0</v>
      </c>
      <c r="O41" s="848">
        <v>1.0</v>
      </c>
      <c r="P41" s="849">
        <v>1.0</v>
      </c>
      <c r="Q41" s="850">
        <v>1.4042553191489362</v>
      </c>
      <c r="R41" s="851" t="str">
        <f>HYPERLINK("https://www.strawpoll.me/19055230","Vote")</f>
        <v>Vote</v>
      </c>
      <c r="S41" s="781"/>
    </row>
    <row r="42">
      <c r="A42" s="829"/>
      <c r="B42" s="353"/>
      <c r="C42" s="890" t="s">
        <v>1661</v>
      </c>
      <c r="D42" s="923" t="s">
        <v>60</v>
      </c>
      <c r="E42" s="892">
        <v>4.0</v>
      </c>
      <c r="F42" s="892">
        <v>4.0</v>
      </c>
      <c r="G42" s="892">
        <v>5.0</v>
      </c>
      <c r="H42" s="893" t="str">
        <f>HYPERLINK("https://d15f34w2p8l1cc.cloudfront.net/hearthstone/5cf720471b48003fd4a82410a4d12701f79774284c25f4d24371eae6013ef4fa.png","Image")</f>
        <v>Image</v>
      </c>
      <c r="I42" s="714">
        <v>2.0</v>
      </c>
      <c r="J42" s="714">
        <v>1.0</v>
      </c>
      <c r="K42" s="714">
        <v>2.0</v>
      </c>
      <c r="L42" s="714">
        <v>1.0</v>
      </c>
      <c r="M42" s="714">
        <v>2.0</v>
      </c>
      <c r="N42" s="871">
        <v>1.0</v>
      </c>
      <c r="O42" s="848">
        <v>2.0</v>
      </c>
      <c r="P42" s="849">
        <v>2.0</v>
      </c>
      <c r="Q42" s="850">
        <v>1.9807692307692308</v>
      </c>
      <c r="R42" s="851" t="str">
        <f>HYPERLINK("https://www.strawpoll.me/19055233","Vote")</f>
        <v>Vote</v>
      </c>
      <c r="S42" s="781"/>
    </row>
    <row r="43">
      <c r="A43" s="829"/>
      <c r="B43" s="353"/>
      <c r="C43" s="717" t="s">
        <v>1662</v>
      </c>
      <c r="D43" s="925"/>
      <c r="E43" s="503">
        <v>6.0</v>
      </c>
      <c r="F43" s="503">
        <v>5.0</v>
      </c>
      <c r="G43" s="503">
        <v>5.0</v>
      </c>
      <c r="H43" s="926" t="str">
        <f>HYPERLINK("https://d15f34w2p8l1cc.cloudfront.net/hearthstone/c0121f441cafc0214884cf39e209f6bb5bed524cc7c9075e885d518e2df09add.png","Image")</f>
        <v>Image</v>
      </c>
      <c r="I43" s="714">
        <v>1.0</v>
      </c>
      <c r="J43" s="714">
        <v>1.0</v>
      </c>
      <c r="K43" s="714">
        <v>1.0</v>
      </c>
      <c r="L43" s="714">
        <v>1.0</v>
      </c>
      <c r="M43" s="714">
        <v>1.0</v>
      </c>
      <c r="N43" s="871">
        <v>1.0</v>
      </c>
      <c r="O43" s="848">
        <v>1.0</v>
      </c>
      <c r="P43" s="849">
        <v>1.0</v>
      </c>
      <c r="Q43" s="850">
        <v>1.1020408163265305</v>
      </c>
      <c r="R43" s="851" t="str">
        <f>HYPERLINK("https://www.strawpoll.me/19055234","Vote")</f>
        <v>Vote</v>
      </c>
      <c r="S43" s="781"/>
    </row>
    <row r="44">
      <c r="A44" s="829"/>
      <c r="B44" s="353"/>
      <c r="C44" s="717" t="s">
        <v>1663</v>
      </c>
      <c r="D44" s="925" t="s">
        <v>51</v>
      </c>
      <c r="E44" s="503">
        <v>3.0</v>
      </c>
      <c r="F44" s="503">
        <v>3.0</v>
      </c>
      <c r="G44" s="503">
        <v>5.0</v>
      </c>
      <c r="H44" s="926" t="str">
        <f>HYPERLINK("https://d15f34w2p8l1cc.cloudfront.net/hearthstone/f429046676b7699bb30fb38e7e8345d3529685a8632be72a2a523e58109389ba.png","Image")</f>
        <v>Image</v>
      </c>
      <c r="I44" s="714">
        <v>1.0</v>
      </c>
      <c r="J44" s="714">
        <v>1.0</v>
      </c>
      <c r="K44" s="714">
        <v>1.0</v>
      </c>
      <c r="L44" s="714">
        <v>1.0</v>
      </c>
      <c r="M44" s="714">
        <v>1.0</v>
      </c>
      <c r="N44" s="871">
        <v>1.0</v>
      </c>
      <c r="O44" s="848">
        <v>1.0</v>
      </c>
      <c r="P44" s="849">
        <v>1.0</v>
      </c>
      <c r="Q44" s="850">
        <v>1.1372549019607843</v>
      </c>
      <c r="R44" s="851" t="str">
        <f>HYPERLINK("https://www.strawpoll.me/19055235","Vote")</f>
        <v>Vote</v>
      </c>
      <c r="S44" s="781"/>
    </row>
    <row r="45">
      <c r="A45" s="872"/>
      <c r="B45" s="355"/>
      <c r="C45" s="927" t="s">
        <v>1664</v>
      </c>
      <c r="D45" s="928"/>
      <c r="E45" s="915">
        <v>0.0</v>
      </c>
      <c r="F45" s="915">
        <v>3.0</v>
      </c>
      <c r="G45" s="915">
        <v>5.0</v>
      </c>
      <c r="H45" s="929" t="str">
        <f>HYPERLINK("https://d15f34w2p8l1cc.cloudfront.net/hearthstone/1cc56d817e7d1f89b3859904545a34b83c5c08f6415056aff5ee3c521e4f6ab9.png","Image")</f>
        <v>Image</v>
      </c>
      <c r="I45" s="714">
        <v>1.0</v>
      </c>
      <c r="J45" s="714">
        <v>1.0</v>
      </c>
      <c r="K45" s="714">
        <v>1.0</v>
      </c>
      <c r="L45" s="714">
        <v>1.0</v>
      </c>
      <c r="M45" s="714">
        <v>1.0</v>
      </c>
      <c r="N45" s="871">
        <v>1.0</v>
      </c>
      <c r="O45" s="848">
        <v>1.0</v>
      </c>
      <c r="P45" s="849">
        <v>1.0</v>
      </c>
      <c r="Q45" s="850">
        <v>1.22</v>
      </c>
      <c r="R45" s="851" t="str">
        <f>HYPERLINK("https://www.strawpoll.me/19055236","Vote")</f>
        <v>Vote</v>
      </c>
      <c r="S45" s="781"/>
    </row>
    <row r="46" ht="17.25" customHeight="1">
      <c r="A46" s="829"/>
      <c r="B46" s="628" t="s">
        <v>1179</v>
      </c>
      <c r="C46" s="720" t="s">
        <v>1665</v>
      </c>
      <c r="D46" s="906"/>
      <c r="E46" s="508">
        <v>5.0</v>
      </c>
      <c r="F46" s="508">
        <v>4.0</v>
      </c>
      <c r="G46" s="508">
        <v>4.0</v>
      </c>
      <c r="H46" s="930" t="str">
        <f>HYPERLINK("https://d15f34w2p8l1cc.cloudfront.net/hearthstone/39e0d738a1a80c69b72f2b77b190db3a12a951fdca0870e9fe625cb762e81b4c.png","Image")</f>
        <v>Image</v>
      </c>
      <c r="I46" s="714">
        <v>3.0</v>
      </c>
      <c r="J46" s="714">
        <v>3.0</v>
      </c>
      <c r="K46" s="714">
        <v>4.0</v>
      </c>
      <c r="L46" s="714">
        <v>2.0</v>
      </c>
      <c r="M46" s="714">
        <v>4.0</v>
      </c>
      <c r="N46" s="871">
        <v>4.0</v>
      </c>
      <c r="O46" s="848">
        <v>4.0</v>
      </c>
      <c r="P46" s="870">
        <v>4.0</v>
      </c>
      <c r="Q46" s="850">
        <v>3.4545454545454546</v>
      </c>
      <c r="R46" s="851" t="str">
        <f>HYPERLINK("https://www.strawpoll.me/19055238","Vote")</f>
        <v>Vote</v>
      </c>
      <c r="S46" s="781"/>
    </row>
    <row r="47">
      <c r="A47" s="829"/>
      <c r="B47" s="353"/>
      <c r="C47" s="720" t="s">
        <v>1666</v>
      </c>
      <c r="D47" s="906"/>
      <c r="E47" s="508">
        <v>6.0</v>
      </c>
      <c r="F47" s="508">
        <v>6.0</v>
      </c>
      <c r="G47" s="508">
        <v>6.0</v>
      </c>
      <c r="H47" s="930" t="str">
        <f>HYPERLINK("https://d15f34w2p8l1cc.cloudfront.net/hearthstone/cc3e3678ff5127ddc6ef51e3e4aa70fbda6bd8eb97e98bafb5bdf54acfbecc3c.png","Image")</f>
        <v>Image</v>
      </c>
      <c r="I47" s="714">
        <v>4.0</v>
      </c>
      <c r="J47" s="714">
        <v>4.0</v>
      </c>
      <c r="K47" s="714">
        <v>4.0</v>
      </c>
      <c r="L47" s="714">
        <v>4.0</v>
      </c>
      <c r="M47" s="714">
        <v>4.0</v>
      </c>
      <c r="N47" s="871">
        <v>4.0</v>
      </c>
      <c r="O47" s="848">
        <v>4.0</v>
      </c>
      <c r="P47" s="849">
        <v>4.0</v>
      </c>
      <c r="Q47" s="850">
        <v>3.8</v>
      </c>
      <c r="R47" s="851" t="str">
        <f>HYPERLINK("https://www.strawpoll.me/19055240","Vote")</f>
        <v>Vote</v>
      </c>
      <c r="S47" s="781"/>
    </row>
    <row r="48">
      <c r="A48" s="829"/>
      <c r="B48" s="353"/>
      <c r="C48" s="720" t="s">
        <v>1667</v>
      </c>
      <c r="D48" s="906"/>
      <c r="E48" s="508">
        <v>1.0</v>
      </c>
      <c r="F48" s="508">
        <v>7.0</v>
      </c>
      <c r="G48" s="508">
        <v>7.0</v>
      </c>
      <c r="H48" s="930" t="str">
        <f>HYPERLINK("https://d15f34w2p8l1cc.cloudfront.net/hearthstone/b65baf71030e4ed4c504060081e8ad42d04acb39e4787a6cfa8a12cc3b91b188.png","Image")</f>
        <v>Image</v>
      </c>
      <c r="I48" s="714">
        <v>2.0</v>
      </c>
      <c r="J48" s="714">
        <v>2.0</v>
      </c>
      <c r="K48" s="714">
        <v>1.0</v>
      </c>
      <c r="L48" s="714">
        <v>3.0</v>
      </c>
      <c r="M48" s="714">
        <v>2.0</v>
      </c>
      <c r="N48" s="871">
        <v>3.0</v>
      </c>
      <c r="O48" s="848">
        <v>1.0</v>
      </c>
      <c r="P48" s="849">
        <v>2.0</v>
      </c>
      <c r="Q48" s="850">
        <v>2.1147540983606556</v>
      </c>
      <c r="R48" s="851" t="str">
        <f>HYPERLINK("https://www.strawpoll.me/19055242","Vote")</f>
        <v>Vote</v>
      </c>
      <c r="S48" s="781"/>
    </row>
    <row r="49">
      <c r="A49" s="829"/>
      <c r="B49" s="353"/>
      <c r="C49" s="720" t="s">
        <v>1668</v>
      </c>
      <c r="D49" s="912" t="s">
        <v>43</v>
      </c>
      <c r="E49" s="508">
        <v>8.0</v>
      </c>
      <c r="F49" s="508">
        <v>8.0</v>
      </c>
      <c r="G49" s="508">
        <v>9.0</v>
      </c>
      <c r="H49" s="930" t="str">
        <f>HYPERLINK("https://d15f34w2p8l1cc.cloudfront.net/hearthstone/f1b779af311af36dbf47ec7bd709eac13f9d558a747fc4c8702a6219a80441d8.png","Image")</f>
        <v>Image</v>
      </c>
      <c r="I49" s="714">
        <v>4.0</v>
      </c>
      <c r="J49" s="714">
        <v>3.0</v>
      </c>
      <c r="K49" s="714">
        <v>4.0</v>
      </c>
      <c r="L49" s="714">
        <v>3.0</v>
      </c>
      <c r="M49" s="714">
        <v>4.0</v>
      </c>
      <c r="N49" s="871">
        <v>4.0</v>
      </c>
      <c r="O49" s="848">
        <v>4.0</v>
      </c>
      <c r="P49" s="849">
        <v>4.0</v>
      </c>
      <c r="Q49" s="850">
        <v>3.5625</v>
      </c>
      <c r="R49" s="851" t="str">
        <f>HYPERLINK("https://www.strawpoll.me/19055243","Vote")</f>
        <v>Vote</v>
      </c>
      <c r="S49" s="781"/>
    </row>
    <row r="50">
      <c r="A50" s="829"/>
      <c r="B50" s="355"/>
      <c r="C50" s="919" t="s">
        <v>1669</v>
      </c>
      <c r="D50" s="931" t="s">
        <v>97</v>
      </c>
      <c r="E50" s="921">
        <v>5.0</v>
      </c>
      <c r="F50" s="921">
        <v>5.0</v>
      </c>
      <c r="G50" s="921">
        <v>9.0</v>
      </c>
      <c r="H50" s="916" t="str">
        <f>HYPERLINK("https://d15f34w2p8l1cc.cloudfront.net/hearthstone/7617f337c1cf09dadc56523cb0c4ff7972a6dd840ec08e29e3111703c3a9d8e3.png","Image")</f>
        <v>Image</v>
      </c>
      <c r="I50" s="714">
        <v>2.0</v>
      </c>
      <c r="J50" s="714">
        <v>2.0</v>
      </c>
      <c r="K50" s="714">
        <v>1.0</v>
      </c>
      <c r="L50" s="714">
        <v>2.0</v>
      </c>
      <c r="M50" s="714">
        <v>3.0</v>
      </c>
      <c r="N50" s="871">
        <v>2.0</v>
      </c>
      <c r="O50" s="848">
        <v>2.0</v>
      </c>
      <c r="P50" s="881">
        <v>2.0</v>
      </c>
      <c r="Q50" s="850">
        <v>1.8727272727272728</v>
      </c>
      <c r="R50" s="851" t="str">
        <f>HYPERLINK("https://www.strawpoll.me/19055245","Vote")</f>
        <v>Vote</v>
      </c>
      <c r="S50" s="781"/>
    </row>
    <row r="51">
      <c r="A51" s="823"/>
      <c r="B51" s="824"/>
      <c r="C51" s="195" t="s">
        <v>83</v>
      </c>
      <c r="D51" s="82"/>
      <c r="E51" s="82"/>
      <c r="F51" s="82"/>
      <c r="G51" s="82"/>
      <c r="H51" s="96"/>
      <c r="I51" s="128"/>
      <c r="J51" s="128"/>
      <c r="K51" s="128"/>
      <c r="L51" s="128"/>
      <c r="M51" s="128"/>
      <c r="N51" s="128"/>
      <c r="O51" s="445"/>
      <c r="P51" s="932"/>
      <c r="Q51" s="932"/>
      <c r="R51" s="749"/>
      <c r="S51" s="307"/>
    </row>
    <row r="52" ht="15.75" customHeight="1">
      <c r="A52" s="872"/>
      <c r="B52" s="636"/>
      <c r="C52" s="830"/>
      <c r="D52" s="831"/>
      <c r="E52" s="832"/>
      <c r="F52" s="832"/>
      <c r="G52" s="832"/>
      <c r="H52" s="933"/>
      <c r="I52" s="702" t="s">
        <v>2</v>
      </c>
      <c r="J52" s="702" t="s">
        <v>426</v>
      </c>
      <c r="K52" s="702" t="s">
        <v>1</v>
      </c>
      <c r="L52" s="702" t="s">
        <v>427</v>
      </c>
      <c r="M52" s="702" t="s">
        <v>208</v>
      </c>
      <c r="N52" s="702" t="s">
        <v>3</v>
      </c>
      <c r="O52" s="887" t="s">
        <v>4</v>
      </c>
      <c r="P52" s="888" t="s">
        <v>1617</v>
      </c>
      <c r="Q52" s="835"/>
      <c r="R52" s="820"/>
      <c r="S52" s="781"/>
    </row>
    <row r="53" ht="17.25" customHeight="1">
      <c r="A53" s="829"/>
      <c r="B53" s="631" t="s">
        <v>64</v>
      </c>
      <c r="C53" s="705" t="s">
        <v>1670</v>
      </c>
      <c r="D53" s="934" t="s">
        <v>60</v>
      </c>
      <c r="E53" s="185">
        <v>1.0</v>
      </c>
      <c r="F53" s="185">
        <v>2.0</v>
      </c>
      <c r="G53" s="185">
        <v>1.0</v>
      </c>
      <c r="H53" s="840" t="str">
        <f>HYPERLINK("https://d15f34w2p8l1cc.cloudfront.net/hearthstone/7a4b23bc002a8a37b7948d851ccf4b61f1e82e872a131d57a6f581dea0df41f4.png","Image")</f>
        <v>Image</v>
      </c>
      <c r="I53" s="709">
        <v>3.0</v>
      </c>
      <c r="J53" s="709">
        <v>3.0</v>
      </c>
      <c r="K53" s="709">
        <v>2.0</v>
      </c>
      <c r="L53" s="709">
        <v>3.0</v>
      </c>
      <c r="M53" s="709">
        <v>2.0</v>
      </c>
      <c r="N53" s="709">
        <v>3.0</v>
      </c>
      <c r="O53" s="841">
        <v>3.0</v>
      </c>
      <c r="P53" s="849">
        <v>3.0</v>
      </c>
      <c r="Q53" s="895">
        <v>2.8653846153846154</v>
      </c>
      <c r="R53" s="851" t="str">
        <f>HYPERLINK("https://www.strawpoll.me/19055247","Vote")</f>
        <v>Vote</v>
      </c>
      <c r="S53" s="781"/>
    </row>
    <row r="54">
      <c r="A54" s="872"/>
      <c r="B54" s="353"/>
      <c r="C54" s="935" t="s">
        <v>1671</v>
      </c>
      <c r="D54" s="936"/>
      <c r="E54" s="855">
        <v>2.0</v>
      </c>
      <c r="F54" s="855">
        <v>3.0</v>
      </c>
      <c r="G54" s="855">
        <v>3.0</v>
      </c>
      <c r="H54" s="856" t="str">
        <f>HYPERLINK("https://d15f34w2p8l1cc.cloudfront.net/hearthstone/3e97f67829e2ab393e4bed7d50f4e08371430a89e1906d32dc3361f3fbf42577.png","Image")</f>
        <v>Image</v>
      </c>
      <c r="I54" s="714">
        <v>1.0</v>
      </c>
      <c r="J54" s="714">
        <v>2.0</v>
      </c>
      <c r="K54" s="714">
        <v>1.0</v>
      </c>
      <c r="L54" s="714">
        <v>1.0</v>
      </c>
      <c r="M54" s="714">
        <v>1.0</v>
      </c>
      <c r="N54" s="871">
        <v>2.0</v>
      </c>
      <c r="O54" s="848">
        <v>1.0</v>
      </c>
      <c r="P54" s="870">
        <v>1.0</v>
      </c>
      <c r="Q54" s="850">
        <v>1.52</v>
      </c>
      <c r="R54" s="851" t="str">
        <f>HYPERLINK("https://www.strawpoll.me/19055248","Vote")</f>
        <v>Vote</v>
      </c>
      <c r="S54" s="781"/>
    </row>
    <row r="55">
      <c r="A55" s="829"/>
      <c r="B55" s="632"/>
      <c r="C55" s="937" t="s">
        <v>1672</v>
      </c>
      <c r="D55" s="938" t="s">
        <v>1673</v>
      </c>
      <c r="E55" s="939"/>
      <c r="F55" s="939"/>
      <c r="G55" s="939">
        <v>3.0</v>
      </c>
      <c r="H55" s="940" t="str">
        <f>HYPERLINK("https://d15f34w2p8l1cc.cloudfront.net/hearthstone/ff8bbbf81ab31c3bb686999016ad523f8dbb246a268b3dc5b599f2362dc8ab15.png","Image")</f>
        <v>Image</v>
      </c>
      <c r="I55" s="714">
        <v>3.0</v>
      </c>
      <c r="J55" s="714">
        <v>2.0</v>
      </c>
      <c r="K55" s="714">
        <v>2.0</v>
      </c>
      <c r="L55" s="714">
        <v>2.0</v>
      </c>
      <c r="M55" s="714">
        <v>2.0</v>
      </c>
      <c r="N55" s="871">
        <v>3.0</v>
      </c>
      <c r="O55" s="848">
        <v>2.0</v>
      </c>
      <c r="P55" s="849">
        <v>2.0</v>
      </c>
      <c r="Q55" s="850">
        <v>2.1914893617021276</v>
      </c>
      <c r="R55" s="851" t="str">
        <f>HYPERLINK("https://www.strawpoll.me/19055249","Vote")</f>
        <v>Vote</v>
      </c>
      <c r="S55" s="781"/>
    </row>
    <row r="56">
      <c r="A56" s="829"/>
      <c r="B56" s="639"/>
      <c r="C56" s="941" t="s">
        <v>1674</v>
      </c>
      <c r="D56" s="942" t="s">
        <v>1675</v>
      </c>
      <c r="E56" s="943">
        <v>1.0</v>
      </c>
      <c r="F56" s="943">
        <v>2.0</v>
      </c>
      <c r="G56" s="943">
        <v>2.0</v>
      </c>
      <c r="H56" s="944" t="str">
        <f>HYPERLINK("https://d15f34w2p8l1cc.cloudfront.net/hearthstone/571e9b8a030f5db67fad697f86994bf7017beefe0894d7d1ccb5bc1b96b9197c.png","Image")</f>
        <v>Image</v>
      </c>
      <c r="I56" s="714">
        <v>2.0</v>
      </c>
      <c r="J56" s="714">
        <v>3.0</v>
      </c>
      <c r="K56" s="714">
        <v>3.0</v>
      </c>
      <c r="L56" s="714">
        <v>2.0</v>
      </c>
      <c r="M56" s="714">
        <v>2.0</v>
      </c>
      <c r="N56" s="871">
        <v>2.0</v>
      </c>
      <c r="O56" s="848">
        <v>3.0</v>
      </c>
      <c r="P56" s="849">
        <v>3.0</v>
      </c>
      <c r="Q56" s="850">
        <v>2.5</v>
      </c>
      <c r="R56" s="851" t="str">
        <f>HYPERLINK("https://www.strawpoll.me/19055252","Vote")</f>
        <v>Vote</v>
      </c>
      <c r="S56" s="781"/>
    </row>
    <row r="57">
      <c r="A57" s="829"/>
      <c r="B57" s="353"/>
      <c r="C57" s="935" t="s">
        <v>1676</v>
      </c>
      <c r="D57" s="936" t="s">
        <v>20</v>
      </c>
      <c r="E57" s="855">
        <v>2.0</v>
      </c>
      <c r="F57" s="855">
        <v>5.0</v>
      </c>
      <c r="G57" s="855">
        <v>3.0</v>
      </c>
      <c r="H57" s="856" t="str">
        <f>HYPERLINK("https://d15f34w2p8l1cc.cloudfront.net/hearthstone/8b3daceec08911eaec198eeeee5d46acbae6047062dace7990bf842262eeb06a.png","Image")</f>
        <v>Image</v>
      </c>
      <c r="I57" s="714">
        <v>3.0</v>
      </c>
      <c r="J57" s="714">
        <v>3.0</v>
      </c>
      <c r="K57" s="714">
        <v>4.0</v>
      </c>
      <c r="L57" s="714">
        <v>3.0</v>
      </c>
      <c r="M57" s="714">
        <v>3.0</v>
      </c>
      <c r="N57" s="871">
        <v>4.0</v>
      </c>
      <c r="O57" s="848">
        <v>3.0</v>
      </c>
      <c r="P57" s="849">
        <v>3.0</v>
      </c>
      <c r="Q57" s="850">
        <v>3.2708333333333335</v>
      </c>
      <c r="R57" s="851" t="str">
        <f>HYPERLINK("https://www.strawpoll.me/19055253","Vote")</f>
        <v>Vote</v>
      </c>
      <c r="S57" s="781"/>
    </row>
    <row r="58">
      <c r="A58" s="829"/>
      <c r="B58" s="632"/>
      <c r="C58" s="937" t="s">
        <v>1677</v>
      </c>
      <c r="D58" s="938" t="s">
        <v>71</v>
      </c>
      <c r="E58" s="939"/>
      <c r="F58" s="939"/>
      <c r="G58" s="939">
        <v>4.0</v>
      </c>
      <c r="H58" s="940" t="str">
        <f>HYPERLINK("https://d15f34w2p8l1cc.cloudfront.net/hearthstone/4767826ee0e4fb70d3fd1d9d669b943d2ce0e364503829f3f4a5d44d2e8df0ba.png","Image")</f>
        <v>Image</v>
      </c>
      <c r="I58" s="714">
        <v>2.0</v>
      </c>
      <c r="J58" s="714">
        <v>2.0</v>
      </c>
      <c r="K58" s="714">
        <v>2.0</v>
      </c>
      <c r="L58" s="714">
        <v>2.0</v>
      </c>
      <c r="M58" s="714">
        <v>2.0</v>
      </c>
      <c r="N58" s="871">
        <v>2.0</v>
      </c>
      <c r="O58" s="848">
        <v>2.0</v>
      </c>
      <c r="P58" s="849">
        <v>2.0</v>
      </c>
      <c r="Q58" s="850">
        <v>2.0</v>
      </c>
      <c r="R58" s="851" t="str">
        <f>HYPERLINK("https://www.strawpoll.me/19055255","Vote")</f>
        <v>Vote</v>
      </c>
      <c r="S58" s="781"/>
    </row>
    <row r="59">
      <c r="A59" s="829"/>
      <c r="B59" s="793"/>
      <c r="C59" s="941" t="s">
        <v>1678</v>
      </c>
      <c r="D59" s="942" t="s">
        <v>43</v>
      </c>
      <c r="E59" s="943">
        <v>3.0</v>
      </c>
      <c r="F59" s="943">
        <v>2.0</v>
      </c>
      <c r="G59" s="943">
        <v>3.0</v>
      </c>
      <c r="H59" s="944" t="str">
        <f>HYPERLINK("https://d15f34w2p8l1cc.cloudfront.net/hearthstone/95d918d6ff09592a1e84666d8f90db944f9007501d99a755b2844d0f05a9fdec.png","Image")</f>
        <v>Image</v>
      </c>
      <c r="I59" s="714">
        <v>3.0</v>
      </c>
      <c r="J59" s="714">
        <v>3.0</v>
      </c>
      <c r="K59" s="714">
        <v>3.0</v>
      </c>
      <c r="L59" s="714">
        <v>3.0</v>
      </c>
      <c r="M59" s="714">
        <v>3.0</v>
      </c>
      <c r="N59" s="871">
        <v>4.0</v>
      </c>
      <c r="O59" s="848">
        <v>3.0</v>
      </c>
      <c r="P59" s="849">
        <v>3.0</v>
      </c>
      <c r="Q59" s="850">
        <v>3.2222222222222223</v>
      </c>
      <c r="R59" s="851" t="str">
        <f>HYPERLINK("https://www.strawpoll.me/19055256","Vote")</f>
        <v>Vote</v>
      </c>
      <c r="S59" s="781"/>
    </row>
    <row r="60">
      <c r="A60" s="829"/>
      <c r="B60" s="632"/>
      <c r="C60" s="937" t="s">
        <v>1679</v>
      </c>
      <c r="D60" s="938" t="s">
        <v>71</v>
      </c>
      <c r="E60" s="939"/>
      <c r="F60" s="939"/>
      <c r="G60" s="939">
        <v>3.0</v>
      </c>
      <c r="H60" s="940" t="str">
        <f>HYPERLINK("https://d15f34w2p8l1cc.cloudfront.net/hearthstone/a8575e8997ab73770abdfdcb949edf3d407f7e95cc62d485ee4ca35e19c7fc6c.png","Image")</f>
        <v>Image</v>
      </c>
      <c r="I60" s="714">
        <v>1.0</v>
      </c>
      <c r="J60" s="714">
        <v>1.0</v>
      </c>
      <c r="K60" s="714">
        <v>1.0</v>
      </c>
      <c r="L60" s="714">
        <v>1.0</v>
      </c>
      <c r="M60" s="714">
        <v>1.0</v>
      </c>
      <c r="N60" s="871">
        <v>2.0</v>
      </c>
      <c r="O60" s="848">
        <v>1.0</v>
      </c>
      <c r="P60" s="849">
        <v>1.0</v>
      </c>
      <c r="Q60" s="850">
        <v>1.2045454545454546</v>
      </c>
      <c r="R60" s="851" t="str">
        <f>HYPERLINK("https://www.strawpoll.me/19055257","Vote")</f>
        <v>Vote</v>
      </c>
      <c r="S60" s="781"/>
    </row>
    <row r="61">
      <c r="A61" s="829"/>
      <c r="B61" s="794"/>
      <c r="C61" s="941" t="s">
        <v>1680</v>
      </c>
      <c r="D61" s="942" t="s">
        <v>77</v>
      </c>
      <c r="E61" s="943">
        <v>2.0</v>
      </c>
      <c r="F61" s="943">
        <v>3.0</v>
      </c>
      <c r="G61" s="943">
        <v>3.0</v>
      </c>
      <c r="H61" s="944" t="str">
        <f>HYPERLINK("https://d15f34w2p8l1cc.cloudfront.net/hearthstone/6da80ac83b03e7fce8e209af7a3c689aa4653a527b708c1ab62c0a69268c1526.png","Image")</f>
        <v>Image</v>
      </c>
      <c r="I61" s="714">
        <v>3.0</v>
      </c>
      <c r="J61" s="714">
        <v>3.0</v>
      </c>
      <c r="K61" s="714">
        <v>4.0</v>
      </c>
      <c r="L61" s="714">
        <v>3.0</v>
      </c>
      <c r="M61" s="714">
        <v>3.0</v>
      </c>
      <c r="N61" s="714">
        <v>4.0</v>
      </c>
      <c r="O61" s="848">
        <v>4.0</v>
      </c>
      <c r="P61" s="849">
        <v>4.0</v>
      </c>
      <c r="Q61" s="850">
        <v>3.5</v>
      </c>
      <c r="R61" s="851" t="str">
        <f>HYPERLINK("https://www.strawpoll.me/19055259","Vote")</f>
        <v>Vote</v>
      </c>
      <c r="S61" s="781"/>
    </row>
    <row r="62">
      <c r="A62" s="829"/>
      <c r="B62" s="353"/>
      <c r="C62" s="945" t="s">
        <v>1681</v>
      </c>
      <c r="D62" s="946" t="s">
        <v>1682</v>
      </c>
      <c r="E62" s="947"/>
      <c r="F62" s="948"/>
      <c r="G62" s="947">
        <v>7.0</v>
      </c>
      <c r="H62" s="949" t="str">
        <f>HYPERLINK("https://d15f34w2p8l1cc.cloudfront.net/hearthstone/e42d260eedab2875bfda78e089a2f74cadcec1e79d394e80895d4c66888bf3d2.png","Image")</f>
        <v>Image</v>
      </c>
      <c r="I62" s="714">
        <v>3.0</v>
      </c>
      <c r="J62" s="714">
        <v>3.0</v>
      </c>
      <c r="K62" s="714">
        <v>3.0</v>
      </c>
      <c r="L62" s="714">
        <v>2.0</v>
      </c>
      <c r="M62" s="714">
        <v>3.0</v>
      </c>
      <c r="N62" s="871">
        <v>2.0</v>
      </c>
      <c r="O62" s="848">
        <v>3.0</v>
      </c>
      <c r="P62" s="849">
        <v>3.0</v>
      </c>
      <c r="Q62" s="850">
        <v>2.816326530612245</v>
      </c>
      <c r="R62" s="851" t="str">
        <f>HYPERLINK("https://www.strawpoll.me/19055260","Vote")</f>
        <v>Vote</v>
      </c>
      <c r="S62" s="781"/>
    </row>
    <row r="63">
      <c r="A63" s="829"/>
      <c r="B63" s="355"/>
      <c r="C63" s="864" t="s">
        <v>1683</v>
      </c>
      <c r="D63" s="865" t="s">
        <v>43</v>
      </c>
      <c r="E63" s="859">
        <v>12.0</v>
      </c>
      <c r="F63" s="859">
        <v>12.0</v>
      </c>
      <c r="G63" s="859">
        <v>8.0</v>
      </c>
      <c r="H63" s="860" t="str">
        <f>HYPERLINK("https://d15f34w2p8l1cc.cloudfront.net/hearthstone/aef185438c4c3f838dd6d58ff94e8d51dbae53e2e0a60b46666753b3342814c8.png","Image")</f>
        <v>Image</v>
      </c>
      <c r="I63" s="774">
        <v>2.0</v>
      </c>
      <c r="J63" s="774">
        <v>3.0</v>
      </c>
      <c r="K63" s="774">
        <v>3.0</v>
      </c>
      <c r="L63" s="774">
        <v>3.0</v>
      </c>
      <c r="M63" s="774">
        <v>3.0</v>
      </c>
      <c r="N63" s="879">
        <v>3.0</v>
      </c>
      <c r="O63" s="880">
        <v>3.0</v>
      </c>
      <c r="P63" s="881">
        <v>3.0</v>
      </c>
      <c r="Q63" s="882">
        <v>2.7</v>
      </c>
      <c r="R63" s="851" t="str">
        <f>HYPERLINK("https://www.strawpoll.me/19055261","Vote")</f>
        <v>Vote</v>
      </c>
      <c r="S63" s="781"/>
    </row>
    <row r="64">
      <c r="A64" s="883"/>
      <c r="B64" s="605"/>
      <c r="C64" s="195" t="s">
        <v>95</v>
      </c>
      <c r="D64" s="82"/>
      <c r="E64" s="82"/>
      <c r="F64" s="82"/>
      <c r="G64" s="82"/>
      <c r="H64" s="96"/>
      <c r="I64" s="128"/>
      <c r="J64" s="128"/>
      <c r="K64" s="128"/>
      <c r="L64" s="128"/>
      <c r="M64" s="128"/>
      <c r="N64" s="128"/>
      <c r="O64" s="445"/>
      <c r="P64" s="932"/>
      <c r="Q64" s="932"/>
      <c r="R64" s="749"/>
      <c r="S64" s="307"/>
    </row>
    <row r="65" ht="15.75" customHeight="1">
      <c r="A65" s="829"/>
      <c r="B65" s="636"/>
      <c r="C65" s="830"/>
      <c r="D65" s="831"/>
      <c r="E65" s="832"/>
      <c r="F65" s="832"/>
      <c r="G65" s="832"/>
      <c r="H65" s="933"/>
      <c r="I65" s="702" t="s">
        <v>2</v>
      </c>
      <c r="J65" s="702" t="s">
        <v>426</v>
      </c>
      <c r="K65" s="702" t="s">
        <v>1</v>
      </c>
      <c r="L65" s="702" t="s">
        <v>427</v>
      </c>
      <c r="M65" s="702" t="s">
        <v>208</v>
      </c>
      <c r="N65" s="702" t="s">
        <v>3</v>
      </c>
      <c r="O65" s="887" t="s">
        <v>4</v>
      </c>
      <c r="P65" s="888" t="s">
        <v>1617</v>
      </c>
      <c r="Q65" s="835"/>
      <c r="R65" s="820"/>
      <c r="S65" s="781"/>
    </row>
    <row r="66">
      <c r="A66" s="872"/>
      <c r="B66" s="950"/>
      <c r="C66" s="705" t="s">
        <v>1684</v>
      </c>
      <c r="D66" s="934" t="s">
        <v>71</v>
      </c>
      <c r="E66" s="185"/>
      <c r="F66" s="185"/>
      <c r="G66" s="185">
        <v>1.0</v>
      </c>
      <c r="H66" s="840" t="str">
        <f>HYPERLINK("https://d15f34w2p8l1cc.cloudfront.net/hearthstone/a53940f5d1a08062baaa81533ad009244d83290a30ca37ef890530afc89d9b62.png","Image")</f>
        <v>Image</v>
      </c>
      <c r="I66" s="709">
        <v>1.0</v>
      </c>
      <c r="J66" s="709">
        <v>2.0</v>
      </c>
      <c r="K66" s="709">
        <v>1.0</v>
      </c>
      <c r="L66" s="709">
        <v>1.0</v>
      </c>
      <c r="M66" s="709">
        <v>1.0</v>
      </c>
      <c r="N66" s="894">
        <v>1.0</v>
      </c>
      <c r="O66" s="841">
        <v>1.0</v>
      </c>
      <c r="P66" s="849">
        <v>1.0</v>
      </c>
      <c r="Q66" s="895">
        <v>1.255813953488372</v>
      </c>
      <c r="R66" s="851" t="str">
        <f>HYPERLINK("https://www.strawpoll.me/19055263","Vote")</f>
        <v>Vote</v>
      </c>
      <c r="S66" s="781"/>
    </row>
    <row r="67">
      <c r="A67" s="829"/>
      <c r="B67" s="353"/>
      <c r="C67" s="935" t="s">
        <v>1685</v>
      </c>
      <c r="D67" s="936" t="s">
        <v>1673</v>
      </c>
      <c r="E67" s="855"/>
      <c r="F67" s="855"/>
      <c r="G67" s="855">
        <v>3.0</v>
      </c>
      <c r="H67" s="856" t="str">
        <f>HYPERLINK("https://d15f34w2p8l1cc.cloudfront.net/hearthstone/99816f418dba10ca96ae9d2acdae87c769d2542cefe65f1a474770a3b63451c9.png","Image")</f>
        <v>Image</v>
      </c>
      <c r="I67" s="714">
        <v>1.0</v>
      </c>
      <c r="J67" s="714">
        <v>1.0</v>
      </c>
      <c r="K67" s="714">
        <v>1.0</v>
      </c>
      <c r="L67" s="714">
        <v>1.0</v>
      </c>
      <c r="M67" s="714">
        <v>1.0</v>
      </c>
      <c r="N67" s="871">
        <v>2.0</v>
      </c>
      <c r="O67" s="848">
        <v>1.0</v>
      </c>
      <c r="P67" s="849">
        <v>1.0</v>
      </c>
      <c r="Q67" s="850">
        <v>1.3414634146341464</v>
      </c>
      <c r="R67" s="851" t="str">
        <f>HYPERLINK("https://www.strawpoll.me/19055264","Vote")</f>
        <v>Vote</v>
      </c>
      <c r="S67" s="781"/>
    </row>
    <row r="68">
      <c r="A68" s="829"/>
      <c r="B68" s="632"/>
      <c r="C68" s="937" t="s">
        <v>1686</v>
      </c>
      <c r="D68" s="938"/>
      <c r="E68" s="939">
        <v>2.0</v>
      </c>
      <c r="F68" s="939">
        <v>2.0</v>
      </c>
      <c r="G68" s="939">
        <v>6.0</v>
      </c>
      <c r="H68" s="940" t="str">
        <f>HYPERLINK("https://d15f34w2p8l1cc.cloudfront.net/hearthstone/3e97ec2e24eb3dd19300134cc8208512a3169a60fa5ac3b5b3adec9cd00a2a15.png","Image")</f>
        <v>Image</v>
      </c>
      <c r="I68" s="714">
        <v>2.0</v>
      </c>
      <c r="J68" s="714">
        <v>1.0</v>
      </c>
      <c r="K68" s="714">
        <v>1.0</v>
      </c>
      <c r="L68" s="714">
        <v>1.0</v>
      </c>
      <c r="M68" s="714">
        <v>2.0</v>
      </c>
      <c r="N68" s="871">
        <v>2.0</v>
      </c>
      <c r="O68" s="848">
        <v>2.0</v>
      </c>
      <c r="P68" s="849">
        <v>2.0</v>
      </c>
      <c r="Q68" s="850">
        <v>2.024390243902439</v>
      </c>
      <c r="R68" s="851" t="str">
        <f>HYPERLINK("https://www.strawpoll.me/19055265","Vote")</f>
        <v>Vote</v>
      </c>
      <c r="S68" s="781"/>
    </row>
    <row r="69">
      <c r="A69" s="829"/>
      <c r="B69" s="639"/>
      <c r="C69" s="941" t="s">
        <v>1687</v>
      </c>
      <c r="D69" s="942" t="s">
        <v>71</v>
      </c>
      <c r="E69" s="943"/>
      <c r="F69" s="943"/>
      <c r="G69" s="943">
        <v>2.0</v>
      </c>
      <c r="H69" s="944" t="str">
        <f>HYPERLINK("https://d15f34w2p8l1cc.cloudfront.net/hearthstone/ad8dd6d06e1a94b637e7428ecc0fde81f14965b017566168b0927e2685be81b8.png","Image")</f>
        <v>Image</v>
      </c>
      <c r="I69" s="714">
        <v>3.0</v>
      </c>
      <c r="J69" s="714">
        <v>3.0</v>
      </c>
      <c r="K69" s="714">
        <v>3.0</v>
      </c>
      <c r="L69" s="714">
        <v>4.0</v>
      </c>
      <c r="M69" s="714">
        <v>3.0</v>
      </c>
      <c r="N69" s="714">
        <v>4.0</v>
      </c>
      <c r="O69" s="848">
        <v>3.0</v>
      </c>
      <c r="P69" s="849">
        <v>3.0</v>
      </c>
      <c r="Q69" s="850">
        <v>2.8974358974358974</v>
      </c>
      <c r="R69" s="851" t="str">
        <f>HYPERLINK("https://www.strawpoll.me/19055266","Vote")</f>
        <v>Vote</v>
      </c>
      <c r="S69" s="781"/>
    </row>
    <row r="70">
      <c r="A70" s="829"/>
      <c r="B70" s="353"/>
      <c r="C70" s="935" t="s">
        <v>1688</v>
      </c>
      <c r="D70" s="936" t="s">
        <v>1638</v>
      </c>
      <c r="E70" s="855">
        <v>1.0</v>
      </c>
      <c r="F70" s="855">
        <v>1.0</v>
      </c>
      <c r="G70" s="855">
        <v>3.0</v>
      </c>
      <c r="H70" s="856" t="str">
        <f>HYPERLINK("https://d15f34w2p8l1cc.cloudfront.net/hearthstone/2309e27aa6e9f5cc7756d039428676c0d354511f95d689a207acd07ef77a1852.png","Image")</f>
        <v>Image</v>
      </c>
      <c r="I70" s="714">
        <v>1.0</v>
      </c>
      <c r="J70" s="714">
        <v>1.0</v>
      </c>
      <c r="K70" s="714">
        <v>1.0</v>
      </c>
      <c r="L70" s="714">
        <v>1.0</v>
      </c>
      <c r="M70" s="714">
        <v>1.0</v>
      </c>
      <c r="N70" s="714">
        <v>2.0</v>
      </c>
      <c r="O70" s="848">
        <v>2.0</v>
      </c>
      <c r="P70" s="870">
        <v>1.0</v>
      </c>
      <c r="Q70" s="850">
        <v>1.5135135135135136</v>
      </c>
      <c r="R70" s="851" t="str">
        <f>HYPERLINK("https://www.strawpoll.me/19055267","Vote")</f>
        <v>Vote</v>
      </c>
      <c r="S70" s="781"/>
    </row>
    <row r="71">
      <c r="A71" s="829"/>
      <c r="B71" s="632"/>
      <c r="C71" s="937" t="s">
        <v>1689</v>
      </c>
      <c r="D71" s="938"/>
      <c r="E71" s="939">
        <v>5.0</v>
      </c>
      <c r="F71" s="939">
        <v>5.0</v>
      </c>
      <c r="G71" s="939">
        <v>5.0</v>
      </c>
      <c r="H71" s="940" t="str">
        <f>HYPERLINK("https://d15f34w2p8l1cc.cloudfront.net/hearthstone/0b474a322695b0ffe7ca93235a403955e1399b0d65edf899fa694e9a47f7d3de.png","Image")</f>
        <v>Image</v>
      </c>
      <c r="I71" s="714">
        <v>3.0</v>
      </c>
      <c r="J71" s="714">
        <v>3.0</v>
      </c>
      <c r="K71" s="714">
        <v>2.0</v>
      </c>
      <c r="L71" s="714">
        <v>4.0</v>
      </c>
      <c r="M71" s="714">
        <v>3.0</v>
      </c>
      <c r="N71" s="871">
        <v>4.0</v>
      </c>
      <c r="O71" s="848">
        <v>4.0</v>
      </c>
      <c r="P71" s="849">
        <v>3.0</v>
      </c>
      <c r="Q71" s="850">
        <v>3.0256410256410255</v>
      </c>
      <c r="R71" s="851" t="str">
        <f>HYPERLINK("https://www.strawpoll.me/19055268","Vote")</f>
        <v>Vote</v>
      </c>
      <c r="S71" s="781"/>
    </row>
    <row r="72">
      <c r="A72" s="829"/>
      <c r="B72" s="793"/>
      <c r="C72" s="941" t="s">
        <v>1690</v>
      </c>
      <c r="D72" s="942" t="s">
        <v>71</v>
      </c>
      <c r="E72" s="943"/>
      <c r="F72" s="943"/>
      <c r="G72" s="943">
        <v>3.0</v>
      </c>
      <c r="H72" s="944" t="str">
        <f>HYPERLINK("https://d15f34w2p8l1cc.cloudfront.net/hearthstone/ed294f1573909e4fda05aa00f2eb5bb2b6781fc4e33a6caecbc1c5c7df9aa3f1.png","Image")</f>
        <v>Image</v>
      </c>
      <c r="I72" s="714">
        <v>1.0</v>
      </c>
      <c r="J72" s="714">
        <v>3.0</v>
      </c>
      <c r="K72" s="714">
        <v>3.0</v>
      </c>
      <c r="L72" s="714">
        <v>3.0</v>
      </c>
      <c r="M72" s="714">
        <v>2.0</v>
      </c>
      <c r="N72" s="871">
        <v>3.0</v>
      </c>
      <c r="O72" s="848">
        <v>2.0</v>
      </c>
      <c r="P72" s="870">
        <v>3.0</v>
      </c>
      <c r="Q72" s="850">
        <v>2.189189189189189</v>
      </c>
      <c r="R72" s="851" t="str">
        <f>HYPERLINK("https://www.strawpoll.me/19055270","Vote")</f>
        <v>Vote</v>
      </c>
      <c r="S72" s="781"/>
    </row>
    <row r="73">
      <c r="A73" s="872"/>
      <c r="B73" s="632"/>
      <c r="C73" s="937" t="s">
        <v>1691</v>
      </c>
      <c r="D73" s="938"/>
      <c r="E73" s="939">
        <v>5.0</v>
      </c>
      <c r="F73" s="939">
        <v>4.0</v>
      </c>
      <c r="G73" s="939">
        <v>4.0</v>
      </c>
      <c r="H73" s="940" t="str">
        <f>HYPERLINK("https://d15f34w2p8l1cc.cloudfront.net/hearthstone/60158e51f022fca818b5de1c6b1af6b63225a4ff2404dee58e3b0c6329676f5b.png","Image")</f>
        <v>Image</v>
      </c>
      <c r="I73" s="714">
        <v>1.0</v>
      </c>
      <c r="J73" s="714">
        <v>1.0</v>
      </c>
      <c r="K73" s="714">
        <v>1.0</v>
      </c>
      <c r="L73" s="714">
        <v>1.0</v>
      </c>
      <c r="M73" s="714">
        <v>1.0</v>
      </c>
      <c r="N73" s="871">
        <v>3.0</v>
      </c>
      <c r="O73" s="848">
        <v>2.0</v>
      </c>
      <c r="P73" s="849">
        <v>2.0</v>
      </c>
      <c r="Q73" s="850">
        <v>2.0526315789473686</v>
      </c>
      <c r="R73" s="851" t="str">
        <f>HYPERLINK("https://www.strawpoll.me/19055271","Vote")</f>
        <v>Vote</v>
      </c>
      <c r="S73" s="781"/>
    </row>
    <row r="74" ht="17.25" customHeight="1">
      <c r="A74" s="829"/>
      <c r="B74" s="794"/>
      <c r="C74" s="941" t="s">
        <v>1692</v>
      </c>
      <c r="D74" s="942" t="s">
        <v>1682</v>
      </c>
      <c r="E74" s="943"/>
      <c r="F74" s="943"/>
      <c r="G74" s="943">
        <v>7.0</v>
      </c>
      <c r="H74" s="944" t="str">
        <f>HYPERLINK("https://d15f34w2p8l1cc.cloudfront.net/hearthstone/cc25b4e8382ac9ff9f8dcdaf490d5f89ac869003d39e4e7decee0e9e4b05ba8e.png","Image")</f>
        <v>Image</v>
      </c>
      <c r="I74" s="714">
        <v>1.0</v>
      </c>
      <c r="J74" s="714">
        <v>1.0</v>
      </c>
      <c r="K74" s="714">
        <v>1.0</v>
      </c>
      <c r="L74" s="714">
        <v>1.0</v>
      </c>
      <c r="M74" s="714">
        <v>1.0</v>
      </c>
      <c r="N74" s="871">
        <v>3.0</v>
      </c>
      <c r="O74" s="848">
        <v>2.0</v>
      </c>
      <c r="P74" s="870">
        <v>1.0</v>
      </c>
      <c r="Q74" s="850">
        <v>1.631578947368421</v>
      </c>
      <c r="R74" s="851" t="str">
        <f>HYPERLINK("https://www.strawpoll.me/19055273","Vote")</f>
        <v>Vote</v>
      </c>
      <c r="S74" s="781"/>
    </row>
    <row r="75">
      <c r="A75" s="872"/>
      <c r="B75" s="353"/>
      <c r="C75" s="945" t="s">
        <v>1693</v>
      </c>
      <c r="D75" s="946"/>
      <c r="E75" s="947">
        <v>4.0</v>
      </c>
      <c r="F75" s="948">
        <v>4.0</v>
      </c>
      <c r="G75" s="947">
        <v>7.0</v>
      </c>
      <c r="H75" s="949" t="str">
        <f>HYPERLINK("https://d15f34w2p8l1cc.cloudfront.net/hearthstone/e1997772db07b331aee6f87cd2694cbf3ceafb8cc1620b461c83b0065ea25a0c.png","Image")</f>
        <v>Image</v>
      </c>
      <c r="I75" s="714">
        <v>2.0</v>
      </c>
      <c r="J75" s="714">
        <v>2.0</v>
      </c>
      <c r="K75" s="714">
        <v>1.0</v>
      </c>
      <c r="L75" s="714">
        <v>2.0</v>
      </c>
      <c r="M75" s="714">
        <v>3.0</v>
      </c>
      <c r="N75" s="871">
        <v>4.0</v>
      </c>
      <c r="O75" s="848">
        <v>4.0</v>
      </c>
      <c r="P75" s="870">
        <v>3.0</v>
      </c>
      <c r="Q75" s="850">
        <v>2.4523809523809526</v>
      </c>
      <c r="R75" s="851" t="str">
        <f>HYPERLINK("https://www.strawpoll.me/19055274","Vote")</f>
        <v>Vote</v>
      </c>
      <c r="S75" s="781"/>
    </row>
    <row r="76">
      <c r="A76" s="829"/>
      <c r="B76" s="355"/>
      <c r="C76" s="864" t="s">
        <v>1694</v>
      </c>
      <c r="D76" s="865" t="s">
        <v>43</v>
      </c>
      <c r="E76" s="859">
        <v>4.0</v>
      </c>
      <c r="F76" s="859">
        <v>12.0</v>
      </c>
      <c r="G76" s="859">
        <v>8.0</v>
      </c>
      <c r="H76" s="860" t="str">
        <f>HYPERLINK("https://d15f34w2p8l1cc.cloudfront.net/hearthstone/4276d5050bce672d3a3cc96315be8c6166ae17dc2e9868095018787763df5d86.png","Image")</f>
        <v>Image</v>
      </c>
      <c r="I76" s="774">
        <v>2.0</v>
      </c>
      <c r="J76" s="774">
        <v>2.0</v>
      </c>
      <c r="K76" s="774">
        <v>2.0</v>
      </c>
      <c r="L76" s="774">
        <v>2.0</v>
      </c>
      <c r="M76" s="774">
        <v>2.0</v>
      </c>
      <c r="N76" s="879">
        <v>2.0</v>
      </c>
      <c r="O76" s="880">
        <v>3.0</v>
      </c>
      <c r="P76" s="881">
        <v>3.0</v>
      </c>
      <c r="Q76" s="882">
        <v>2.6136363636363638</v>
      </c>
      <c r="R76" s="851" t="str">
        <f>HYPERLINK("https://www.strawpoll.me/19055275","Vote")</f>
        <v>Vote</v>
      </c>
      <c r="S76" s="781"/>
    </row>
    <row r="77">
      <c r="A77" s="823"/>
      <c r="B77" s="605"/>
      <c r="C77" s="195" t="s">
        <v>109</v>
      </c>
      <c r="D77" s="82"/>
      <c r="E77" s="82"/>
      <c r="F77" s="82"/>
      <c r="G77" s="82"/>
      <c r="H77" s="96"/>
      <c r="I77" s="128"/>
      <c r="J77" s="128"/>
      <c r="K77" s="128"/>
      <c r="L77" s="128"/>
      <c r="M77" s="128"/>
      <c r="N77" s="128"/>
      <c r="O77" s="445"/>
      <c r="P77" s="932"/>
      <c r="Q77" s="932"/>
      <c r="R77" s="749"/>
      <c r="S77" s="307"/>
    </row>
    <row r="78" ht="15.75" customHeight="1">
      <c r="A78" s="829"/>
      <c r="B78" s="636"/>
      <c r="C78" s="830"/>
      <c r="D78" s="831"/>
      <c r="E78" s="832"/>
      <c r="F78" s="832"/>
      <c r="G78" s="832"/>
      <c r="H78" s="933"/>
      <c r="I78" s="702" t="s">
        <v>2</v>
      </c>
      <c r="J78" s="702" t="s">
        <v>426</v>
      </c>
      <c r="K78" s="702" t="s">
        <v>1</v>
      </c>
      <c r="L78" s="702" t="s">
        <v>427</v>
      </c>
      <c r="M78" s="702" t="s">
        <v>208</v>
      </c>
      <c r="N78" s="702" t="s">
        <v>3</v>
      </c>
      <c r="O78" s="887" t="s">
        <v>4</v>
      </c>
      <c r="P78" s="888" t="s">
        <v>1617</v>
      </c>
      <c r="Q78" s="835"/>
      <c r="R78" s="820"/>
      <c r="S78" s="781"/>
    </row>
    <row r="79">
      <c r="A79" s="829"/>
      <c r="B79" s="950"/>
      <c r="C79" s="705" t="s">
        <v>1695</v>
      </c>
      <c r="D79" s="934" t="s">
        <v>1673</v>
      </c>
      <c r="E79" s="185"/>
      <c r="F79" s="185"/>
      <c r="G79" s="185">
        <v>1.0</v>
      </c>
      <c r="H79" s="840" t="str">
        <f>HYPERLINK("https://d15f34w2p8l1cc.cloudfront.net/hearthstone/b28469246ff22e6cb4113ef5c97915aecea674c0c5a9ad8db198d42fc8e8ffbb.png","Image")</f>
        <v>Image</v>
      </c>
      <c r="I79" s="709">
        <v>4.0</v>
      </c>
      <c r="J79" s="709">
        <v>4.0</v>
      </c>
      <c r="K79" s="709">
        <v>4.0</v>
      </c>
      <c r="L79" s="709">
        <v>3.0</v>
      </c>
      <c r="M79" s="709">
        <v>3.0</v>
      </c>
      <c r="N79" s="709">
        <v>4.0</v>
      </c>
      <c r="O79" s="841">
        <v>3.0</v>
      </c>
      <c r="P79" s="849">
        <v>3.0</v>
      </c>
      <c r="Q79" s="895">
        <v>3.2222222222222223</v>
      </c>
      <c r="R79" s="851" t="str">
        <f>HYPERLINK("https://www.strawpoll.me/19055277","Vote")</f>
        <v>Vote</v>
      </c>
      <c r="S79" s="781"/>
    </row>
    <row r="80">
      <c r="A80" s="829"/>
      <c r="B80" s="353"/>
      <c r="C80" s="935" t="s">
        <v>1696</v>
      </c>
      <c r="D80" s="936" t="s">
        <v>27</v>
      </c>
      <c r="E80" s="855">
        <v>1.0</v>
      </c>
      <c r="F80" s="855">
        <v>3.0</v>
      </c>
      <c r="G80" s="855">
        <v>1.0</v>
      </c>
      <c r="H80" s="856" t="str">
        <f>HYPERLINK("https://d15f34w2p8l1cc.cloudfront.net/hearthstone/6c9c36c941668947823de6539955581795b6d848f2894e3db52209f7c87039aa.png","Image")</f>
        <v>Image</v>
      </c>
      <c r="I80" s="714">
        <v>3.0</v>
      </c>
      <c r="J80" s="714">
        <v>3.0</v>
      </c>
      <c r="K80" s="714">
        <v>3.0</v>
      </c>
      <c r="L80" s="714">
        <v>2.0</v>
      </c>
      <c r="M80" s="714">
        <v>4.0</v>
      </c>
      <c r="N80" s="871">
        <v>3.0</v>
      </c>
      <c r="O80" s="848">
        <v>3.0</v>
      </c>
      <c r="P80" s="849">
        <v>3.0</v>
      </c>
      <c r="Q80" s="850">
        <v>2.861111111111111</v>
      </c>
      <c r="R80" s="851" t="str">
        <f>HYPERLINK("https://www.strawpoll.me/19055279","Vote")</f>
        <v>Vote</v>
      </c>
      <c r="S80" s="781"/>
    </row>
    <row r="81">
      <c r="A81" s="829"/>
      <c r="B81" s="632"/>
      <c r="C81" s="937" t="s">
        <v>1697</v>
      </c>
      <c r="D81" s="938" t="s">
        <v>43</v>
      </c>
      <c r="E81" s="939">
        <v>5.0</v>
      </c>
      <c r="F81" s="939">
        <v>7.0</v>
      </c>
      <c r="G81" s="939">
        <v>4.0</v>
      </c>
      <c r="H81" s="940" t="str">
        <f>HYPERLINK("https://d15f34w2p8l1cc.cloudfront.net/hearthstone/68fbc08cb3491460924d16b1dd9b7e1107345843ab7564c46323690e96a804dd.png","Image")</f>
        <v>Image</v>
      </c>
      <c r="I81" s="714">
        <v>3.0</v>
      </c>
      <c r="J81" s="714">
        <v>3.0</v>
      </c>
      <c r="K81" s="714">
        <v>3.0</v>
      </c>
      <c r="L81" s="714">
        <v>2.0</v>
      </c>
      <c r="M81" s="714">
        <v>2.0</v>
      </c>
      <c r="N81" s="871">
        <v>3.0</v>
      </c>
      <c r="O81" s="848">
        <v>3.0</v>
      </c>
      <c r="P81" s="849">
        <v>3.0</v>
      </c>
      <c r="Q81" s="850">
        <v>2.888888888888889</v>
      </c>
      <c r="R81" s="851" t="str">
        <f>HYPERLINK("https://www.strawpoll.me/19055280","Vote")</f>
        <v>Vote</v>
      </c>
      <c r="S81" s="781"/>
    </row>
    <row r="82">
      <c r="A82" s="829"/>
      <c r="B82" s="639"/>
      <c r="C82" s="941" t="s">
        <v>1698</v>
      </c>
      <c r="D82" s="942" t="s">
        <v>71</v>
      </c>
      <c r="E82" s="943"/>
      <c r="F82" s="943"/>
      <c r="G82" s="943">
        <v>1.0</v>
      </c>
      <c r="H82" s="944" t="str">
        <f>HYPERLINK("https://d15f34w2p8l1cc.cloudfront.net/hearthstone/810ca71e022653c83999b6e1601075198f17e1a09fdfe934b89ab0071b451a09.png","Image")</f>
        <v>Image</v>
      </c>
      <c r="I82" s="714">
        <v>3.0</v>
      </c>
      <c r="J82" s="714">
        <v>3.0</v>
      </c>
      <c r="K82" s="714">
        <v>4.0</v>
      </c>
      <c r="L82" s="714">
        <v>3.0</v>
      </c>
      <c r="M82" s="714">
        <v>4.0</v>
      </c>
      <c r="N82" s="871">
        <v>3.0</v>
      </c>
      <c r="O82" s="848">
        <v>3.0</v>
      </c>
      <c r="P82" s="849">
        <v>3.0</v>
      </c>
      <c r="Q82" s="850">
        <v>2.823529411764706</v>
      </c>
      <c r="R82" s="851" t="str">
        <f>HYPERLINK("https://www.strawpoll.me/19055281","Vote")</f>
        <v>Vote</v>
      </c>
      <c r="S82" s="781"/>
    </row>
    <row r="83">
      <c r="A83" s="829"/>
      <c r="B83" s="353"/>
      <c r="C83" s="935" t="s">
        <v>1699</v>
      </c>
      <c r="D83" s="936" t="s">
        <v>71</v>
      </c>
      <c r="E83" s="855"/>
      <c r="F83" s="855"/>
      <c r="G83" s="855">
        <v>3.0</v>
      </c>
      <c r="H83" s="940" t="str">
        <f>HYPERLINK("https://d15f34w2p8l1cc.cloudfront.net/hearthstone/6e9762d10f063d6941bdcb46b802c6775e06788cc0abedc2fd50dcb236982b0d.png","Image")</f>
        <v>Image</v>
      </c>
      <c r="I83" s="714">
        <v>2.0</v>
      </c>
      <c r="J83" s="714">
        <v>2.0</v>
      </c>
      <c r="K83" s="714">
        <v>4.0</v>
      </c>
      <c r="L83" s="714">
        <v>2.0</v>
      </c>
      <c r="M83" s="714">
        <v>2.0</v>
      </c>
      <c r="N83" s="871">
        <v>3.0</v>
      </c>
      <c r="O83" s="848">
        <v>2.0</v>
      </c>
      <c r="P83" s="849">
        <v>3.0</v>
      </c>
      <c r="Q83" s="850">
        <v>3.1176470588235294</v>
      </c>
      <c r="R83" s="851" t="str">
        <f>HYPERLINK("https://www.strawpoll.me/19055282","Vote")</f>
        <v>Vote</v>
      </c>
      <c r="S83" s="781"/>
    </row>
    <row r="84">
      <c r="A84" s="829"/>
      <c r="B84" s="632"/>
      <c r="C84" s="937" t="s">
        <v>1700</v>
      </c>
      <c r="D84" s="938" t="s">
        <v>1638</v>
      </c>
      <c r="E84" s="939">
        <v>3.0</v>
      </c>
      <c r="F84" s="939">
        <v>3.0</v>
      </c>
      <c r="G84" s="939">
        <v>5.0</v>
      </c>
      <c r="I84" s="714">
        <v>4.0</v>
      </c>
      <c r="J84" s="714">
        <v>4.0</v>
      </c>
      <c r="K84" s="714">
        <v>4.0</v>
      </c>
      <c r="L84" s="714">
        <v>3.0</v>
      </c>
      <c r="M84" s="714">
        <v>4.0</v>
      </c>
      <c r="N84" s="871">
        <v>4.0</v>
      </c>
      <c r="O84" s="848">
        <v>3.0</v>
      </c>
      <c r="P84" s="849">
        <v>4.0</v>
      </c>
      <c r="Q84" s="850">
        <v>3.6857142857142855</v>
      </c>
      <c r="R84" s="851" t="str">
        <f>HYPERLINK("https://www.strawpoll.me/19055283","Vote")</f>
        <v>Vote</v>
      </c>
      <c r="S84" s="781"/>
    </row>
    <row r="85">
      <c r="A85" s="872"/>
      <c r="B85" s="793"/>
      <c r="C85" s="941" t="s">
        <v>1701</v>
      </c>
      <c r="D85" s="942" t="s">
        <v>27</v>
      </c>
      <c r="E85" s="943">
        <v>5.0</v>
      </c>
      <c r="F85" s="943">
        <v>5.0</v>
      </c>
      <c r="G85" s="943">
        <v>5.0</v>
      </c>
      <c r="H85" s="944" t="str">
        <f>HYPERLINK("https://d15f34w2p8l1cc.cloudfront.net/hearthstone/3c0bd81760dccc3fcdabc646a5d84886eeaf6b0a49a80a9a9464a62cf8d0db04.png","Image")</f>
        <v>Image</v>
      </c>
      <c r="I85" s="714">
        <v>2.0</v>
      </c>
      <c r="J85" s="714">
        <v>3.0</v>
      </c>
      <c r="K85" s="714">
        <v>3.0</v>
      </c>
      <c r="L85" s="714">
        <v>3.0</v>
      </c>
      <c r="M85" s="714">
        <v>3.0</v>
      </c>
      <c r="N85" s="871">
        <v>3.0</v>
      </c>
      <c r="O85" s="848">
        <v>2.0</v>
      </c>
      <c r="P85" s="849">
        <v>3.0</v>
      </c>
      <c r="Q85" s="850">
        <v>2.918918918918919</v>
      </c>
      <c r="R85" s="851" t="str">
        <f>HYPERLINK("https://www.strawpoll.me/19055284","Vote")</f>
        <v>Vote</v>
      </c>
      <c r="S85" s="781"/>
    </row>
    <row r="86">
      <c r="A86" s="872"/>
      <c r="B86" s="632"/>
      <c r="C86" s="937" t="s">
        <v>1702</v>
      </c>
      <c r="D86" s="938" t="s">
        <v>71</v>
      </c>
      <c r="E86" s="939"/>
      <c r="F86" s="939"/>
      <c r="G86" s="939">
        <v>5.0</v>
      </c>
      <c r="H86" s="940" t="str">
        <f>HYPERLINK("https://d15f34w2p8l1cc.cloudfront.net/hearthstone/c07c6b4813de884e1bb49745404ef383fd02530554dee3b67c91fa6873a67662.png","Image")</f>
        <v>Image</v>
      </c>
      <c r="I86" s="714">
        <v>4.0</v>
      </c>
      <c r="J86" s="714">
        <v>3.0</v>
      </c>
      <c r="K86" s="714">
        <v>3.0</v>
      </c>
      <c r="L86" s="714">
        <v>3.0</v>
      </c>
      <c r="M86" s="714">
        <v>3.0</v>
      </c>
      <c r="N86" s="871">
        <v>3.0</v>
      </c>
      <c r="O86" s="848">
        <v>3.0</v>
      </c>
      <c r="P86" s="849">
        <v>3.0</v>
      </c>
      <c r="Q86" s="850">
        <v>3.057142857142857</v>
      </c>
      <c r="R86" s="851" t="str">
        <f>HYPERLINK("https://www.strawpoll.me/19055285","Vote")</f>
        <v>Vote</v>
      </c>
      <c r="S86" s="781"/>
    </row>
    <row r="87">
      <c r="A87" s="829"/>
      <c r="B87" s="794"/>
      <c r="C87" s="941" t="s">
        <v>1703</v>
      </c>
      <c r="D87" s="942"/>
      <c r="E87" s="943">
        <v>5.0</v>
      </c>
      <c r="F87" s="943">
        <v>5.0</v>
      </c>
      <c r="G87" s="943">
        <v>5.0</v>
      </c>
      <c r="H87" s="944" t="str">
        <f>HYPERLINK("https://d15f34w2p8l1cc.cloudfront.net/hearthstone/535021e229a2aec5cba71c28d62d49790f52e6b2374ca2d46b9648363039f144.png","Image")</f>
        <v>Image</v>
      </c>
      <c r="I87" s="714">
        <v>2.0</v>
      </c>
      <c r="J87" s="714">
        <v>1.0</v>
      </c>
      <c r="K87" s="714">
        <v>1.0</v>
      </c>
      <c r="L87" s="714">
        <v>2.0</v>
      </c>
      <c r="M87" s="714">
        <v>1.0</v>
      </c>
      <c r="N87" s="871">
        <v>2.0</v>
      </c>
      <c r="O87" s="848">
        <v>1.0</v>
      </c>
      <c r="P87" s="870">
        <v>1.0</v>
      </c>
      <c r="Q87" s="850">
        <v>1.6216216216216217</v>
      </c>
      <c r="R87" s="851" t="str">
        <f>HYPERLINK("https://www.strawpoll.me/19055286","Vote")</f>
        <v>Vote</v>
      </c>
      <c r="S87" s="781"/>
    </row>
    <row r="88">
      <c r="A88" s="872"/>
      <c r="B88" s="353"/>
      <c r="C88" s="945" t="s">
        <v>1704</v>
      </c>
      <c r="D88" s="946" t="s">
        <v>43</v>
      </c>
      <c r="E88" s="947">
        <v>5.0</v>
      </c>
      <c r="F88" s="948">
        <v>5.0</v>
      </c>
      <c r="G88" s="947">
        <v>6.0</v>
      </c>
      <c r="H88" s="949" t="str">
        <f>HYPERLINK("https://d15f34w2p8l1cc.cloudfront.net/hearthstone/312b28e61c02c54051cae4b81e0b40bb4ae66c264ac6598baf449af9e4fb229c.png","Image")</f>
        <v>Image</v>
      </c>
      <c r="I88" s="714">
        <v>1.0</v>
      </c>
      <c r="J88" s="714">
        <v>1.0</v>
      </c>
      <c r="K88" s="714">
        <v>1.0</v>
      </c>
      <c r="L88" s="714">
        <v>1.0</v>
      </c>
      <c r="M88" s="714">
        <v>1.0</v>
      </c>
      <c r="N88" s="871">
        <v>2.0</v>
      </c>
      <c r="O88" s="848">
        <v>1.0</v>
      </c>
      <c r="P88" s="849">
        <v>2.0</v>
      </c>
      <c r="Q88" s="850">
        <v>1.6486486486486487</v>
      </c>
      <c r="R88" s="851" t="str">
        <f>HYPERLINK("https://www.strawpoll.me/19055287","Vote")</f>
        <v>Vote</v>
      </c>
      <c r="S88" s="781"/>
    </row>
    <row r="89">
      <c r="A89" s="829"/>
      <c r="B89" s="355"/>
      <c r="C89" s="864" t="s">
        <v>1705</v>
      </c>
      <c r="D89" s="865" t="s">
        <v>1682</v>
      </c>
      <c r="E89" s="859"/>
      <c r="F89" s="859"/>
      <c r="G89" s="859">
        <v>7.0</v>
      </c>
      <c r="H89" s="860" t="str">
        <f>HYPERLINK("https://d15f34w2p8l1cc.cloudfront.net/hearthstone/8081ef339e9ac987800f5e7580275aeb6e4829238f8bc1ec13cd625d2e9161d6.png","Image")</f>
        <v>Image</v>
      </c>
      <c r="I89" s="774">
        <v>4.0</v>
      </c>
      <c r="J89" s="774">
        <v>4.0</v>
      </c>
      <c r="K89" s="774">
        <v>4.0</v>
      </c>
      <c r="L89" s="774">
        <v>3.0</v>
      </c>
      <c r="M89" s="774">
        <v>4.0</v>
      </c>
      <c r="N89" s="879">
        <v>4.0</v>
      </c>
      <c r="O89" s="880">
        <v>4.0</v>
      </c>
      <c r="P89" s="881">
        <v>4.0</v>
      </c>
      <c r="Q89" s="882">
        <v>3.58974358974359</v>
      </c>
      <c r="R89" s="851" t="str">
        <f>HYPERLINK("https://www.strawpoll.me/19055288","Vote")</f>
        <v>Vote</v>
      </c>
      <c r="S89" s="781"/>
    </row>
    <row r="90">
      <c r="A90" s="823"/>
      <c r="B90" s="605"/>
      <c r="C90" s="195" t="s">
        <v>123</v>
      </c>
      <c r="D90" s="82"/>
      <c r="E90" s="82"/>
      <c r="F90" s="82"/>
      <c r="G90" s="82"/>
      <c r="H90" s="96"/>
      <c r="I90" s="128"/>
      <c r="J90" s="128"/>
      <c r="K90" s="128"/>
      <c r="L90" s="128"/>
      <c r="M90" s="128"/>
      <c r="N90" s="128"/>
      <c r="O90" s="445"/>
      <c r="P90" s="932"/>
      <c r="Q90" s="932"/>
      <c r="R90" s="749"/>
      <c r="S90" s="307"/>
    </row>
    <row r="91" ht="15.75" customHeight="1">
      <c r="A91" s="829"/>
      <c r="B91" s="636"/>
      <c r="C91" s="830"/>
      <c r="D91" s="831"/>
      <c r="E91" s="832"/>
      <c r="F91" s="832"/>
      <c r="G91" s="832"/>
      <c r="H91" s="933"/>
      <c r="I91" s="702" t="s">
        <v>2</v>
      </c>
      <c r="J91" s="702" t="s">
        <v>426</v>
      </c>
      <c r="K91" s="702" t="s">
        <v>1</v>
      </c>
      <c r="L91" s="702" t="s">
        <v>427</v>
      </c>
      <c r="M91" s="702" t="s">
        <v>208</v>
      </c>
      <c r="N91" s="702" t="s">
        <v>3</v>
      </c>
      <c r="O91" s="887" t="s">
        <v>4</v>
      </c>
      <c r="P91" s="888" t="s">
        <v>1617</v>
      </c>
      <c r="Q91" s="835"/>
      <c r="R91" s="820"/>
      <c r="S91" s="781"/>
    </row>
    <row r="92">
      <c r="A92" s="829"/>
      <c r="B92" s="950"/>
      <c r="C92" s="705" t="s">
        <v>1706</v>
      </c>
      <c r="D92" s="934" t="s">
        <v>60</v>
      </c>
      <c r="E92" s="185">
        <v>1.0</v>
      </c>
      <c r="F92" s="185">
        <v>1.0</v>
      </c>
      <c r="G92" s="185">
        <v>1.0</v>
      </c>
      <c r="H92" s="840" t="str">
        <f>HYPERLINK("https://d15f34w2p8l1cc.cloudfront.net/hearthstone/b0e6bb6593037d6c6ce7e21952f7d02dd223e70d2f521d5b65a9a5ad38815619.png","Image")</f>
        <v>Image</v>
      </c>
      <c r="I92" s="709">
        <v>3.0</v>
      </c>
      <c r="J92" s="709">
        <v>3.0</v>
      </c>
      <c r="K92" s="709">
        <v>1.0</v>
      </c>
      <c r="L92" s="709">
        <v>3.0</v>
      </c>
      <c r="M92" s="709">
        <v>3.0</v>
      </c>
      <c r="N92" s="894">
        <v>2.0</v>
      </c>
      <c r="O92" s="841">
        <v>3.0</v>
      </c>
      <c r="P92" s="849">
        <v>2.0</v>
      </c>
      <c r="Q92" s="895">
        <v>2.142857142857143</v>
      </c>
      <c r="R92" s="851" t="str">
        <f>HYPERLINK("https://www.strawpoll.me/19055298","Vote")</f>
        <v>Vote</v>
      </c>
      <c r="S92" s="781"/>
    </row>
    <row r="93">
      <c r="A93" s="829"/>
      <c r="B93" s="353"/>
      <c r="C93" s="935" t="s">
        <v>1707</v>
      </c>
      <c r="D93" s="936" t="s">
        <v>1673</v>
      </c>
      <c r="E93" s="855"/>
      <c r="F93" s="855"/>
      <c r="G93" s="855">
        <v>1.0</v>
      </c>
      <c r="H93" s="856" t="str">
        <f>HYPERLINK("https://d15f34w2p8l1cc.cloudfront.net/hearthstone/41e2d8fb352962f05c7e06331b96ffde683a269a91773e3636693fb9832e72d3.png","Image")</f>
        <v>Image</v>
      </c>
      <c r="I93" s="714">
        <v>2.0</v>
      </c>
      <c r="J93" s="714">
        <v>2.0</v>
      </c>
      <c r="K93" s="714">
        <v>3.0</v>
      </c>
      <c r="L93" s="714">
        <v>2.0</v>
      </c>
      <c r="M93" s="714">
        <v>2.0</v>
      </c>
      <c r="N93" s="871">
        <v>2.0</v>
      </c>
      <c r="O93" s="848">
        <v>2.0</v>
      </c>
      <c r="P93" s="849">
        <v>2.0</v>
      </c>
      <c r="Q93" s="850">
        <v>2.4411764705882355</v>
      </c>
      <c r="R93" s="851" t="str">
        <f>HYPERLINK("https://www.strawpoll.me/19055302","Vote")</f>
        <v>Vote</v>
      </c>
      <c r="S93" s="781"/>
    </row>
    <row r="94">
      <c r="A94" s="829"/>
      <c r="B94" s="632"/>
      <c r="C94" s="937" t="s">
        <v>1708</v>
      </c>
      <c r="D94" s="938" t="s">
        <v>71</v>
      </c>
      <c r="E94" s="939"/>
      <c r="F94" s="939"/>
      <c r="G94" s="939">
        <v>6.0</v>
      </c>
      <c r="H94" s="940" t="str">
        <f>HYPERLINK("https://d15f34w2p8l1cc.cloudfront.net/hearthstone/1c53e08125b01d67fb76adb3adb21e35cfbbfe74f677279c1ef120f8854ad338.png","Image")</f>
        <v>Image</v>
      </c>
      <c r="I94" s="714">
        <v>1.0</v>
      </c>
      <c r="J94" s="714">
        <v>1.0</v>
      </c>
      <c r="K94" s="714">
        <v>1.0</v>
      </c>
      <c r="L94" s="714">
        <v>1.0</v>
      </c>
      <c r="M94" s="714">
        <v>1.0</v>
      </c>
      <c r="N94" s="871">
        <v>2.0</v>
      </c>
      <c r="O94" s="848">
        <v>2.0</v>
      </c>
      <c r="P94" s="870">
        <v>1.0</v>
      </c>
      <c r="Q94" s="850">
        <v>1.6875</v>
      </c>
      <c r="R94" s="851" t="str">
        <f>HYPERLINK("https://www.strawpoll.me/19055303","Vote")</f>
        <v>Vote</v>
      </c>
      <c r="S94" s="781"/>
    </row>
    <row r="95">
      <c r="A95" s="829"/>
      <c r="B95" s="639"/>
      <c r="C95" s="941" t="s">
        <v>1709</v>
      </c>
      <c r="D95" s="942" t="s">
        <v>71</v>
      </c>
      <c r="E95" s="943"/>
      <c r="F95" s="943"/>
      <c r="G95" s="943">
        <v>1.0</v>
      </c>
      <c r="H95" s="944" t="str">
        <f>HYPERLINK("https://d15f34w2p8l1cc.cloudfront.net/hearthstone/6342dc1b16cd9896621b61a304eb44e6c5cee23f605a59790ed14747d18fbff9.png","Image")</f>
        <v>Image</v>
      </c>
      <c r="I95" s="714">
        <v>1.0</v>
      </c>
      <c r="J95" s="714">
        <v>1.0</v>
      </c>
      <c r="K95" s="714">
        <v>2.0</v>
      </c>
      <c r="L95" s="714">
        <v>1.0</v>
      </c>
      <c r="M95" s="714">
        <v>1.0</v>
      </c>
      <c r="N95" s="871">
        <v>1.0</v>
      </c>
      <c r="O95" s="848">
        <v>1.0</v>
      </c>
      <c r="P95" s="849">
        <v>2.0</v>
      </c>
      <c r="Q95" s="850">
        <v>1.5454545454545454</v>
      </c>
      <c r="R95" s="851" t="str">
        <f>HYPERLINK("https://www.strawpoll.me/19055305","Vote")</f>
        <v>Vote</v>
      </c>
      <c r="S95" s="781"/>
    </row>
    <row r="96">
      <c r="A96" s="829"/>
      <c r="B96" s="353"/>
      <c r="C96" s="935" t="s">
        <v>1710</v>
      </c>
      <c r="D96" s="936" t="s">
        <v>1673</v>
      </c>
      <c r="E96" s="855"/>
      <c r="F96" s="855"/>
      <c r="G96" s="855">
        <v>3.0</v>
      </c>
      <c r="H96" s="856" t="str">
        <f>HYPERLINK("https://d15f34w2p8l1cc.cloudfront.net/hearthstone/194fe34e1348242f9589aa0241ebe2037078c768cbde9ef7567e13481d000ac6.png","Image")</f>
        <v>Image</v>
      </c>
      <c r="I96" s="714">
        <v>2.0</v>
      </c>
      <c r="J96" s="714">
        <v>2.0</v>
      </c>
      <c r="K96" s="714">
        <v>3.0</v>
      </c>
      <c r="L96" s="714">
        <v>2.0</v>
      </c>
      <c r="M96" s="714">
        <v>3.0</v>
      </c>
      <c r="N96" s="871">
        <v>2.0</v>
      </c>
      <c r="O96" s="848">
        <v>2.0</v>
      </c>
      <c r="P96" s="849">
        <v>2.0</v>
      </c>
      <c r="Q96" s="850">
        <v>2.303030303030303</v>
      </c>
      <c r="R96" s="851" t="str">
        <f>HYPERLINK("https://www.strawpoll.me/19055307","Vote")</f>
        <v>Vote</v>
      </c>
      <c r="S96" s="781"/>
    </row>
    <row r="97">
      <c r="A97" s="872"/>
      <c r="B97" s="632"/>
      <c r="C97" s="937" t="s">
        <v>1711</v>
      </c>
      <c r="D97" s="938"/>
      <c r="E97" s="939">
        <v>4.0</v>
      </c>
      <c r="F97" s="939">
        <v>4.0</v>
      </c>
      <c r="G97" s="939">
        <v>5.0</v>
      </c>
      <c r="H97" s="940" t="str">
        <f>HYPERLINK("https://d15f34w2p8l1cc.cloudfront.net/hearthstone/42192938e02f0adb12336bb4b9aa17b3dfaeb2947e03efa146614320316aee61.png","Image")</f>
        <v>Image</v>
      </c>
      <c r="I97" s="714">
        <v>1.0</v>
      </c>
      <c r="J97" s="714">
        <v>2.0</v>
      </c>
      <c r="K97" s="714">
        <v>1.0</v>
      </c>
      <c r="L97" s="714">
        <v>1.0</v>
      </c>
      <c r="M97" s="714">
        <v>1.0</v>
      </c>
      <c r="N97" s="871">
        <v>3.0</v>
      </c>
      <c r="O97" s="848">
        <v>2.0</v>
      </c>
      <c r="P97" s="849">
        <v>2.0</v>
      </c>
      <c r="Q97" s="850">
        <v>1.588235294117647</v>
      </c>
      <c r="R97" s="851" t="str">
        <f>HYPERLINK("https://www.strawpoll.me/19055309","Vote")</f>
        <v>Vote</v>
      </c>
      <c r="S97" s="781"/>
    </row>
    <row r="98">
      <c r="A98" s="829"/>
      <c r="B98" s="793"/>
      <c r="C98" s="941" t="s">
        <v>1712</v>
      </c>
      <c r="D98" s="942"/>
      <c r="E98" s="943">
        <v>2.0</v>
      </c>
      <c r="F98" s="943">
        <v>5.0</v>
      </c>
      <c r="G98" s="943">
        <v>4.0</v>
      </c>
      <c r="H98" s="944" t="str">
        <f>HYPERLINK("https://d15f34w2p8l1cc.cloudfront.net/hearthstone/9accbde3a60a1afd91cd0cdc61b039d89543a58f38021b68a098bfa010f0ab0c.png","Image")</f>
        <v>Image</v>
      </c>
      <c r="I98" s="714">
        <v>2.0</v>
      </c>
      <c r="J98" s="714">
        <v>3.0</v>
      </c>
      <c r="K98" s="714">
        <v>2.0</v>
      </c>
      <c r="L98" s="714">
        <v>2.0</v>
      </c>
      <c r="M98" s="714">
        <v>3.0</v>
      </c>
      <c r="N98" s="871">
        <v>4.0</v>
      </c>
      <c r="O98" s="848">
        <v>2.0</v>
      </c>
      <c r="P98" s="849">
        <v>3.0</v>
      </c>
      <c r="Q98" s="850">
        <v>2.75</v>
      </c>
      <c r="R98" s="851" t="str">
        <f>HYPERLINK("https://www.strawpoll.me/19055311","Vote")</f>
        <v>Vote</v>
      </c>
      <c r="S98" s="781"/>
    </row>
    <row r="99">
      <c r="A99" s="829"/>
      <c r="B99" s="632"/>
      <c r="C99" s="937" t="s">
        <v>1713</v>
      </c>
      <c r="D99" s="938"/>
      <c r="E99" s="939">
        <v>3.0</v>
      </c>
      <c r="F99" s="939">
        <v>3.0</v>
      </c>
      <c r="G99" s="939">
        <v>4.0</v>
      </c>
      <c r="H99" s="940" t="str">
        <f>HYPERLINK("https://d15f34w2p8l1cc.cloudfront.net/hearthstone/0518dd7a2749babafbf626d5075e4be163a006d772b99a1681cbf95a33a95343.png","Image")</f>
        <v>Image</v>
      </c>
      <c r="I99" s="714">
        <v>2.0</v>
      </c>
      <c r="J99" s="714">
        <v>3.0</v>
      </c>
      <c r="K99" s="714">
        <v>3.0</v>
      </c>
      <c r="L99" s="714">
        <v>2.0</v>
      </c>
      <c r="M99" s="714">
        <v>3.0</v>
      </c>
      <c r="N99" s="871">
        <v>3.0</v>
      </c>
      <c r="O99" s="848">
        <v>3.0</v>
      </c>
      <c r="P99" s="849">
        <v>3.0</v>
      </c>
      <c r="Q99" s="850">
        <v>2.7058823529411766</v>
      </c>
      <c r="R99" s="851" t="str">
        <f>HYPERLINK("https://www.strawpoll.me/19055313","Vote")</f>
        <v>Vote</v>
      </c>
      <c r="S99" s="781"/>
    </row>
    <row r="100">
      <c r="A100" s="829"/>
      <c r="B100" s="794"/>
      <c r="C100" s="941" t="s">
        <v>1714</v>
      </c>
      <c r="D100" s="942" t="s">
        <v>43</v>
      </c>
      <c r="E100" s="943">
        <v>7.0</v>
      </c>
      <c r="F100" s="943">
        <v>5.0</v>
      </c>
      <c r="G100" s="943">
        <v>5.0</v>
      </c>
      <c r="H100" s="944" t="str">
        <f>HYPERLINK("https://d15f34w2p8l1cc.cloudfront.net/hearthstone/dd355fb6e8c48be0f441f90ec246cb73a798afb1f3dd6951695f48792376e7ca.png","Image")</f>
        <v>Image</v>
      </c>
      <c r="I100" s="714">
        <v>1.0</v>
      </c>
      <c r="J100" s="714">
        <v>2.0</v>
      </c>
      <c r="K100" s="714">
        <v>2.0</v>
      </c>
      <c r="L100" s="714">
        <v>3.0</v>
      </c>
      <c r="M100" s="714">
        <v>2.0</v>
      </c>
      <c r="N100" s="871">
        <v>3.0</v>
      </c>
      <c r="O100" s="848">
        <v>1.0</v>
      </c>
      <c r="P100" s="849">
        <v>2.0</v>
      </c>
      <c r="Q100" s="850">
        <v>1.9743589743589745</v>
      </c>
      <c r="R100" s="851" t="str">
        <f>HYPERLINK("https://www.strawpoll.me/19055314","Vote")</f>
        <v>Vote</v>
      </c>
      <c r="S100" s="781"/>
    </row>
    <row r="101">
      <c r="A101" s="829"/>
      <c r="B101" s="353"/>
      <c r="C101" s="945" t="s">
        <v>1715</v>
      </c>
      <c r="D101" s="946"/>
      <c r="E101" s="947">
        <v>4.0</v>
      </c>
      <c r="F101" s="948">
        <v>4.0</v>
      </c>
      <c r="G101" s="947">
        <v>6.0</v>
      </c>
      <c r="H101" s="949" t="str">
        <f>HYPERLINK("https://d15f34w2p8l1cc.cloudfront.net/hearthstone/afe616b2d28f7fe192c755ff880c1dc27431ef4c83b3ecfa969a587649ae9644.png","Image")</f>
        <v>Image</v>
      </c>
      <c r="I101" s="714">
        <v>3.0</v>
      </c>
      <c r="J101" s="714">
        <v>3.0</v>
      </c>
      <c r="K101" s="714">
        <v>3.0</v>
      </c>
      <c r="L101" s="714">
        <v>3.0</v>
      </c>
      <c r="M101" s="714">
        <v>3.0</v>
      </c>
      <c r="N101" s="871">
        <v>4.0</v>
      </c>
      <c r="O101" s="848">
        <v>3.0</v>
      </c>
      <c r="P101" s="849">
        <v>3.0</v>
      </c>
      <c r="Q101" s="850">
        <v>2.7222222222222223</v>
      </c>
      <c r="R101" s="851" t="str">
        <f>HYPERLINK("https://www.strawpoll.me/19055315","Vote")</f>
        <v>Vote</v>
      </c>
      <c r="S101" s="781"/>
    </row>
    <row r="102">
      <c r="A102" s="829"/>
      <c r="B102" s="355"/>
      <c r="C102" s="864" t="s">
        <v>1716</v>
      </c>
      <c r="D102" s="865" t="s">
        <v>1682</v>
      </c>
      <c r="E102" s="859"/>
      <c r="F102" s="859"/>
      <c r="G102" s="859">
        <v>7.0</v>
      </c>
      <c r="H102" s="860" t="str">
        <f>HYPERLINK("https://d15f34w2p8l1cc.cloudfront.net/hearthstone/c475a2ac5dc4a3a6c8240ed8f10a1c25952d3736533eb532c539d75dca905e45.png","Image")</f>
        <v>Image</v>
      </c>
      <c r="I102" s="774">
        <v>2.0</v>
      </c>
      <c r="J102" s="774">
        <v>3.0</v>
      </c>
      <c r="K102" s="774">
        <v>4.0</v>
      </c>
      <c r="L102" s="774">
        <v>2.0</v>
      </c>
      <c r="M102" s="774">
        <v>4.0</v>
      </c>
      <c r="N102" s="774">
        <v>3.0</v>
      </c>
      <c r="O102" s="880">
        <v>3.0</v>
      </c>
      <c r="P102" s="951">
        <v>4.0</v>
      </c>
      <c r="Q102" s="882">
        <v>3.1842105263157894</v>
      </c>
      <c r="R102" s="851" t="str">
        <f>HYPERLINK("https://www.strawpoll.me/19055317","Vote")</f>
        <v>Vote</v>
      </c>
      <c r="S102" s="781"/>
    </row>
    <row r="103">
      <c r="A103" s="823"/>
      <c r="B103" s="605"/>
      <c r="C103" s="195" t="s">
        <v>135</v>
      </c>
      <c r="D103" s="82"/>
      <c r="E103" s="82"/>
      <c r="F103" s="82"/>
      <c r="G103" s="82"/>
      <c r="H103" s="96"/>
      <c r="I103" s="128"/>
      <c r="J103" s="128"/>
      <c r="K103" s="128"/>
      <c r="L103" s="128"/>
      <c r="M103" s="128"/>
      <c r="N103" s="128"/>
      <c r="O103" s="445"/>
      <c r="P103" s="932"/>
      <c r="Q103" s="932"/>
      <c r="R103" s="749"/>
      <c r="S103" s="307"/>
    </row>
    <row r="104" ht="15.75" customHeight="1">
      <c r="A104" s="872"/>
      <c r="B104" s="636"/>
      <c r="C104" s="830"/>
      <c r="D104" s="831"/>
      <c r="E104" s="832"/>
      <c r="F104" s="832"/>
      <c r="G104" s="832"/>
      <c r="H104" s="933"/>
      <c r="I104" s="745" t="s">
        <v>2</v>
      </c>
      <c r="J104" s="745" t="s">
        <v>426</v>
      </c>
      <c r="K104" s="745" t="s">
        <v>1</v>
      </c>
      <c r="L104" s="745" t="s">
        <v>427</v>
      </c>
      <c r="M104" s="745" t="s">
        <v>208</v>
      </c>
      <c r="N104" s="745" t="s">
        <v>3</v>
      </c>
      <c r="O104" s="952" t="s">
        <v>4</v>
      </c>
      <c r="P104" s="888" t="s">
        <v>1617</v>
      </c>
      <c r="Q104" s="835"/>
      <c r="R104" s="820"/>
      <c r="S104" s="781"/>
    </row>
    <row r="105">
      <c r="A105" s="872"/>
      <c r="B105" s="950"/>
      <c r="C105" s="953" t="s">
        <v>1717</v>
      </c>
      <c r="D105" s="934" t="s">
        <v>1718</v>
      </c>
      <c r="E105" s="185"/>
      <c r="F105" s="185"/>
      <c r="G105" s="185">
        <v>1.0</v>
      </c>
      <c r="H105" s="954" t="str">
        <f>HYPERLINK("https://d15f34w2p8l1cc.cloudfront.net/hearthstone/8a94f59995c69c494ed9329e7ca96aa4148faa71d58082e5fb261fc0a1c80339.png","Image")</f>
        <v>Image</v>
      </c>
      <c r="I105" s="709">
        <v>1.0</v>
      </c>
      <c r="J105" s="709">
        <v>1.0</v>
      </c>
      <c r="K105" s="709">
        <v>1.0</v>
      </c>
      <c r="L105" s="709">
        <v>1.0</v>
      </c>
      <c r="M105" s="709">
        <v>1.0</v>
      </c>
      <c r="N105" s="894">
        <v>1.0</v>
      </c>
      <c r="O105" s="841">
        <v>1.0</v>
      </c>
      <c r="P105" s="849">
        <v>1.0</v>
      </c>
      <c r="Q105" s="895">
        <v>1.3428571428571427</v>
      </c>
      <c r="R105" s="851" t="str">
        <f>HYPERLINK("https://www.strawpoll.me/19055319","Vote")</f>
        <v>Vote</v>
      </c>
      <c r="S105" s="781"/>
    </row>
    <row r="106">
      <c r="A106" s="829"/>
      <c r="B106" s="353"/>
      <c r="C106" s="955" t="s">
        <v>1719</v>
      </c>
      <c r="D106" s="936"/>
      <c r="E106" s="855">
        <v>1.0</v>
      </c>
      <c r="F106" s="855">
        <v>1.0</v>
      </c>
      <c r="G106" s="855">
        <v>2.0</v>
      </c>
      <c r="H106" s="956" t="str">
        <f>HYPERLINK("https://d15f34w2p8l1cc.cloudfront.net/hearthstone/e6e2f6589bcd60d1b5b9eb1c176bba66013bb50e14696ee8e7e4d4166533abbe.png","Image")</f>
        <v>Image</v>
      </c>
      <c r="I106" s="714">
        <v>2.0</v>
      </c>
      <c r="J106" s="714">
        <v>2.0</v>
      </c>
      <c r="K106" s="714">
        <v>1.0</v>
      </c>
      <c r="L106" s="714">
        <v>2.0</v>
      </c>
      <c r="M106" s="714">
        <v>2.0</v>
      </c>
      <c r="N106" s="871">
        <v>2.0</v>
      </c>
      <c r="O106" s="848">
        <v>2.0</v>
      </c>
      <c r="P106" s="849">
        <v>2.0</v>
      </c>
      <c r="Q106" s="850">
        <v>1.8709677419354838</v>
      </c>
      <c r="R106" s="851" t="str">
        <f>HYPERLINK("https://www.strawpoll.me/19055320","Vote")</f>
        <v>Vote</v>
      </c>
      <c r="S106" s="781"/>
    </row>
    <row r="107">
      <c r="A107" s="872"/>
      <c r="B107" s="353"/>
      <c r="C107" s="957" t="s">
        <v>1720</v>
      </c>
      <c r="D107" s="938" t="s">
        <v>43</v>
      </c>
      <c r="E107" s="939">
        <v>4.0</v>
      </c>
      <c r="F107" s="939">
        <v>8.0</v>
      </c>
      <c r="G107" s="939">
        <v>6.0</v>
      </c>
      <c r="H107" s="958" t="str">
        <f>HYPERLINK("https://d15f34w2p8l1cc.cloudfront.net/hearthstone/a29fb5768833726adaf196f592c65926806c967fffe7a3e309289c4e7ee806a9.png","Image")</f>
        <v>Image</v>
      </c>
      <c r="I107" s="714">
        <v>3.0</v>
      </c>
      <c r="J107" s="714">
        <v>3.0</v>
      </c>
      <c r="K107" s="714">
        <v>4.0</v>
      </c>
      <c r="L107" s="714">
        <v>4.0</v>
      </c>
      <c r="M107" s="714">
        <v>3.0</v>
      </c>
      <c r="N107" s="871">
        <v>4.0</v>
      </c>
      <c r="O107" s="848">
        <v>3.0</v>
      </c>
      <c r="P107" s="849">
        <v>3.0</v>
      </c>
      <c r="Q107" s="850">
        <v>3.3714285714285714</v>
      </c>
      <c r="R107" s="851" t="str">
        <f>HYPERLINK("https://www.strawpoll.me/19055324","Vote")</f>
        <v>Vote</v>
      </c>
      <c r="S107" s="781"/>
    </row>
    <row r="108">
      <c r="A108" s="829"/>
      <c r="B108" s="637"/>
      <c r="C108" s="959" t="s">
        <v>1721</v>
      </c>
      <c r="D108" s="942" t="s">
        <v>71</v>
      </c>
      <c r="E108" s="943"/>
      <c r="F108" s="943"/>
      <c r="G108" s="943">
        <v>1.0</v>
      </c>
      <c r="H108" s="960" t="str">
        <f>HYPERLINK("https://d15f34w2p8l1cc.cloudfront.net/hearthstone/1d1bb1f34f99f0a7f017d8b4f55a061e80c7b4e711166ee072cfc4528533ec93.png","Image")</f>
        <v>Image</v>
      </c>
      <c r="I108" s="714">
        <v>2.0</v>
      </c>
      <c r="J108" s="714">
        <v>2.0</v>
      </c>
      <c r="K108" s="714">
        <v>2.0</v>
      </c>
      <c r="L108" s="714">
        <v>3.0</v>
      </c>
      <c r="M108" s="714">
        <v>2.0</v>
      </c>
      <c r="N108" s="871">
        <v>3.0</v>
      </c>
      <c r="O108" s="848">
        <v>2.0</v>
      </c>
      <c r="P108" s="849">
        <v>2.0</v>
      </c>
      <c r="Q108" s="850">
        <v>2.21875</v>
      </c>
      <c r="R108" s="851" t="str">
        <f>HYPERLINK("https://www.strawpoll.me/19055326","Vote")</f>
        <v>Vote</v>
      </c>
      <c r="S108" s="781"/>
    </row>
    <row r="109">
      <c r="A109" s="829"/>
      <c r="B109" s="353"/>
      <c r="C109" s="955" t="s">
        <v>1722</v>
      </c>
      <c r="D109" s="936" t="s">
        <v>71</v>
      </c>
      <c r="E109" s="855"/>
      <c r="F109" s="855"/>
      <c r="G109" s="855">
        <v>2.0</v>
      </c>
      <c r="H109" s="956" t="str">
        <f>HYPERLINK("https://d15f34w2p8l1cc.cloudfront.net/hearthstone/cbae1a686d55e7d4b0ceb722d6c9d791d746c75b821cf2349046bd126696eed6.png","Image")</f>
        <v>Image</v>
      </c>
      <c r="I109" s="714">
        <v>4.0</v>
      </c>
      <c r="J109" s="714">
        <v>4.0</v>
      </c>
      <c r="K109" s="714">
        <v>4.0</v>
      </c>
      <c r="L109" s="714">
        <v>4.0</v>
      </c>
      <c r="M109" s="714">
        <v>4.0</v>
      </c>
      <c r="N109" s="871">
        <v>4.0</v>
      </c>
      <c r="O109" s="848">
        <v>4.0</v>
      </c>
      <c r="P109" s="849">
        <v>4.0</v>
      </c>
      <c r="Q109" s="850">
        <v>3.787878787878788</v>
      </c>
      <c r="R109" s="851" t="str">
        <f>HYPERLINK("https://www.strawpoll.me/19055329","Vote")</f>
        <v>Vote</v>
      </c>
      <c r="S109" s="781"/>
    </row>
    <row r="110">
      <c r="A110" s="829"/>
      <c r="B110" s="353"/>
      <c r="C110" s="957" t="s">
        <v>1723</v>
      </c>
      <c r="D110" s="938" t="s">
        <v>71</v>
      </c>
      <c r="E110" s="939"/>
      <c r="F110" s="939"/>
      <c r="G110" s="939">
        <v>5.0</v>
      </c>
      <c r="H110" s="958" t="str">
        <f>HYPERLINK("https://d15f34w2p8l1cc.cloudfront.net/hearthstone/16586a5692f68fb9a35534b28f9cea8736b760486daf983f9022870b94c49fbe.png","Image")</f>
        <v>Image</v>
      </c>
      <c r="I110" s="714">
        <v>2.0</v>
      </c>
      <c r="J110" s="714">
        <v>3.0</v>
      </c>
      <c r="K110" s="714">
        <v>3.0</v>
      </c>
      <c r="L110" s="714">
        <v>2.0</v>
      </c>
      <c r="M110" s="714">
        <v>2.0</v>
      </c>
      <c r="N110" s="871">
        <v>3.0</v>
      </c>
      <c r="O110" s="848">
        <v>3.0</v>
      </c>
      <c r="P110" s="849">
        <v>2.0</v>
      </c>
      <c r="Q110" s="850">
        <v>2.4193548387096775</v>
      </c>
      <c r="R110" s="851" t="str">
        <f>HYPERLINK("https://www.strawpoll.me/19055330","Vote")</f>
        <v>Vote</v>
      </c>
      <c r="S110" s="781"/>
    </row>
    <row r="111">
      <c r="A111" s="829"/>
      <c r="B111" s="961"/>
      <c r="C111" s="959" t="s">
        <v>1724</v>
      </c>
      <c r="D111" s="942" t="s">
        <v>71</v>
      </c>
      <c r="E111" s="943"/>
      <c r="F111" s="943"/>
      <c r="G111" s="943">
        <v>0.0</v>
      </c>
      <c r="H111" s="960" t="str">
        <f>HYPERLINK("https://d15f34w2p8l1cc.cloudfront.net/hearthstone/686a8a44aa30fcfdf001f1f19eba612b9351d74397d60d360d1b277677523bfa.png","Image")</f>
        <v>Image</v>
      </c>
      <c r="I111" s="714">
        <v>1.0</v>
      </c>
      <c r="J111" s="714">
        <v>1.0</v>
      </c>
      <c r="K111" s="714">
        <v>1.0</v>
      </c>
      <c r="L111" s="714">
        <v>1.0</v>
      </c>
      <c r="M111" s="714">
        <v>3.0</v>
      </c>
      <c r="N111" s="871">
        <v>1.0</v>
      </c>
      <c r="O111" s="848">
        <v>1.0</v>
      </c>
      <c r="P111" s="870">
        <v>1.0</v>
      </c>
      <c r="Q111" s="850">
        <v>2.125</v>
      </c>
      <c r="R111" s="851" t="str">
        <f>HYPERLINK("https://www.strawpoll.me/19055332","Vote")</f>
        <v>Vote</v>
      </c>
      <c r="S111" s="781"/>
    </row>
    <row r="112">
      <c r="A112" s="829"/>
      <c r="B112" s="353"/>
      <c r="C112" s="957" t="s">
        <v>1725</v>
      </c>
      <c r="D112" s="938" t="s">
        <v>1718</v>
      </c>
      <c r="E112" s="939"/>
      <c r="F112" s="939"/>
      <c r="G112" s="939">
        <v>1.0</v>
      </c>
      <c r="H112" s="958" t="str">
        <f>HYPERLINK("https://d15f34w2p8l1cc.cloudfront.net/hearthstone/9d54d6da0a9f72467dc8b1d224b62194db020f44126cf19ff06e431411ca4cb5.png","Image")</f>
        <v>Image</v>
      </c>
      <c r="I112" s="714">
        <v>1.0</v>
      </c>
      <c r="J112" s="714">
        <v>2.0</v>
      </c>
      <c r="K112" s="714">
        <v>1.0</v>
      </c>
      <c r="L112" s="714">
        <v>2.0</v>
      </c>
      <c r="M112" s="714">
        <v>1.0</v>
      </c>
      <c r="N112" s="871">
        <v>2.0</v>
      </c>
      <c r="O112" s="848">
        <v>1.0</v>
      </c>
      <c r="P112" s="849">
        <v>1.0</v>
      </c>
      <c r="Q112" s="850">
        <v>1.2666666666666666</v>
      </c>
      <c r="R112" s="851" t="str">
        <f>HYPERLINK("https://www.strawpoll.me/19055333","Vote")</f>
        <v>Vote</v>
      </c>
      <c r="S112" s="781"/>
    </row>
    <row r="113">
      <c r="A113" s="872"/>
      <c r="B113" s="962"/>
      <c r="C113" s="959" t="s">
        <v>1726</v>
      </c>
      <c r="D113" s="942"/>
      <c r="E113" s="943">
        <v>5.0</v>
      </c>
      <c r="F113" s="943">
        <v>10.0</v>
      </c>
      <c r="G113" s="943">
        <v>7.0</v>
      </c>
      <c r="H113" s="960" t="str">
        <f>HYPERLINK("https://d15f34w2p8l1cc.cloudfront.net/hearthstone/fb0c1acaf0d48f704fdf419f4a40bb70ed8539f20a7336a74ba92b940997e518.png","Image")</f>
        <v>Image</v>
      </c>
      <c r="I113" s="714">
        <v>1.0</v>
      </c>
      <c r="J113" s="714">
        <v>1.0</v>
      </c>
      <c r="K113" s="714">
        <v>1.0</v>
      </c>
      <c r="L113" s="714">
        <v>1.0</v>
      </c>
      <c r="M113" s="714">
        <v>1.0</v>
      </c>
      <c r="N113" s="871">
        <v>2.0</v>
      </c>
      <c r="O113" s="848">
        <v>2.0</v>
      </c>
      <c r="P113" s="849">
        <v>2.0</v>
      </c>
      <c r="Q113" s="850">
        <v>1.8235294117647058</v>
      </c>
      <c r="R113" s="851" t="str">
        <f>HYPERLINK("https://www.strawpoll.me/19055334","Vote")</f>
        <v>Vote</v>
      </c>
      <c r="S113" s="781"/>
    </row>
    <row r="114">
      <c r="A114" s="872"/>
      <c r="B114" s="355"/>
      <c r="C114" s="963" t="s">
        <v>1727</v>
      </c>
      <c r="D114" s="964" t="s">
        <v>43</v>
      </c>
      <c r="E114" s="859">
        <v>4.0</v>
      </c>
      <c r="F114" s="965">
        <v>12.0</v>
      </c>
      <c r="G114" s="859">
        <v>9.0</v>
      </c>
      <c r="H114" s="966" t="str">
        <f>HYPERLINK("https://d15f34w2p8l1cc.cloudfront.net/hearthstone/f770baf3dbc0642256a6d903eeee6efede121132abe8bd281b0386f225d80d33.png","Image")</f>
        <v>Image</v>
      </c>
      <c r="I114" s="774">
        <v>2.0</v>
      </c>
      <c r="J114" s="774">
        <v>3.0</v>
      </c>
      <c r="K114" s="774">
        <v>2.0</v>
      </c>
      <c r="L114" s="774">
        <v>3.0</v>
      </c>
      <c r="M114" s="774">
        <v>3.0</v>
      </c>
      <c r="N114" s="879">
        <v>3.0</v>
      </c>
      <c r="O114" s="880">
        <v>3.0</v>
      </c>
      <c r="P114" s="881">
        <v>3.0</v>
      </c>
      <c r="Q114" s="882">
        <v>2.8055555555555554</v>
      </c>
      <c r="R114" s="851" t="str">
        <f>HYPERLINK("https://www.strawpoll.me/19055336","Vote")</f>
        <v>Vote</v>
      </c>
      <c r="S114" s="781"/>
    </row>
    <row r="115">
      <c r="A115" s="883"/>
      <c r="B115" s="824"/>
      <c r="C115" s="195" t="s">
        <v>147</v>
      </c>
      <c r="D115" s="82"/>
      <c r="E115" s="82"/>
      <c r="F115" s="82"/>
      <c r="G115" s="82"/>
      <c r="H115" s="96"/>
      <c r="I115" s="128"/>
      <c r="J115" s="128"/>
      <c r="K115" s="128"/>
      <c r="L115" s="128"/>
      <c r="M115" s="128"/>
      <c r="N115" s="128"/>
      <c r="O115" s="445"/>
      <c r="P115" s="932"/>
      <c r="Q115" s="932"/>
      <c r="R115" s="749"/>
      <c r="S115" s="307"/>
    </row>
    <row r="116" ht="15.75" customHeight="1">
      <c r="A116" s="872"/>
      <c r="B116" s="636"/>
      <c r="C116" s="830"/>
      <c r="D116" s="831"/>
      <c r="E116" s="832"/>
      <c r="F116" s="832"/>
      <c r="G116" s="832"/>
      <c r="H116" s="933"/>
      <c r="I116" s="745" t="s">
        <v>2</v>
      </c>
      <c r="J116" s="745" t="s">
        <v>426</v>
      </c>
      <c r="K116" s="745" t="s">
        <v>1</v>
      </c>
      <c r="L116" s="745" t="s">
        <v>427</v>
      </c>
      <c r="M116" s="745" t="s">
        <v>208</v>
      </c>
      <c r="N116" s="745" t="s">
        <v>3</v>
      </c>
      <c r="O116" s="952" t="s">
        <v>4</v>
      </c>
      <c r="P116" s="888" t="s">
        <v>1617</v>
      </c>
      <c r="Q116" s="835"/>
      <c r="R116" s="820"/>
      <c r="S116" s="781"/>
    </row>
    <row r="117">
      <c r="A117" s="872"/>
      <c r="B117" s="950"/>
      <c r="C117" s="953" t="s">
        <v>1728</v>
      </c>
      <c r="D117" s="934"/>
      <c r="E117" s="185">
        <v>1.0</v>
      </c>
      <c r="F117" s="185">
        <v>3.0</v>
      </c>
      <c r="G117" s="185">
        <v>1.0</v>
      </c>
      <c r="H117" s="954" t="str">
        <f>HYPERLINK("https://d15f34w2p8l1cc.cloudfront.net/hearthstone/e93de3547a7a7382187dd388634c0b1dbb84243780926e650b03c4dd14b92566.png","Image")</f>
        <v>Image</v>
      </c>
      <c r="I117" s="709">
        <v>2.0</v>
      </c>
      <c r="J117" s="709">
        <v>3.0</v>
      </c>
      <c r="K117" s="709">
        <v>2.0</v>
      </c>
      <c r="L117" s="709">
        <v>3.0</v>
      </c>
      <c r="M117" s="709">
        <v>3.0</v>
      </c>
      <c r="N117" s="894">
        <v>3.0</v>
      </c>
      <c r="O117" s="841">
        <v>3.0</v>
      </c>
      <c r="P117" s="849">
        <v>3.0</v>
      </c>
      <c r="Q117" s="895">
        <v>2.65625</v>
      </c>
      <c r="R117" s="851" t="str">
        <f>HYPERLINK("https://www.strawpoll.me/19055337","Vote")</f>
        <v>Vote</v>
      </c>
      <c r="S117" s="781"/>
    </row>
    <row r="118">
      <c r="A118" s="872"/>
      <c r="B118" s="353"/>
      <c r="C118" s="955" t="s">
        <v>1729</v>
      </c>
      <c r="D118" s="936" t="s">
        <v>71</v>
      </c>
      <c r="E118" s="855"/>
      <c r="F118" s="855"/>
      <c r="G118" s="855">
        <v>2.0</v>
      </c>
      <c r="H118" s="956" t="str">
        <f>HYPERLINK("https://d15f34w2p8l1cc.cloudfront.net/hearthstone/636b037311471c66b694ed810794a05b7675b871486eb5fb1dd2d888813fe522.png","Image")</f>
        <v>Image</v>
      </c>
      <c r="I118" s="714">
        <v>2.0</v>
      </c>
      <c r="J118" s="714">
        <v>2.0</v>
      </c>
      <c r="K118" s="714">
        <v>3.0</v>
      </c>
      <c r="L118" s="714">
        <v>2.0</v>
      </c>
      <c r="M118" s="714">
        <v>3.0</v>
      </c>
      <c r="N118" s="871">
        <v>3.0</v>
      </c>
      <c r="O118" s="848">
        <v>2.0</v>
      </c>
      <c r="P118" s="849">
        <v>3.0</v>
      </c>
      <c r="Q118" s="850">
        <v>2.5172413793103448</v>
      </c>
      <c r="R118" s="851" t="str">
        <f>HYPERLINK("https://www.strawpoll.me/19055338","Vote")</f>
        <v>Vote</v>
      </c>
      <c r="S118" s="781"/>
    </row>
    <row r="119">
      <c r="A119" s="872"/>
      <c r="B119" s="353"/>
      <c r="C119" s="957" t="s">
        <v>1730</v>
      </c>
      <c r="D119" s="938" t="s">
        <v>43</v>
      </c>
      <c r="E119" s="939">
        <v>2.0</v>
      </c>
      <c r="F119" s="939">
        <v>3.0</v>
      </c>
      <c r="G119" s="939">
        <v>3.0</v>
      </c>
      <c r="H119" s="958" t="str">
        <f>HYPERLINK("https://d15f34w2p8l1cc.cloudfront.net/hearthstone/90eec5b9fec67ac72b15d5b4f289b62a66e7c7294b276bda65f06f6b7f98be3e.png","Image")</f>
        <v>Image</v>
      </c>
      <c r="I119" s="714">
        <v>2.0</v>
      </c>
      <c r="J119" s="714">
        <v>3.0</v>
      </c>
      <c r="K119" s="714">
        <v>2.0</v>
      </c>
      <c r="L119" s="714">
        <v>2.0</v>
      </c>
      <c r="M119" s="714">
        <v>3.0</v>
      </c>
      <c r="N119" s="871">
        <v>3.0</v>
      </c>
      <c r="O119" s="848">
        <v>3.0</v>
      </c>
      <c r="P119" s="849">
        <v>3.0</v>
      </c>
      <c r="Q119" s="850">
        <v>2.5714285714285716</v>
      </c>
      <c r="R119" s="851" t="str">
        <f>HYPERLINK("https://www.strawpoll.me/19055339","Vote")</f>
        <v>Vote</v>
      </c>
      <c r="S119" s="781"/>
    </row>
    <row r="120">
      <c r="A120" s="872"/>
      <c r="B120" s="637"/>
      <c r="C120" s="959" t="s">
        <v>1731</v>
      </c>
      <c r="D120" s="942" t="s">
        <v>1718</v>
      </c>
      <c r="E120" s="943"/>
      <c r="F120" s="943"/>
      <c r="G120" s="943">
        <v>1.0</v>
      </c>
      <c r="H120" s="960" t="str">
        <f>HYPERLINK("https://d15f34w2p8l1cc.cloudfront.net/hearthstone/7a943a8ab16977c93bdf18228ee5914a1a5abddeeccce0f4d77845fe242148b6.png","Image")</f>
        <v>Image</v>
      </c>
      <c r="I120" s="714">
        <v>2.0</v>
      </c>
      <c r="J120" s="714">
        <v>1.0</v>
      </c>
      <c r="K120" s="714">
        <v>1.0</v>
      </c>
      <c r="L120" s="714">
        <v>1.0</v>
      </c>
      <c r="M120" s="714">
        <v>1.0</v>
      </c>
      <c r="N120" s="871">
        <v>1.0</v>
      </c>
      <c r="O120" s="848">
        <v>2.0</v>
      </c>
      <c r="P120" s="849">
        <v>2.0</v>
      </c>
      <c r="Q120" s="850">
        <v>1.6666666666666667</v>
      </c>
      <c r="R120" s="851" t="str">
        <f>HYPERLINK("https://www.strawpoll.me/19055341","Vote")</f>
        <v>Vote</v>
      </c>
      <c r="S120" s="781"/>
    </row>
    <row r="121">
      <c r="A121" s="872"/>
      <c r="B121" s="353"/>
      <c r="C121" s="955" t="s">
        <v>1732</v>
      </c>
      <c r="D121" s="936" t="s">
        <v>22</v>
      </c>
      <c r="E121" s="855">
        <v>2.0</v>
      </c>
      <c r="F121" s="855">
        <v>3.0</v>
      </c>
      <c r="G121" s="855">
        <v>2.0</v>
      </c>
      <c r="H121" s="956" t="str">
        <f>HYPERLINK("https://d15f34w2p8l1cc.cloudfront.net/hearthstone/6481a51be26cef81202a2b8c9c50ff9b18e6806147b577b415531fb9fe29562e.png","Image")</f>
        <v>Image</v>
      </c>
      <c r="I121" s="714">
        <v>2.0</v>
      </c>
      <c r="J121" s="714">
        <v>2.0</v>
      </c>
      <c r="K121" s="714">
        <v>2.0</v>
      </c>
      <c r="L121" s="714">
        <v>1.0</v>
      </c>
      <c r="M121" s="714">
        <v>2.0</v>
      </c>
      <c r="N121" s="871">
        <v>2.0</v>
      </c>
      <c r="O121" s="848">
        <v>2.0</v>
      </c>
      <c r="P121" s="849">
        <v>2.0</v>
      </c>
      <c r="Q121" s="850">
        <v>1.896551724137931</v>
      </c>
      <c r="R121" s="851" t="str">
        <f>HYPERLINK("https://www.strawpoll.me/19055343","Vote")</f>
        <v>Vote</v>
      </c>
      <c r="S121" s="781"/>
    </row>
    <row r="122">
      <c r="A122" s="872"/>
      <c r="B122" s="353"/>
      <c r="C122" s="957" t="s">
        <v>1733</v>
      </c>
      <c r="D122" s="938" t="s">
        <v>22</v>
      </c>
      <c r="E122" s="939">
        <v>4.0</v>
      </c>
      <c r="F122" s="939">
        <v>1.0</v>
      </c>
      <c r="G122" s="939">
        <v>3.0</v>
      </c>
      <c r="H122" s="958" t="str">
        <f>HYPERLINK("https://d15f34w2p8l1cc.cloudfront.net/hearthstone/018f70757abccb57493445c0c99bac61b028cd41cf14b2b3503939b5c1d93ae5.png","Image")</f>
        <v>Image</v>
      </c>
      <c r="I122" s="714">
        <v>2.0</v>
      </c>
      <c r="J122" s="714">
        <v>3.0</v>
      </c>
      <c r="K122" s="714">
        <v>4.0</v>
      </c>
      <c r="L122" s="714">
        <v>2.0</v>
      </c>
      <c r="M122" s="714">
        <v>3.0</v>
      </c>
      <c r="N122" s="871">
        <v>4.0</v>
      </c>
      <c r="O122" s="848">
        <v>3.0</v>
      </c>
      <c r="P122" s="849">
        <v>3.0</v>
      </c>
      <c r="Q122" s="850">
        <v>3.0689655172413794</v>
      </c>
      <c r="R122" s="851" t="str">
        <f>HYPERLINK("https://www.strawpoll.me/19055345","Vote")</f>
        <v>Vote</v>
      </c>
      <c r="S122" s="781"/>
    </row>
    <row r="123">
      <c r="A123" s="872"/>
      <c r="B123" s="961"/>
      <c r="C123" s="959" t="s">
        <v>1734</v>
      </c>
      <c r="D123" s="942" t="s">
        <v>1718</v>
      </c>
      <c r="E123" s="943"/>
      <c r="F123" s="943"/>
      <c r="G123" s="943">
        <v>1.0</v>
      </c>
      <c r="H123" s="960" t="str">
        <f>HYPERLINK("https://d15f34w2p8l1cc.cloudfront.net/hearthstone/5bddb8a4213c582af1af98e77b9aca1d3ddf51bd3c0cfcc6f5256b1df4ebbf22.png","Image")</f>
        <v>Image</v>
      </c>
      <c r="I123" s="714">
        <v>1.0</v>
      </c>
      <c r="J123" s="714">
        <v>1.0</v>
      </c>
      <c r="K123" s="714">
        <v>1.0</v>
      </c>
      <c r="L123" s="714">
        <v>1.0</v>
      </c>
      <c r="M123" s="714">
        <v>1.0</v>
      </c>
      <c r="N123" s="871">
        <v>1.0</v>
      </c>
      <c r="O123" s="848">
        <v>1.0</v>
      </c>
      <c r="P123" s="849">
        <v>1.0</v>
      </c>
      <c r="Q123" s="850">
        <v>1.3548387096774193</v>
      </c>
      <c r="R123" s="851" t="str">
        <f>HYPERLINK("https://www.strawpoll.me/19055346","Vote")</f>
        <v>Vote</v>
      </c>
      <c r="S123" s="781"/>
    </row>
    <row r="124">
      <c r="A124" s="872"/>
      <c r="B124" s="353"/>
      <c r="C124" s="957" t="s">
        <v>1735</v>
      </c>
      <c r="D124" s="938" t="s">
        <v>77</v>
      </c>
      <c r="E124" s="939">
        <v>3.0</v>
      </c>
      <c r="F124" s="939">
        <v>2.0</v>
      </c>
      <c r="G124" s="939">
        <v>3.0</v>
      </c>
      <c r="H124" s="958" t="str">
        <f>HYPERLINK("https://d15f34w2p8l1cc.cloudfront.net/hearthstone/cac10939c83442b9cfe06c9ea0e892edc027c0374ad701eeb2c7848604252804.png","Image")</f>
        <v>Image</v>
      </c>
      <c r="I124" s="714">
        <v>2.0</v>
      </c>
      <c r="J124" s="714">
        <v>2.0</v>
      </c>
      <c r="K124" s="714">
        <v>2.0</v>
      </c>
      <c r="L124" s="714">
        <v>2.0</v>
      </c>
      <c r="M124" s="714">
        <v>3.0</v>
      </c>
      <c r="N124" s="871">
        <v>3.0</v>
      </c>
      <c r="O124" s="848">
        <v>2.0</v>
      </c>
      <c r="P124" s="849">
        <v>2.0</v>
      </c>
      <c r="Q124" s="850">
        <v>2.466666666666667</v>
      </c>
      <c r="R124" s="851" t="str">
        <f>HYPERLINK("https://www.strawpoll.me/19055347","Vote")</f>
        <v>Vote</v>
      </c>
      <c r="S124" s="781"/>
    </row>
    <row r="125">
      <c r="A125" s="872"/>
      <c r="B125" s="962"/>
      <c r="C125" s="959" t="s">
        <v>1736</v>
      </c>
      <c r="D125" s="942" t="s">
        <v>20</v>
      </c>
      <c r="E125" s="943">
        <v>3.0</v>
      </c>
      <c r="F125" s="943">
        <v>5.0</v>
      </c>
      <c r="G125" s="943">
        <v>4.0</v>
      </c>
      <c r="H125" s="960" t="str">
        <f>HYPERLINK("https://d15f34w2p8l1cc.cloudfront.net/hearthstone/0403ca5b66b9747cba2be26408b6443f4113b7a2c66c56888475c5b99437ace3.png","Image")</f>
        <v>Image</v>
      </c>
      <c r="I125" s="714">
        <v>2.0</v>
      </c>
      <c r="J125" s="714">
        <v>2.0</v>
      </c>
      <c r="K125" s="714">
        <v>3.0</v>
      </c>
      <c r="L125" s="714">
        <v>2.0</v>
      </c>
      <c r="M125" s="714">
        <v>2.0</v>
      </c>
      <c r="N125" s="871">
        <v>3.0</v>
      </c>
      <c r="O125" s="848">
        <v>2.0</v>
      </c>
      <c r="P125" s="849">
        <v>3.0</v>
      </c>
      <c r="Q125" s="850">
        <v>2.5</v>
      </c>
      <c r="R125" s="851" t="str">
        <f>HYPERLINK("https://www.strawpoll.me/19055348","Vote")</f>
        <v>Vote</v>
      </c>
      <c r="S125" s="781"/>
    </row>
    <row r="126">
      <c r="A126" s="872"/>
      <c r="B126" s="355"/>
      <c r="C126" s="963" t="s">
        <v>1737</v>
      </c>
      <c r="D126" s="964" t="s">
        <v>43</v>
      </c>
      <c r="E126" s="859">
        <v>7.0</v>
      </c>
      <c r="F126" s="965">
        <v>6.0</v>
      </c>
      <c r="G126" s="859">
        <v>6.0</v>
      </c>
      <c r="H126" s="966" t="str">
        <f>HYPERLINK("https://d15f34w2p8l1cc.cloudfront.net/hearthstone/9d18289973254b3bc66b5ecc46d8e9a965067b799d2af4aa9628ac5c1e17acdf.png","Image")</f>
        <v>Image</v>
      </c>
      <c r="I126" s="774">
        <v>3.0</v>
      </c>
      <c r="J126" s="774">
        <v>3.0</v>
      </c>
      <c r="K126" s="774">
        <v>2.0</v>
      </c>
      <c r="L126" s="774">
        <v>2.0</v>
      </c>
      <c r="M126" s="774">
        <v>4.0</v>
      </c>
      <c r="N126" s="879">
        <v>4.0</v>
      </c>
      <c r="O126" s="880">
        <v>3.0</v>
      </c>
      <c r="P126" s="951">
        <v>3.0</v>
      </c>
      <c r="Q126" s="882">
        <v>2.4242424242424243</v>
      </c>
      <c r="R126" s="851" t="str">
        <f>HYPERLINK("https://www.strawpoll.me/19055350","Vote")</f>
        <v>Vote</v>
      </c>
      <c r="S126" s="781"/>
    </row>
    <row r="127">
      <c r="A127" s="883"/>
      <c r="B127" s="824"/>
      <c r="C127" s="195" t="s">
        <v>158</v>
      </c>
      <c r="D127" s="82"/>
      <c r="E127" s="82"/>
      <c r="F127" s="82"/>
      <c r="G127" s="82"/>
      <c r="H127" s="96"/>
      <c r="I127" s="128"/>
      <c r="J127" s="128"/>
      <c r="K127" s="128"/>
      <c r="L127" s="128"/>
      <c r="M127" s="128"/>
      <c r="N127" s="128"/>
      <c r="O127" s="445"/>
      <c r="P127" s="932"/>
      <c r="Q127" s="932"/>
      <c r="R127" s="749"/>
      <c r="S127" s="307"/>
    </row>
    <row r="128" ht="15.75" customHeight="1">
      <c r="A128" s="872"/>
      <c r="B128" s="636"/>
      <c r="C128" s="830"/>
      <c r="D128" s="831"/>
      <c r="E128" s="832"/>
      <c r="F128" s="832"/>
      <c r="G128" s="832"/>
      <c r="H128" s="933"/>
      <c r="I128" s="702" t="s">
        <v>2</v>
      </c>
      <c r="J128" s="702" t="s">
        <v>426</v>
      </c>
      <c r="K128" s="702" t="s">
        <v>1</v>
      </c>
      <c r="L128" s="702" t="s">
        <v>427</v>
      </c>
      <c r="M128" s="702" t="s">
        <v>208</v>
      </c>
      <c r="N128" s="702" t="s">
        <v>3</v>
      </c>
      <c r="O128" s="887" t="s">
        <v>4</v>
      </c>
      <c r="P128" s="888" t="s">
        <v>1617</v>
      </c>
      <c r="Q128" s="835"/>
      <c r="R128" s="820"/>
      <c r="S128" s="781"/>
    </row>
    <row r="129">
      <c r="A129" s="872"/>
      <c r="B129" s="950"/>
      <c r="C129" s="705" t="s">
        <v>1738</v>
      </c>
      <c r="D129" s="934" t="s">
        <v>71</v>
      </c>
      <c r="E129" s="185"/>
      <c r="F129" s="185"/>
      <c r="G129" s="185">
        <v>0.0</v>
      </c>
      <c r="H129" s="840" t="str">
        <f>HYPERLINK("https://d15f34w2p8l1cc.cloudfront.net/hearthstone/2f1136cbd502ea1e4f4bf63bb2a20d54555a13e9704fde93184c6a536c1ad283.png","Image")</f>
        <v>Image</v>
      </c>
      <c r="I129" s="709">
        <v>2.0</v>
      </c>
      <c r="J129" s="709">
        <v>2.0</v>
      </c>
      <c r="K129" s="709">
        <v>2.0</v>
      </c>
      <c r="L129" s="709">
        <v>2.0</v>
      </c>
      <c r="M129" s="709">
        <v>1.0</v>
      </c>
      <c r="N129" s="709">
        <v>3.0</v>
      </c>
      <c r="O129" s="841">
        <v>2.0</v>
      </c>
      <c r="P129" s="849">
        <v>2.0</v>
      </c>
      <c r="Q129" s="895">
        <v>1.8387096774193548</v>
      </c>
      <c r="R129" s="851" t="str">
        <f>HYPERLINK("https://www.strawpoll.me/19055351","Vote")</f>
        <v>Vote</v>
      </c>
      <c r="S129" s="781"/>
    </row>
    <row r="130">
      <c r="A130" s="872"/>
      <c r="B130" s="353"/>
      <c r="C130" s="935" t="s">
        <v>1739</v>
      </c>
      <c r="D130" s="936" t="s">
        <v>1638</v>
      </c>
      <c r="E130" s="855">
        <v>1.0</v>
      </c>
      <c r="F130" s="855">
        <v>2.0</v>
      </c>
      <c r="G130" s="855">
        <v>1.0</v>
      </c>
      <c r="H130" s="856" t="str">
        <f>HYPERLINK("https://d15f34w2p8l1cc.cloudfront.net/hearthstone/9abbaba51efdabe8b75abe336f1e318c887ad15242b0998f95f005aa12a32b3b.png","Image")</f>
        <v>Image</v>
      </c>
      <c r="I130" s="714">
        <v>3.0</v>
      </c>
      <c r="J130" s="714">
        <v>3.0</v>
      </c>
      <c r="K130" s="714">
        <v>3.0</v>
      </c>
      <c r="L130" s="714">
        <v>3.0</v>
      </c>
      <c r="M130" s="714">
        <v>2.0</v>
      </c>
      <c r="N130" s="871">
        <v>3.0</v>
      </c>
      <c r="O130" s="848">
        <v>3.0</v>
      </c>
      <c r="P130" s="849">
        <v>3.0</v>
      </c>
      <c r="Q130" s="850">
        <v>2.8666666666666667</v>
      </c>
      <c r="R130" s="851" t="str">
        <f>HYPERLINK("https://www.strawpoll.me/19055352","Vote")</f>
        <v>Vote</v>
      </c>
      <c r="S130" s="781"/>
    </row>
    <row r="131">
      <c r="A131" s="872"/>
      <c r="B131" s="632"/>
      <c r="C131" s="937" t="s">
        <v>1740</v>
      </c>
      <c r="D131" s="938" t="s">
        <v>71</v>
      </c>
      <c r="E131" s="939"/>
      <c r="F131" s="939"/>
      <c r="G131" s="939">
        <v>4.0</v>
      </c>
      <c r="H131" s="940" t="str">
        <f>HYPERLINK("https://d15f34w2p8l1cc.cloudfront.net/hearthstone/872a4aacf679f7248aadd84e4e7b1b934c952b1b37a0ed993b1b95047a62ddf4.png","Image")</f>
        <v>Image</v>
      </c>
      <c r="I131" s="714">
        <v>1.0</v>
      </c>
      <c r="J131" s="714">
        <v>2.0</v>
      </c>
      <c r="K131" s="714">
        <v>2.0</v>
      </c>
      <c r="L131" s="714">
        <v>2.0</v>
      </c>
      <c r="M131" s="714">
        <v>2.0</v>
      </c>
      <c r="N131" s="871">
        <v>2.0</v>
      </c>
      <c r="O131" s="848">
        <v>2.0</v>
      </c>
      <c r="P131" s="849">
        <v>2.0</v>
      </c>
      <c r="Q131" s="850">
        <v>1.96875</v>
      </c>
      <c r="R131" s="851" t="str">
        <f>HYPERLINK("https://www.strawpoll.me/19055353","Vote")</f>
        <v>Vote</v>
      </c>
      <c r="S131" s="781"/>
    </row>
    <row r="132">
      <c r="A132" s="872"/>
      <c r="B132" s="639"/>
      <c r="C132" s="941" t="s">
        <v>1741</v>
      </c>
      <c r="D132" s="942" t="s">
        <v>1673</v>
      </c>
      <c r="E132" s="943"/>
      <c r="F132" s="943"/>
      <c r="G132" s="943">
        <v>5.0</v>
      </c>
      <c r="H132" s="944" t="str">
        <f>HYPERLINK("https://d15f34w2p8l1cc.cloudfront.net/hearthstone/b9161ae30a07ee3fbcbe4e1363cebc9117a1246ed86bb82dc2b6e24e98c196ac.png","Image")</f>
        <v>Image</v>
      </c>
      <c r="I132" s="714">
        <v>3.0</v>
      </c>
      <c r="J132" s="714">
        <v>3.0</v>
      </c>
      <c r="K132" s="714">
        <v>4.0</v>
      </c>
      <c r="L132" s="714">
        <v>3.0</v>
      </c>
      <c r="M132" s="714">
        <v>2.0</v>
      </c>
      <c r="N132" s="871">
        <v>4.0</v>
      </c>
      <c r="O132" s="848">
        <v>2.0</v>
      </c>
      <c r="P132" s="849">
        <v>3.0</v>
      </c>
      <c r="Q132" s="850">
        <v>2.7941176470588234</v>
      </c>
      <c r="R132" s="851" t="str">
        <f>HYPERLINK("https://www.strawpoll.me/19055355","Vote")</f>
        <v>Vote</v>
      </c>
      <c r="S132" s="781"/>
    </row>
    <row r="133">
      <c r="A133" s="872"/>
      <c r="B133" s="353"/>
      <c r="C133" s="935" t="s">
        <v>1742</v>
      </c>
      <c r="D133" s="936" t="s">
        <v>43</v>
      </c>
      <c r="E133" s="855">
        <v>4.0</v>
      </c>
      <c r="F133" s="855">
        <v>5.0</v>
      </c>
      <c r="G133" s="855">
        <v>5.0</v>
      </c>
      <c r="H133" s="856" t="str">
        <f>HYPERLINK("https://d15f34w2p8l1cc.cloudfront.net/hearthstone/ec77f82d5570f7013361893d8963aa89f662a42d7db2d2cbc188f89737c8e6f5.png","Image")</f>
        <v>Image</v>
      </c>
      <c r="I133" s="714">
        <v>1.0</v>
      </c>
      <c r="J133" s="714">
        <v>1.0</v>
      </c>
      <c r="K133" s="714">
        <v>1.0</v>
      </c>
      <c r="L133" s="714">
        <v>2.0</v>
      </c>
      <c r="M133" s="714">
        <v>2.0</v>
      </c>
      <c r="N133" s="714">
        <v>2.0</v>
      </c>
      <c r="O133" s="848">
        <v>2.0</v>
      </c>
      <c r="P133" s="849">
        <v>2.0</v>
      </c>
      <c r="Q133" s="850">
        <v>2.054054054054054</v>
      </c>
      <c r="R133" s="851" t="str">
        <f>HYPERLINK("https://www.strawpoll.me/19055357","Vote")</f>
        <v>Vote</v>
      </c>
      <c r="S133" s="781"/>
    </row>
    <row r="134">
      <c r="A134" s="872"/>
      <c r="B134" s="632"/>
      <c r="C134" s="937" t="s">
        <v>1743</v>
      </c>
      <c r="D134" s="938" t="s">
        <v>71</v>
      </c>
      <c r="E134" s="939"/>
      <c r="F134" s="939"/>
      <c r="G134" s="939">
        <v>3.0</v>
      </c>
      <c r="H134" s="940" t="str">
        <f>HYPERLINK("https://d15f34w2p8l1cc.cloudfront.net/hearthstone/7402f26c94982ea5b68cef84b0aec02ad11fcb95bf21825ff3675e7b4c3be31a.png","Image")</f>
        <v>Image</v>
      </c>
      <c r="I134" s="714">
        <v>3.0</v>
      </c>
      <c r="J134" s="714">
        <v>3.0</v>
      </c>
      <c r="K134" s="714">
        <v>3.0</v>
      </c>
      <c r="L134" s="714">
        <v>3.0</v>
      </c>
      <c r="M134" s="714">
        <v>3.0</v>
      </c>
      <c r="N134" s="871">
        <v>3.0</v>
      </c>
      <c r="O134" s="848">
        <v>2.0</v>
      </c>
      <c r="P134" s="849">
        <v>3.0</v>
      </c>
      <c r="Q134" s="850">
        <v>2.914285714285714</v>
      </c>
      <c r="R134" s="851" t="str">
        <f>HYPERLINK("https://www.strawpoll.me/19055359","Vote")</f>
        <v>Vote</v>
      </c>
      <c r="S134" s="781"/>
    </row>
    <row r="135">
      <c r="A135" s="872"/>
      <c r="B135" s="793"/>
      <c r="C135" s="941" t="s">
        <v>1744</v>
      </c>
      <c r="D135" s="942"/>
      <c r="E135" s="943">
        <v>2.0</v>
      </c>
      <c r="F135" s="943">
        <v>2.0</v>
      </c>
      <c r="G135" s="943">
        <v>2.0</v>
      </c>
      <c r="H135" s="944" t="str">
        <f>HYPERLINK("https://d15f34w2p8l1cc.cloudfront.net/hearthstone/f90e2ff30fe7f9002408a51a1e57e3c9856649df2836472af0e36d61674a11be.png","Image")</f>
        <v>Image</v>
      </c>
      <c r="I135" s="714">
        <v>1.0</v>
      </c>
      <c r="J135" s="714">
        <v>1.0</v>
      </c>
      <c r="K135" s="714">
        <v>1.0</v>
      </c>
      <c r="L135" s="714">
        <v>1.0</v>
      </c>
      <c r="M135" s="714">
        <v>1.0</v>
      </c>
      <c r="N135" s="714">
        <v>1.0</v>
      </c>
      <c r="O135" s="848">
        <v>2.0</v>
      </c>
      <c r="P135" s="870">
        <v>1.0</v>
      </c>
      <c r="Q135" s="850">
        <v>1.5277777777777777</v>
      </c>
      <c r="R135" s="851" t="str">
        <f>HYPERLINK("https://www.strawpoll.me/19055360","Vote")</f>
        <v>Vote</v>
      </c>
      <c r="S135" s="781"/>
    </row>
    <row r="136">
      <c r="A136" s="872"/>
      <c r="B136" s="632"/>
      <c r="C136" s="937" t="s">
        <v>1745</v>
      </c>
      <c r="D136" s="938" t="s">
        <v>43</v>
      </c>
      <c r="E136" s="939">
        <v>3.0</v>
      </c>
      <c r="F136" s="939">
        <v>6.0</v>
      </c>
      <c r="G136" s="939">
        <v>4.0</v>
      </c>
      <c r="H136" s="940" t="str">
        <f>HYPERLINK("https://d15f34w2p8l1cc.cloudfront.net/hearthstone/e3de5665a2458ca67ac73ac43a3f116b848afb60c8438f7518ea4bb8564b36c1.png","Image")</f>
        <v>Image</v>
      </c>
      <c r="I136" s="714">
        <v>3.0</v>
      </c>
      <c r="J136" s="714">
        <v>3.0</v>
      </c>
      <c r="K136" s="714">
        <v>4.0</v>
      </c>
      <c r="L136" s="714">
        <v>3.0</v>
      </c>
      <c r="M136" s="714">
        <v>3.0</v>
      </c>
      <c r="N136" s="871">
        <v>4.0</v>
      </c>
      <c r="O136" s="848">
        <v>3.0</v>
      </c>
      <c r="P136" s="849">
        <v>3.0</v>
      </c>
      <c r="Q136" s="850">
        <v>3.3055555555555554</v>
      </c>
      <c r="R136" s="851" t="str">
        <f>HYPERLINK("https://www.strawpoll.me/19055361","Vote")</f>
        <v>Vote</v>
      </c>
      <c r="S136" s="781"/>
    </row>
    <row r="137">
      <c r="A137" s="872"/>
      <c r="B137" s="794"/>
      <c r="C137" s="941" t="s">
        <v>1746</v>
      </c>
      <c r="D137" s="942"/>
      <c r="E137" s="943">
        <v>3.0</v>
      </c>
      <c r="F137" s="943">
        <v>3.0</v>
      </c>
      <c r="G137" s="943">
        <v>3.0</v>
      </c>
      <c r="H137" s="944" t="str">
        <f>HYPERLINK("https://d15f34w2p8l1cc.cloudfront.net/hearthstone/7e94c72739ecf3142ff839b189aee6abea8f405337f4bfeb30acd4bcb8a182e1.png","Image")</f>
        <v>Image</v>
      </c>
      <c r="I137" s="714">
        <v>2.0</v>
      </c>
      <c r="J137" s="714">
        <v>3.0</v>
      </c>
      <c r="K137" s="714">
        <v>3.0</v>
      </c>
      <c r="L137" s="714">
        <v>4.0</v>
      </c>
      <c r="M137" s="714">
        <v>4.0</v>
      </c>
      <c r="N137" s="871">
        <v>4.0</v>
      </c>
      <c r="O137" s="848">
        <v>3.0</v>
      </c>
      <c r="P137" s="849">
        <v>3.0</v>
      </c>
      <c r="Q137" s="850">
        <v>2.6</v>
      </c>
      <c r="R137" s="851" t="str">
        <f>HYPERLINK("https://www.strawpoll.me/19055363","Vote")</f>
        <v>Vote</v>
      </c>
      <c r="S137" s="781"/>
    </row>
    <row r="138">
      <c r="A138" s="872"/>
      <c r="B138" s="353"/>
      <c r="C138" s="945" t="s">
        <v>1747</v>
      </c>
      <c r="D138" s="946" t="s">
        <v>1682</v>
      </c>
      <c r="E138" s="947"/>
      <c r="F138" s="948"/>
      <c r="G138" s="947">
        <v>7.0</v>
      </c>
      <c r="H138" s="949" t="str">
        <f>HYPERLINK("https://d15f34w2p8l1cc.cloudfront.net/hearthstone/3af893d0cd57e8dc159f6be3a73e08ed9a8b8b6665f0de39e61a477195ef8f07.png","Image")</f>
        <v>Image</v>
      </c>
      <c r="I138" s="714">
        <v>3.0</v>
      </c>
      <c r="J138" s="714">
        <v>3.0</v>
      </c>
      <c r="K138" s="714">
        <v>4.0</v>
      </c>
      <c r="L138" s="714">
        <v>3.0</v>
      </c>
      <c r="M138" s="714">
        <v>2.0</v>
      </c>
      <c r="N138" s="714">
        <v>4.0</v>
      </c>
      <c r="O138" s="848">
        <v>4.0</v>
      </c>
      <c r="P138" s="849">
        <v>4.0</v>
      </c>
      <c r="Q138" s="850">
        <v>3.5476190476190474</v>
      </c>
      <c r="R138" s="851" t="str">
        <f>HYPERLINK("https://www.strawpoll.me/19055365","Vote")</f>
        <v>Vote</v>
      </c>
      <c r="S138" s="781"/>
    </row>
    <row r="139">
      <c r="A139" s="872"/>
      <c r="B139" s="355"/>
      <c r="C139" s="864" t="s">
        <v>1748</v>
      </c>
      <c r="D139" s="865" t="s">
        <v>43</v>
      </c>
      <c r="E139" s="859">
        <v>8.0</v>
      </c>
      <c r="F139" s="859">
        <v>8.0</v>
      </c>
      <c r="G139" s="859">
        <v>8.0</v>
      </c>
      <c r="H139" s="860" t="str">
        <f>HYPERLINK("https://d15f34w2p8l1cc.cloudfront.net/hearthstone/b4fe7ff7d3fa162dfbf4f49205fa833e7b83e2c712c2f55a520a88d58085f0b4.png","Image")</f>
        <v>Image</v>
      </c>
      <c r="I139" s="774">
        <v>1.0</v>
      </c>
      <c r="J139" s="774">
        <v>3.0</v>
      </c>
      <c r="K139" s="774">
        <v>3.0</v>
      </c>
      <c r="L139" s="774">
        <v>2.0</v>
      </c>
      <c r="M139" s="774">
        <v>4.0</v>
      </c>
      <c r="N139" s="879">
        <v>4.0</v>
      </c>
      <c r="O139" s="880">
        <v>4.0</v>
      </c>
      <c r="P139" s="951">
        <v>4.0</v>
      </c>
      <c r="Q139" s="882">
        <v>3.3207547169811322</v>
      </c>
      <c r="R139" s="851" t="str">
        <f>HYPERLINK("https://www.strawpoll.me/19055368","Vote")</f>
        <v>Vote</v>
      </c>
      <c r="S139" s="781"/>
    </row>
    <row r="140">
      <c r="A140" s="883"/>
      <c r="B140" s="824"/>
      <c r="C140" s="195" t="s">
        <v>170</v>
      </c>
      <c r="D140" s="82"/>
      <c r="E140" s="82"/>
      <c r="F140" s="82"/>
      <c r="G140" s="82"/>
      <c r="H140" s="96"/>
      <c r="I140" s="128"/>
      <c r="J140" s="128"/>
      <c r="K140" s="128"/>
      <c r="L140" s="128"/>
      <c r="M140" s="128"/>
      <c r="N140" s="128"/>
      <c r="O140" s="445"/>
      <c r="P140" s="932"/>
      <c r="Q140" s="932"/>
      <c r="R140" s="749"/>
      <c r="S140" s="307"/>
    </row>
    <row r="141" ht="15.75" customHeight="1">
      <c r="A141" s="872"/>
      <c r="B141" s="636"/>
      <c r="C141" s="830"/>
      <c r="D141" s="831"/>
      <c r="E141" s="832"/>
      <c r="F141" s="832"/>
      <c r="G141" s="832"/>
      <c r="H141" s="933"/>
      <c r="I141" s="745" t="s">
        <v>2</v>
      </c>
      <c r="J141" s="745" t="s">
        <v>426</v>
      </c>
      <c r="K141" s="745" t="s">
        <v>1</v>
      </c>
      <c r="L141" s="745" t="s">
        <v>427</v>
      </c>
      <c r="M141" s="702" t="s">
        <v>208</v>
      </c>
      <c r="N141" s="745" t="s">
        <v>3</v>
      </c>
      <c r="O141" s="952" t="s">
        <v>4</v>
      </c>
      <c r="P141" s="888" t="s">
        <v>1617</v>
      </c>
      <c r="Q141" s="835"/>
      <c r="R141" s="820"/>
      <c r="S141" s="781"/>
    </row>
    <row r="142">
      <c r="A142" s="872"/>
      <c r="B142" s="950"/>
      <c r="C142" s="953" t="s">
        <v>1749</v>
      </c>
      <c r="D142" s="934" t="s">
        <v>27</v>
      </c>
      <c r="E142" s="185">
        <v>1.0</v>
      </c>
      <c r="F142" s="185">
        <v>1.0</v>
      </c>
      <c r="G142" s="185">
        <v>1.0</v>
      </c>
      <c r="H142" s="954" t="str">
        <f>HYPERLINK("https://d15f34w2p8l1cc.cloudfront.net/hearthstone/ac3c75c6118a72e105250f4525aa62417f0e0e66a5b3af0c64d074825fe38e70.png","Image")</f>
        <v>Image</v>
      </c>
      <c r="I142" s="709">
        <v>3.0</v>
      </c>
      <c r="J142" s="709">
        <v>3.0</v>
      </c>
      <c r="K142" s="709">
        <v>2.0</v>
      </c>
      <c r="L142" s="709">
        <v>4.0</v>
      </c>
      <c r="M142" s="738">
        <v>3.0</v>
      </c>
      <c r="N142" s="894">
        <v>3.0</v>
      </c>
      <c r="O142" s="841">
        <v>3.0</v>
      </c>
      <c r="P142" s="849">
        <v>3.0</v>
      </c>
      <c r="Q142" s="895">
        <v>2.810810810810811</v>
      </c>
      <c r="R142" s="851" t="str">
        <f>HYPERLINK("https://www.strawpoll.me/19055369","Vote")</f>
        <v>Vote</v>
      </c>
      <c r="S142" s="781"/>
    </row>
    <row r="143">
      <c r="A143" s="872"/>
      <c r="B143" s="353"/>
      <c r="C143" s="955" t="s">
        <v>1750</v>
      </c>
      <c r="D143" s="936" t="s">
        <v>1718</v>
      </c>
      <c r="E143" s="855"/>
      <c r="F143" s="855"/>
      <c r="G143" s="855">
        <v>1.0</v>
      </c>
      <c r="H143" s="956" t="str">
        <f>HYPERLINK("https://d15f34w2p8l1cc.cloudfront.net/hearthstone/3b1170d1f29f2ef97ad601c3082a9c240df02e089710d9357f335ebf11a59a14.png","Image")</f>
        <v>Image</v>
      </c>
      <c r="I143" s="714">
        <v>1.0</v>
      </c>
      <c r="J143" s="714">
        <v>1.0</v>
      </c>
      <c r="K143" s="714">
        <v>1.0</v>
      </c>
      <c r="L143" s="714">
        <v>1.0</v>
      </c>
      <c r="M143" s="714">
        <v>2.0</v>
      </c>
      <c r="N143" s="871">
        <v>2.0</v>
      </c>
      <c r="O143" s="848">
        <v>2.0</v>
      </c>
      <c r="P143" s="870">
        <v>1.0</v>
      </c>
      <c r="Q143" s="850">
        <v>1.5294117647058822</v>
      </c>
      <c r="R143" s="851" t="str">
        <f>HYPERLINK("https://www.strawpoll.me/19055370","Vote")</f>
        <v>Vote</v>
      </c>
      <c r="S143" s="781"/>
    </row>
    <row r="144">
      <c r="A144" s="872"/>
      <c r="B144" s="353"/>
      <c r="C144" s="957" t="s">
        <v>1751</v>
      </c>
      <c r="D144" s="938" t="s">
        <v>43</v>
      </c>
      <c r="E144" s="939">
        <v>2.0</v>
      </c>
      <c r="F144" s="939">
        <v>3.0</v>
      </c>
      <c r="G144" s="939">
        <v>4.0</v>
      </c>
      <c r="H144" s="958" t="str">
        <f>HYPERLINK("https://d15f34w2p8l1cc.cloudfront.net/hearthstone/f2389ace72a6af4e9760a9a0eb9f7312817bbb5845e7a5eb87b22c961d69a1ff.png","Image")</f>
        <v>Image</v>
      </c>
      <c r="I144" s="714">
        <v>1.0</v>
      </c>
      <c r="J144" s="714">
        <v>1.0</v>
      </c>
      <c r="K144" s="714">
        <v>1.0</v>
      </c>
      <c r="L144" s="714">
        <v>2.0</v>
      </c>
      <c r="M144" s="714">
        <v>3.0</v>
      </c>
      <c r="N144" s="871">
        <v>3.0</v>
      </c>
      <c r="O144" s="848">
        <v>2.0</v>
      </c>
      <c r="P144" s="849">
        <v>2.0</v>
      </c>
      <c r="Q144" s="850">
        <v>1.7352941176470589</v>
      </c>
      <c r="R144" s="851" t="str">
        <f>HYPERLINK("https://www.strawpoll.me/19055371","Vote")</f>
        <v>Vote</v>
      </c>
      <c r="S144" s="781"/>
    </row>
    <row r="145">
      <c r="A145" s="872"/>
      <c r="B145" s="637"/>
      <c r="C145" s="959" t="s">
        <v>1752</v>
      </c>
      <c r="D145" s="942" t="s">
        <v>1718</v>
      </c>
      <c r="E145" s="943"/>
      <c r="F145" s="943"/>
      <c r="G145" s="943">
        <v>1.0</v>
      </c>
      <c r="H145" s="960" t="str">
        <f>HYPERLINK("https://d15f34w2p8l1cc.cloudfront.net/hearthstone/5c73cb313079ca20f4512d33d181300177b95b34e0e3e247dc6f43549c2cb95d.png","Image")</f>
        <v>Image</v>
      </c>
      <c r="I145" s="714">
        <v>1.0</v>
      </c>
      <c r="J145" s="714">
        <v>2.0</v>
      </c>
      <c r="K145" s="714">
        <v>3.0</v>
      </c>
      <c r="L145" s="714">
        <v>1.0</v>
      </c>
      <c r="M145" s="714">
        <v>2.0</v>
      </c>
      <c r="N145" s="871">
        <v>3.0</v>
      </c>
      <c r="O145" s="848">
        <v>2.0</v>
      </c>
      <c r="P145" s="849">
        <v>2.0</v>
      </c>
      <c r="Q145" s="850">
        <v>2.40625</v>
      </c>
      <c r="R145" s="851" t="str">
        <f>HYPERLINK("https://www.strawpoll.me/19055373","Vote")</f>
        <v>Vote</v>
      </c>
      <c r="S145" s="781"/>
    </row>
    <row r="146">
      <c r="A146" s="872"/>
      <c r="B146" s="353"/>
      <c r="C146" s="955" t="s">
        <v>1753</v>
      </c>
      <c r="D146" s="936" t="s">
        <v>71</v>
      </c>
      <c r="E146" s="855"/>
      <c r="F146" s="855"/>
      <c r="G146" s="855">
        <v>1.0</v>
      </c>
      <c r="H146" s="956" t="str">
        <f>HYPERLINK("https://d15f34w2p8l1cc.cloudfront.net/hearthstone/bd94fe768544e479d8601825285d87ccc609aefe23abacec5864b580b35c982d.png","Image")</f>
        <v>Image</v>
      </c>
      <c r="I146" s="714">
        <v>3.0</v>
      </c>
      <c r="J146" s="714">
        <v>3.0</v>
      </c>
      <c r="K146" s="714">
        <v>2.0</v>
      </c>
      <c r="L146" s="714">
        <v>3.0</v>
      </c>
      <c r="M146" s="714">
        <v>3.0</v>
      </c>
      <c r="N146" s="871">
        <v>3.0</v>
      </c>
      <c r="O146" s="848">
        <v>3.0</v>
      </c>
      <c r="P146" s="849">
        <v>3.0</v>
      </c>
      <c r="Q146" s="850">
        <v>2.870967741935484</v>
      </c>
      <c r="R146" s="851" t="str">
        <f>HYPERLINK("https://www.strawpoll.me/19055374","Vote")</f>
        <v>Vote</v>
      </c>
      <c r="S146" s="781"/>
    </row>
    <row r="147">
      <c r="A147" s="872"/>
      <c r="B147" s="353"/>
      <c r="C147" s="957" t="s">
        <v>1754</v>
      </c>
      <c r="D147" s="938"/>
      <c r="E147" s="939">
        <v>4.0</v>
      </c>
      <c r="F147" s="939">
        <v>4.0</v>
      </c>
      <c r="G147" s="939">
        <v>6.0</v>
      </c>
      <c r="H147" s="958" t="str">
        <f>HYPERLINK("https://d15f34w2p8l1cc.cloudfront.net/hearthstone/0ace8eb2a451ac68fbe265381b2769c3d81dc4e069b464d9af81d636642b8a07.png","Image")</f>
        <v>Image</v>
      </c>
      <c r="I147" s="714">
        <v>3.0</v>
      </c>
      <c r="J147" s="714">
        <v>3.0</v>
      </c>
      <c r="K147" s="714">
        <v>3.0</v>
      </c>
      <c r="L147" s="714">
        <v>2.0</v>
      </c>
      <c r="M147" s="714">
        <v>3.0</v>
      </c>
      <c r="N147" s="714">
        <v>3.0</v>
      </c>
      <c r="O147" s="848">
        <v>3.0</v>
      </c>
      <c r="P147" s="849">
        <v>3.0</v>
      </c>
      <c r="Q147" s="850">
        <v>3.033333333333333</v>
      </c>
      <c r="R147" s="851" t="str">
        <f>HYPERLINK("https://www.strawpoll.me/19055376","Vote")</f>
        <v>Vote</v>
      </c>
      <c r="S147" s="781"/>
    </row>
    <row r="148">
      <c r="A148" s="872"/>
      <c r="B148" s="961"/>
      <c r="C148" s="959" t="s">
        <v>1755</v>
      </c>
      <c r="D148" s="942" t="s">
        <v>71</v>
      </c>
      <c r="E148" s="943"/>
      <c r="F148" s="943"/>
      <c r="G148" s="943">
        <v>5.0</v>
      </c>
      <c r="H148" s="960" t="str">
        <f>HYPERLINK("https://d15f34w2p8l1cc.cloudfront.net/hearthstone/f592c1caa538cacd84d274979d5a25a6aaf13efd89288198e6e5b4ae6e94d14b.png","Image")</f>
        <v>Image</v>
      </c>
      <c r="I148" s="714">
        <v>2.0</v>
      </c>
      <c r="J148" s="714">
        <v>2.0</v>
      </c>
      <c r="K148" s="714">
        <v>2.0</v>
      </c>
      <c r="L148" s="714">
        <v>2.0</v>
      </c>
      <c r="M148" s="714">
        <v>3.0</v>
      </c>
      <c r="N148" s="871">
        <v>3.0</v>
      </c>
      <c r="O148" s="848">
        <v>2.0</v>
      </c>
      <c r="P148" s="849">
        <v>2.0</v>
      </c>
      <c r="Q148" s="850">
        <v>2.3225806451612905</v>
      </c>
      <c r="R148" s="851" t="str">
        <f>HYPERLINK("https://www.strawpoll.me/19055378","Vote")</f>
        <v>Vote</v>
      </c>
      <c r="S148" s="781"/>
    </row>
    <row r="149">
      <c r="A149" s="872"/>
      <c r="B149" s="353"/>
      <c r="C149" s="957" t="s">
        <v>1756</v>
      </c>
      <c r="D149" s="938" t="s">
        <v>27</v>
      </c>
      <c r="E149" s="939">
        <v>8.0</v>
      </c>
      <c r="F149" s="939">
        <v>8.0</v>
      </c>
      <c r="G149" s="939">
        <v>8.0</v>
      </c>
      <c r="H149" s="958" t="str">
        <f>HYPERLINK("https://d15f34w2p8l1cc.cloudfront.net/hearthstone/a15b196d5cb2c3125bf9767213f4dacb4a4ef66cb75a6191cd5717a68ed55134.png","Image")</f>
        <v>Image</v>
      </c>
      <c r="I149" s="714">
        <v>4.0</v>
      </c>
      <c r="J149" s="714">
        <v>4.0</v>
      </c>
      <c r="K149" s="714">
        <v>4.0</v>
      </c>
      <c r="L149" s="714">
        <v>4.0</v>
      </c>
      <c r="M149" s="714">
        <v>4.0</v>
      </c>
      <c r="N149" s="871">
        <v>4.0</v>
      </c>
      <c r="O149" s="848">
        <v>4.0</v>
      </c>
      <c r="P149" s="849">
        <v>4.0</v>
      </c>
      <c r="Q149" s="850">
        <v>3.657142857142857</v>
      </c>
      <c r="R149" s="851" t="str">
        <f>HYPERLINK("https://www.strawpoll.me/19055379","Vote")</f>
        <v>Vote</v>
      </c>
      <c r="S149" s="781"/>
    </row>
    <row r="150">
      <c r="A150" s="872"/>
      <c r="B150" s="962"/>
      <c r="C150" s="959" t="s">
        <v>1757</v>
      </c>
      <c r="D150" s="942" t="s">
        <v>27</v>
      </c>
      <c r="E150" s="943">
        <v>2.0</v>
      </c>
      <c r="F150" s="943">
        <v>5.0</v>
      </c>
      <c r="G150" s="943">
        <v>3.0</v>
      </c>
      <c r="H150" s="960" t="str">
        <f>HYPERLINK("https://d15f34w2p8l1cc.cloudfront.net/hearthstone/bc484da8861056aebc9721c5c32d4c6359720c7809dff4d2f9f4d572ea129106.png","Image")</f>
        <v>Image</v>
      </c>
      <c r="I150" s="714">
        <v>4.0</v>
      </c>
      <c r="J150" s="714">
        <v>3.0</v>
      </c>
      <c r="K150" s="714">
        <v>2.0</v>
      </c>
      <c r="L150" s="714">
        <v>4.0</v>
      </c>
      <c r="M150" s="714">
        <v>4.0</v>
      </c>
      <c r="N150" s="871">
        <v>3.0</v>
      </c>
      <c r="O150" s="848">
        <v>3.0</v>
      </c>
      <c r="P150" s="849">
        <v>3.0</v>
      </c>
      <c r="Q150" s="850">
        <v>2.8684210526315788</v>
      </c>
      <c r="R150" s="851" t="str">
        <f>HYPERLINK("https://www.strawpoll.me/19055381","Vote")</f>
        <v>Vote</v>
      </c>
      <c r="S150" s="781"/>
    </row>
    <row r="151">
      <c r="A151" s="872"/>
      <c r="B151" s="355"/>
      <c r="C151" s="963" t="s">
        <v>1758</v>
      </c>
      <c r="D151" s="964" t="s">
        <v>43</v>
      </c>
      <c r="E151" s="859">
        <v>2.0</v>
      </c>
      <c r="F151" s="965">
        <v>8.0</v>
      </c>
      <c r="G151" s="859">
        <v>5.0</v>
      </c>
      <c r="H151" s="966" t="str">
        <f>HYPERLINK("https://d15f34w2p8l1cc.cloudfront.net/hearthstone/8f903fd22f140d3f345b2375d7496ddcd86d7d043a37b78d5dfbaa3e6e10c245.png","Image")</f>
        <v>Image</v>
      </c>
      <c r="I151" s="774">
        <v>4.0</v>
      </c>
      <c r="J151" s="774">
        <v>3.0</v>
      </c>
      <c r="K151" s="774">
        <v>3.0</v>
      </c>
      <c r="L151" s="774">
        <v>3.0</v>
      </c>
      <c r="M151" s="774">
        <v>4.0</v>
      </c>
      <c r="N151" s="879">
        <v>4.0</v>
      </c>
      <c r="O151" s="880">
        <v>4.0</v>
      </c>
      <c r="P151" s="881">
        <v>4.0</v>
      </c>
      <c r="Q151" s="882">
        <v>3.5526315789473686</v>
      </c>
      <c r="R151" s="851" t="str">
        <f>HYPERLINK("https://www.strawpoll.me/19055382","Vote")</f>
        <v>Vote</v>
      </c>
      <c r="S151" s="781"/>
    </row>
    <row r="152">
      <c r="A152" s="883"/>
      <c r="B152" s="824"/>
      <c r="C152" s="195" t="s">
        <v>182</v>
      </c>
      <c r="D152" s="82"/>
      <c r="E152" s="82"/>
      <c r="F152" s="82"/>
      <c r="G152" s="82"/>
      <c r="H152" s="96"/>
      <c r="I152" s="128"/>
      <c r="J152" s="128"/>
      <c r="K152" s="128"/>
      <c r="L152" s="128"/>
      <c r="M152" s="128"/>
      <c r="N152" s="128"/>
      <c r="O152" s="445"/>
      <c r="P152" s="932"/>
      <c r="Q152" s="932"/>
      <c r="R152" s="749"/>
      <c r="S152" s="307"/>
    </row>
    <row r="153" ht="15.75" customHeight="1">
      <c r="A153" s="872"/>
      <c r="B153" s="636"/>
      <c r="C153" s="830"/>
      <c r="D153" s="831"/>
      <c r="E153" s="832"/>
      <c r="F153" s="832"/>
      <c r="G153" s="832"/>
      <c r="H153" s="933"/>
      <c r="I153" s="745" t="s">
        <v>2</v>
      </c>
      <c r="J153" s="745" t="s">
        <v>426</v>
      </c>
      <c r="K153" s="745" t="s">
        <v>1</v>
      </c>
      <c r="L153" s="745" t="s">
        <v>427</v>
      </c>
      <c r="M153" s="745" t="s">
        <v>208</v>
      </c>
      <c r="N153" s="745" t="s">
        <v>3</v>
      </c>
      <c r="O153" s="952" t="s">
        <v>4</v>
      </c>
      <c r="P153" s="888" t="s">
        <v>1617</v>
      </c>
      <c r="Q153" s="835"/>
      <c r="R153" s="820"/>
      <c r="S153" s="781"/>
    </row>
    <row r="154">
      <c r="A154" s="872"/>
      <c r="B154" s="950"/>
      <c r="C154" s="953" t="s">
        <v>1759</v>
      </c>
      <c r="D154" s="934" t="s">
        <v>71</v>
      </c>
      <c r="E154" s="185"/>
      <c r="F154" s="185"/>
      <c r="G154" s="185">
        <v>1.0</v>
      </c>
      <c r="H154" s="954" t="str">
        <f>HYPERLINK("https://d15f34w2p8l1cc.cloudfront.net/hearthstone/e8c4a497bd3224498f021bdbefa4c1a33c25f2ff01190d6fd5baa706e7f1fc47.png","Image")</f>
        <v>Image</v>
      </c>
      <c r="I154" s="709">
        <v>1.0</v>
      </c>
      <c r="J154" s="709">
        <v>2.0</v>
      </c>
      <c r="K154" s="709">
        <v>2.0</v>
      </c>
      <c r="L154" s="709">
        <v>1.0</v>
      </c>
      <c r="M154" s="709">
        <v>1.0</v>
      </c>
      <c r="N154" s="894">
        <v>2.0</v>
      </c>
      <c r="O154" s="841">
        <v>2.0</v>
      </c>
      <c r="P154" s="849">
        <v>2.0</v>
      </c>
      <c r="Q154" s="895">
        <v>1.84375</v>
      </c>
      <c r="R154" s="851" t="str">
        <f>HYPERLINK("https://www.strawpoll.me/19055384","Vote")</f>
        <v>Vote</v>
      </c>
      <c r="S154" s="781"/>
    </row>
    <row r="155">
      <c r="A155" s="872"/>
      <c r="B155" s="353"/>
      <c r="C155" s="955" t="s">
        <v>1760</v>
      </c>
      <c r="D155" s="936" t="s">
        <v>43</v>
      </c>
      <c r="E155" s="855">
        <v>2.0</v>
      </c>
      <c r="F155" s="855">
        <v>3.0</v>
      </c>
      <c r="G155" s="855">
        <v>3.0</v>
      </c>
      <c r="H155" s="956" t="str">
        <f>HYPERLINK("https://d15f34w2p8l1cc.cloudfront.net/hearthstone/747a52f5ae7dc4b352d431342042e497202eebd1e6d1ef872109092b0a6b2266.png","Image")</f>
        <v>Image</v>
      </c>
      <c r="I155" s="714">
        <v>1.0</v>
      </c>
      <c r="J155" s="714">
        <v>1.0</v>
      </c>
      <c r="K155" s="714">
        <v>1.0</v>
      </c>
      <c r="L155" s="714">
        <v>2.0</v>
      </c>
      <c r="M155" s="714">
        <v>2.0</v>
      </c>
      <c r="N155" s="714">
        <v>2.0</v>
      </c>
      <c r="O155" s="848">
        <v>3.0</v>
      </c>
      <c r="P155" s="849">
        <v>2.0</v>
      </c>
      <c r="Q155" s="850">
        <v>2.1875</v>
      </c>
      <c r="R155" s="851" t="str">
        <f>HYPERLINK("https://www.strawpoll.me/19055387","Vote")</f>
        <v>Vote</v>
      </c>
      <c r="S155" s="781"/>
    </row>
    <row r="156">
      <c r="A156" s="872"/>
      <c r="B156" s="353"/>
      <c r="C156" s="957" t="s">
        <v>1761</v>
      </c>
      <c r="D156" s="938" t="s">
        <v>43</v>
      </c>
      <c r="E156" s="939">
        <v>4.0</v>
      </c>
      <c r="F156" s="939">
        <v>6.0</v>
      </c>
      <c r="G156" s="939">
        <v>5.0</v>
      </c>
      <c r="H156" s="958" t="str">
        <f>HYPERLINK("https://d15f34w2p8l1cc.cloudfront.net/hearthstone/c1124c9277f422acaeb02127fe77155e24b87480e88addc38ba04d2cdd7d5c03.png","Image")</f>
        <v>Image</v>
      </c>
      <c r="I156" s="714">
        <v>3.0</v>
      </c>
      <c r="J156" s="714">
        <v>3.0</v>
      </c>
      <c r="K156" s="714">
        <v>4.0</v>
      </c>
      <c r="L156" s="714">
        <v>3.0</v>
      </c>
      <c r="M156" s="714">
        <v>3.0</v>
      </c>
      <c r="N156" s="714">
        <v>3.0</v>
      </c>
      <c r="O156" s="848">
        <v>3.0</v>
      </c>
      <c r="P156" s="849">
        <v>3.0</v>
      </c>
      <c r="Q156" s="850">
        <v>3.433333333333333</v>
      </c>
      <c r="R156" s="851" t="str">
        <f>HYPERLINK("https://www.strawpoll.me/19055388","Vote")</f>
        <v>Vote</v>
      </c>
      <c r="S156" s="781"/>
    </row>
    <row r="157">
      <c r="A157" s="872"/>
      <c r="B157" s="637"/>
      <c r="C157" s="959" t="s">
        <v>1762</v>
      </c>
      <c r="D157" s="942" t="s">
        <v>1718</v>
      </c>
      <c r="E157" s="943"/>
      <c r="F157" s="943"/>
      <c r="G157" s="943">
        <v>1.0</v>
      </c>
      <c r="H157" s="960" t="str">
        <f>HYPERLINK("https://d15f34w2p8l1cc.cloudfront.net/hearthstone/28bdb67d48a7f9c3f03fac7a6c5c3fe592583d09b4a94561c4c5b26c0be5321e.png","Image")</f>
        <v>Image</v>
      </c>
      <c r="I157" s="714">
        <v>1.0</v>
      </c>
      <c r="J157" s="714">
        <v>1.0</v>
      </c>
      <c r="K157" s="714">
        <v>1.0</v>
      </c>
      <c r="L157" s="714">
        <v>1.0</v>
      </c>
      <c r="M157" s="714">
        <v>1.0</v>
      </c>
      <c r="N157" s="714">
        <v>2.0</v>
      </c>
      <c r="O157" s="848">
        <v>2.0</v>
      </c>
      <c r="P157" s="870">
        <v>1.0</v>
      </c>
      <c r="Q157" s="850">
        <v>1.6666666666666667</v>
      </c>
      <c r="R157" s="851" t="str">
        <f>HYPERLINK("https://www.strawpoll.me/19055389","Vote")</f>
        <v>Vote</v>
      </c>
      <c r="S157" s="781"/>
    </row>
    <row r="158">
      <c r="A158" s="872"/>
      <c r="B158" s="353"/>
      <c r="C158" s="955" t="s">
        <v>1763</v>
      </c>
      <c r="D158" s="936" t="s">
        <v>20</v>
      </c>
      <c r="E158" s="855">
        <v>1.0</v>
      </c>
      <c r="F158" s="855">
        <v>2.0</v>
      </c>
      <c r="G158" s="855">
        <v>3.0</v>
      </c>
      <c r="H158" s="956" t="str">
        <f>HYPERLINK("https://d15f34w2p8l1cc.cloudfront.net/hearthstone/fcf33b37bc7cb62aaba90a89b026a8f917df411087761239ddae8fd8877fd302.png","Image")</f>
        <v>Image</v>
      </c>
      <c r="I158" s="714">
        <v>3.0</v>
      </c>
      <c r="J158" s="714">
        <v>2.0</v>
      </c>
      <c r="K158" s="714">
        <v>3.0</v>
      </c>
      <c r="L158" s="714">
        <v>2.0</v>
      </c>
      <c r="M158" s="714">
        <v>2.0</v>
      </c>
      <c r="N158" s="871">
        <v>3.0</v>
      </c>
      <c r="O158" s="848">
        <v>3.0</v>
      </c>
      <c r="P158" s="849">
        <v>3.0</v>
      </c>
      <c r="Q158" s="850">
        <v>2.533333333333333</v>
      </c>
      <c r="R158" s="851" t="str">
        <f>HYPERLINK("https://www.strawpoll.me/19055390","Vote")</f>
        <v>Vote</v>
      </c>
      <c r="S158" s="781"/>
    </row>
    <row r="159">
      <c r="A159" s="872"/>
      <c r="B159" s="353"/>
      <c r="C159" s="957" t="s">
        <v>1764</v>
      </c>
      <c r="D159" s="938"/>
      <c r="E159" s="939">
        <v>4.0</v>
      </c>
      <c r="F159" s="939">
        <v>2.0</v>
      </c>
      <c r="G159" s="939">
        <v>4.0</v>
      </c>
      <c r="H159" s="958" t="str">
        <f>HYPERLINK("https://d15f34w2p8l1cc.cloudfront.net/hearthstone/6c41687ca13975bca72e986b593bc9a28a07cb6065a98940dee704a73fb9d39f.png","Image")</f>
        <v>Image</v>
      </c>
      <c r="I159" s="714">
        <v>2.0</v>
      </c>
      <c r="J159" s="714">
        <v>1.0</v>
      </c>
      <c r="K159" s="714">
        <v>1.0</v>
      </c>
      <c r="L159" s="714">
        <v>1.0</v>
      </c>
      <c r="M159" s="714">
        <v>1.0</v>
      </c>
      <c r="N159" s="714">
        <v>2.0</v>
      </c>
      <c r="O159" s="848">
        <v>2.0</v>
      </c>
      <c r="P159" s="849">
        <v>2.0</v>
      </c>
      <c r="Q159" s="850">
        <v>1.7941176470588236</v>
      </c>
      <c r="R159" s="851" t="str">
        <f>HYPERLINK("https://www.strawpoll.me/19055392","Vote")</f>
        <v>Vote</v>
      </c>
      <c r="S159" s="781"/>
    </row>
    <row r="160">
      <c r="A160" s="872"/>
      <c r="B160" s="961"/>
      <c r="C160" s="959" t="s">
        <v>1765</v>
      </c>
      <c r="D160" s="942" t="s">
        <v>1718</v>
      </c>
      <c r="E160" s="943"/>
      <c r="F160" s="943"/>
      <c r="G160" s="943">
        <v>2.0</v>
      </c>
      <c r="H160" s="960" t="str">
        <f>HYPERLINK("https://d15f34w2p8l1cc.cloudfront.net/hearthstone/c6e97f18a24da60a23b22a6879e2a44bfef43353f1b638f117671b2818ffe889.png","Image")</f>
        <v>Image</v>
      </c>
      <c r="I160" s="714">
        <v>1.0</v>
      </c>
      <c r="J160" s="714">
        <v>1.0</v>
      </c>
      <c r="K160" s="714">
        <v>1.0</v>
      </c>
      <c r="L160" s="714">
        <v>1.0</v>
      </c>
      <c r="M160" s="714">
        <v>1.0</v>
      </c>
      <c r="N160" s="714">
        <v>1.0</v>
      </c>
      <c r="O160" s="848">
        <v>1.0</v>
      </c>
      <c r="P160" s="870">
        <v>1.0</v>
      </c>
      <c r="Q160" s="850">
        <v>1.625</v>
      </c>
      <c r="R160" s="851" t="str">
        <f>HYPERLINK("https://www.strawpoll.me/19055393","Vote")</f>
        <v>Vote</v>
      </c>
      <c r="S160" s="781"/>
    </row>
    <row r="161">
      <c r="A161" s="872"/>
      <c r="B161" s="353"/>
      <c r="C161" s="957" t="s">
        <v>1766</v>
      </c>
      <c r="D161" s="938"/>
      <c r="E161" s="939">
        <v>7.0</v>
      </c>
      <c r="F161" s="939">
        <v>7.0</v>
      </c>
      <c r="G161" s="939">
        <v>7.0</v>
      </c>
      <c r="H161" s="958" t="str">
        <f>HYPERLINK("https://d15f34w2p8l1cc.cloudfront.net/hearthstone/aa3b73b1771fd80f474dd49ec497c8cfb452b75a12012e88a03f717da7bcfd8e.png","Image")</f>
        <v>Image</v>
      </c>
      <c r="I161" s="714">
        <v>2.0</v>
      </c>
      <c r="J161" s="714">
        <v>1.0</v>
      </c>
      <c r="K161" s="714">
        <v>1.0</v>
      </c>
      <c r="L161" s="714">
        <v>1.0</v>
      </c>
      <c r="M161" s="714">
        <v>1.0</v>
      </c>
      <c r="N161" s="714">
        <v>3.0</v>
      </c>
      <c r="O161" s="848">
        <v>2.0</v>
      </c>
      <c r="P161" s="849">
        <v>2.0</v>
      </c>
      <c r="Q161" s="850">
        <v>1.9428571428571428</v>
      </c>
      <c r="R161" s="851" t="str">
        <f>HYPERLINK("https://www.strawpoll.me/19055395","Vote")</f>
        <v>Vote</v>
      </c>
      <c r="S161" s="781"/>
    </row>
    <row r="162">
      <c r="A162" s="872"/>
      <c r="B162" s="962"/>
      <c r="C162" s="959" t="s">
        <v>1767</v>
      </c>
      <c r="D162" s="942"/>
      <c r="E162" s="943">
        <v>3.0</v>
      </c>
      <c r="F162" s="943">
        <v>3.0</v>
      </c>
      <c r="G162" s="943">
        <v>3.0</v>
      </c>
      <c r="H162" s="960" t="str">
        <f>HYPERLINK("https://d15f34w2p8l1cc.cloudfront.net/hearthstone/7d02e006e371523fa18675e61359ac93692149b894a14e11ae96f8575671be38.png","Image")</f>
        <v>Image</v>
      </c>
      <c r="I162" s="714">
        <v>2.0</v>
      </c>
      <c r="J162" s="714">
        <v>2.0</v>
      </c>
      <c r="K162" s="714">
        <v>3.0</v>
      </c>
      <c r="L162" s="714">
        <v>2.0</v>
      </c>
      <c r="M162" s="714">
        <v>2.0</v>
      </c>
      <c r="N162" s="871">
        <v>2.0</v>
      </c>
      <c r="O162" s="848">
        <v>3.0</v>
      </c>
      <c r="P162" s="849">
        <v>3.0</v>
      </c>
      <c r="Q162" s="850">
        <v>2.8378378378378377</v>
      </c>
      <c r="R162" s="851" t="str">
        <f>HYPERLINK("https://www.strawpoll.me/19055397","Vote")</f>
        <v>Vote</v>
      </c>
      <c r="S162" s="781"/>
    </row>
    <row r="163">
      <c r="A163" s="872"/>
      <c r="B163" s="355"/>
      <c r="C163" s="963" t="s">
        <v>1768</v>
      </c>
      <c r="D163" s="964" t="s">
        <v>43</v>
      </c>
      <c r="E163" s="859">
        <v>8.0</v>
      </c>
      <c r="F163" s="965">
        <v>8.0</v>
      </c>
      <c r="G163" s="859">
        <v>4.0</v>
      </c>
      <c r="H163" s="966" t="str">
        <f>HYPERLINK("https://d15f34w2p8l1cc.cloudfront.net/hearthstone/3525ec0b6f265f297ee473ae8728bf5c709520422e4c2f9cb02e13acefc9605b.png","Image")</f>
        <v>Image</v>
      </c>
      <c r="I163" s="774">
        <v>1.0</v>
      </c>
      <c r="J163" s="774">
        <v>1.0</v>
      </c>
      <c r="K163" s="774">
        <v>1.0</v>
      </c>
      <c r="L163" s="774">
        <v>1.0</v>
      </c>
      <c r="M163" s="774">
        <v>3.0</v>
      </c>
      <c r="N163" s="774">
        <v>2.0</v>
      </c>
      <c r="O163" s="880">
        <v>1.0</v>
      </c>
      <c r="P163" s="951">
        <v>1.0</v>
      </c>
      <c r="Q163" s="882">
        <v>2.022727272727273</v>
      </c>
      <c r="R163" s="851" t="str">
        <f>HYPERLINK("https://www.strawpoll.me/19055400","Vote")</f>
        <v>Vote</v>
      </c>
      <c r="S163" s="781"/>
    </row>
    <row r="164" ht="15.75" customHeight="1">
      <c r="A164" s="300"/>
      <c r="B164" s="967"/>
      <c r="C164" s="967"/>
      <c r="D164" s="967"/>
      <c r="E164" s="968"/>
      <c r="F164" s="968"/>
      <c r="G164" s="968"/>
      <c r="H164" s="967"/>
      <c r="I164" s="967"/>
      <c r="J164" s="967"/>
      <c r="K164" s="967"/>
      <c r="L164" s="967"/>
      <c r="M164" s="967"/>
      <c r="N164" s="967"/>
      <c r="O164" s="969"/>
      <c r="P164" s="967"/>
      <c r="Q164" s="970"/>
      <c r="R164" s="599"/>
      <c r="S164" s="300"/>
    </row>
    <row r="165" ht="15.75" customHeight="1">
      <c r="A165" s="971"/>
      <c r="B165" s="972"/>
      <c r="C165" s="833" t="s">
        <v>1769</v>
      </c>
      <c r="D165" s="972"/>
      <c r="E165" s="318"/>
      <c r="F165" s="318"/>
      <c r="G165" s="318"/>
      <c r="H165" s="972"/>
      <c r="I165" s="972">
        <f t="shared" ref="I165:Q165" si="1">AVERAGE(I5:I26,I28:I50,I53:I63,I66:I76,I79:I89,I92:I102,I105:I114,I117:I126,I129:I139,I142:I151,I154:I163)</f>
        <v>1.971428571</v>
      </c>
      <c r="J165" s="972">
        <f t="shared" si="1"/>
        <v>2.114285714</v>
      </c>
      <c r="K165" s="972">
        <f t="shared" si="1"/>
        <v>2.092857143</v>
      </c>
      <c r="L165" s="972">
        <f t="shared" si="1"/>
        <v>2.014285714</v>
      </c>
      <c r="M165" s="972">
        <f t="shared" si="1"/>
        <v>2.207142857</v>
      </c>
      <c r="N165" s="972">
        <f t="shared" si="1"/>
        <v>2.557142857</v>
      </c>
      <c r="O165" s="972">
        <f t="shared" si="1"/>
        <v>2.214285714</v>
      </c>
      <c r="P165" s="972">
        <f t="shared" si="1"/>
        <v>2.25</v>
      </c>
      <c r="Q165" s="973">
        <f t="shared" si="1"/>
        <v>2.273893214</v>
      </c>
      <c r="R165" s="972"/>
      <c r="S165" s="971"/>
    </row>
  </sheetData>
  <mergeCells count="71">
    <mergeCell ref="B87:B89"/>
    <mergeCell ref="B92:B94"/>
    <mergeCell ref="B95:B97"/>
    <mergeCell ref="B98:B99"/>
    <mergeCell ref="B100:B102"/>
    <mergeCell ref="B105:B107"/>
    <mergeCell ref="B108:B110"/>
    <mergeCell ref="B117:B119"/>
    <mergeCell ref="B120:B122"/>
    <mergeCell ref="B123:B124"/>
    <mergeCell ref="B125:B126"/>
    <mergeCell ref="B129:B131"/>
    <mergeCell ref="B132:B134"/>
    <mergeCell ref="B135:B136"/>
    <mergeCell ref="B160:B161"/>
    <mergeCell ref="B162:B163"/>
    <mergeCell ref="B137:B139"/>
    <mergeCell ref="B142:B144"/>
    <mergeCell ref="B145:B147"/>
    <mergeCell ref="B148:B149"/>
    <mergeCell ref="B150:B151"/>
    <mergeCell ref="B154:B156"/>
    <mergeCell ref="B157:B159"/>
    <mergeCell ref="C1:D1"/>
    <mergeCell ref="I1:I2"/>
    <mergeCell ref="J1:J2"/>
    <mergeCell ref="K1:K2"/>
    <mergeCell ref="L1:L2"/>
    <mergeCell ref="M1:M2"/>
    <mergeCell ref="N1:N2"/>
    <mergeCell ref="C2:G2"/>
    <mergeCell ref="C3:H3"/>
    <mergeCell ref="B5:B26"/>
    <mergeCell ref="B28:B36"/>
    <mergeCell ref="B37:B45"/>
    <mergeCell ref="B46:B50"/>
    <mergeCell ref="C51:H51"/>
    <mergeCell ref="B53:B55"/>
    <mergeCell ref="B56:B58"/>
    <mergeCell ref="B59:B60"/>
    <mergeCell ref="B61:B63"/>
    <mergeCell ref="C64:H64"/>
    <mergeCell ref="B66:B68"/>
    <mergeCell ref="B69:B71"/>
    <mergeCell ref="B72:B73"/>
    <mergeCell ref="B74:B76"/>
    <mergeCell ref="C77:H77"/>
    <mergeCell ref="B79:B81"/>
    <mergeCell ref="B82:B84"/>
    <mergeCell ref="B85:B86"/>
    <mergeCell ref="C90:H90"/>
    <mergeCell ref="C103:H103"/>
    <mergeCell ref="P91:Q91"/>
    <mergeCell ref="P104:Q104"/>
    <mergeCell ref="P116:Q116"/>
    <mergeCell ref="P128:Q128"/>
    <mergeCell ref="P141:Q141"/>
    <mergeCell ref="P153:Q153"/>
    <mergeCell ref="O1:O2"/>
    <mergeCell ref="P1:Q2"/>
    <mergeCell ref="P3:P4"/>
    <mergeCell ref="P27:Q27"/>
    <mergeCell ref="P52:Q52"/>
    <mergeCell ref="P65:Q65"/>
    <mergeCell ref="P78:Q78"/>
    <mergeCell ref="B111:B112"/>
    <mergeCell ref="B113:B114"/>
    <mergeCell ref="C115:H115"/>
    <mergeCell ref="C127:H127"/>
    <mergeCell ref="C140:H140"/>
    <mergeCell ref="C152:H152"/>
  </mergeCells>
  <conditionalFormatting sqref="I5:P26 I28:P50 I53:P63 I66:P76 I79:P89 I92:P102 I105:P114 I117:P126 I129:P139 I142:P151 I154:P163">
    <cfRule type="cellIs" dxfId="0" priority="1" operator="equal">
      <formula>1</formula>
    </cfRule>
  </conditionalFormatting>
  <conditionalFormatting sqref="I5:P26 I28:P50 I53:P63 I66:P76 I79:P89 I92:P102 I105:P114 I117:P126 I129:P139 I142:P151 I154:P163">
    <cfRule type="cellIs" dxfId="1" priority="2" operator="equal">
      <formula>3</formula>
    </cfRule>
  </conditionalFormatting>
  <conditionalFormatting sqref="I5:P26 I28:P50 I53:P63 I66:P76 I79:P89 I92:P102 I105:P114 I117:P126 I129:P139 I142:P151 I154:P163">
    <cfRule type="cellIs" dxfId="2" priority="3" operator="equal">
      <formula>4</formula>
    </cfRule>
  </conditionalFormatting>
  <conditionalFormatting sqref="I5:P26 I28:P50 I53:P63 I66:P76 I79:P89 I92:P102 I105:P114 I117:P126 I129:P139 I142:P151 I154:P163">
    <cfRule type="cellIs" dxfId="3" priority="4" operator="equal">
      <formula>2</formula>
    </cfRule>
  </conditionalFormatting>
  <conditionalFormatting sqref="Q5:Q26 Q28:Q50 Q53:Q63 Q66:Q76 Q79:Q89 Q92:Q102 Q105:Q114 Q117:Q126 Q129:Q139 Q142:Q151 Q154:Q163">
    <cfRule type="cellIs" dxfId="0" priority="5" operator="between">
      <formula>0</formula>
      <formula>1.499</formula>
    </cfRule>
  </conditionalFormatting>
  <conditionalFormatting sqref="Q5:Q26 Q28:Q50 Q53:Q63 Q66:Q76 Q79:Q89 Q92:Q102 Q105:Q114 Q117:Q126 Q129:Q139 Q142:Q151 Q154:Q163">
    <cfRule type="cellIs" dxfId="3" priority="6" operator="between">
      <formula>1.5</formula>
      <formula>2.499</formula>
    </cfRule>
  </conditionalFormatting>
  <conditionalFormatting sqref="Q5:Q26 Q28:Q50 Q53:Q63 Q66:Q76 Q79:Q89 Q92:Q102 Q105:Q114 Q117:Q126 Q129:Q139 Q142:Q151 Q154:Q163">
    <cfRule type="cellIs" dxfId="1" priority="7" operator="between">
      <formula>2.5</formula>
      <formula>3.499</formula>
    </cfRule>
  </conditionalFormatting>
  <conditionalFormatting sqref="Q5:Q26 Q28:Q50 Q53:Q63 Q66:Q76 Q79:Q89 Q92:Q102 Q105:Q114 Q117:Q126 Q129:Q139 Q142:Q151 Q154:Q163">
    <cfRule type="cellIs" dxfId="2" priority="8" operator="between">
      <formula>3.5</formula>
      <formula>4</formula>
    </cfRule>
  </conditionalFormatting>
  <hyperlinks>
    <hyperlink r:id="rId1" ref="C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27.75"/>
    <col customWidth="1" min="4" max="4" width="13.5"/>
    <col customWidth="1" min="5" max="7" width="5.13"/>
    <col customWidth="1" min="8" max="8" width="7.0"/>
    <col customWidth="1" min="9" max="10" width="11.38"/>
    <col customWidth="1" min="11" max="14" width="3.25"/>
    <col customWidth="1" min="15" max="15" width="5.13"/>
  </cols>
  <sheetData>
    <row r="1" ht="15.75" customHeight="1">
      <c r="A1" s="300"/>
      <c r="B1" s="300"/>
      <c r="C1" s="777" t="s">
        <v>1616</v>
      </c>
      <c r="D1" s="766"/>
      <c r="E1" s="598"/>
      <c r="F1" s="693"/>
      <c r="G1" s="598"/>
      <c r="H1" s="974"/>
      <c r="I1" s="975" t="s">
        <v>1617</v>
      </c>
      <c r="J1" s="976"/>
      <c r="K1" s="977"/>
      <c r="L1" s="977"/>
      <c r="M1" s="977"/>
      <c r="N1" s="977"/>
      <c r="O1" s="820"/>
    </row>
    <row r="2">
      <c r="A2" s="300"/>
      <c r="B2" s="480"/>
      <c r="C2" s="821" t="s">
        <v>1770</v>
      </c>
      <c r="D2" s="348"/>
      <c r="E2" s="348"/>
      <c r="F2" s="348"/>
      <c r="G2" s="349"/>
      <c r="H2" s="978"/>
      <c r="I2" s="979"/>
      <c r="J2" s="980"/>
      <c r="K2" s="977"/>
      <c r="L2" s="977"/>
      <c r="M2" s="977"/>
      <c r="N2" s="977"/>
      <c r="O2" s="820"/>
    </row>
    <row r="3">
      <c r="A3" s="823"/>
      <c r="B3" s="824"/>
      <c r="C3" s="981" t="s">
        <v>11</v>
      </c>
      <c r="D3" s="759"/>
      <c r="E3" s="759"/>
      <c r="F3" s="759"/>
      <c r="G3" s="759"/>
      <c r="H3" s="9"/>
      <c r="I3" s="982" t="s">
        <v>1620</v>
      </c>
      <c r="J3" s="983" t="s">
        <v>204</v>
      </c>
      <c r="K3" s="983"/>
      <c r="L3" s="983"/>
      <c r="M3" s="983"/>
      <c r="N3" s="983"/>
      <c r="O3" s="307"/>
    </row>
    <row r="4" ht="15.75" customHeight="1">
      <c r="A4" s="829"/>
      <c r="B4" s="636"/>
      <c r="C4" s="984"/>
      <c r="D4" s="985"/>
      <c r="E4" s="986"/>
      <c r="F4" s="986"/>
      <c r="G4" s="986"/>
      <c r="H4" s="987"/>
      <c r="I4" s="988"/>
      <c r="J4" s="989" t="s">
        <v>1621</v>
      </c>
      <c r="K4" s="990">
        <v>1.0</v>
      </c>
      <c r="L4" s="990">
        <v>2.0</v>
      </c>
      <c r="M4" s="990">
        <v>3.0</v>
      </c>
      <c r="N4" s="990">
        <v>4.0</v>
      </c>
      <c r="O4" s="781"/>
    </row>
    <row r="5">
      <c r="A5" s="829"/>
      <c r="B5" s="837" t="s">
        <v>1623</v>
      </c>
      <c r="C5" s="838" t="s">
        <v>1624</v>
      </c>
      <c r="D5" s="839"/>
      <c r="E5" s="185">
        <v>2.0</v>
      </c>
      <c r="F5" s="185">
        <v>2.0</v>
      </c>
      <c r="G5" s="185">
        <v>1.0</v>
      </c>
      <c r="H5" s="954" t="str">
        <f>HYPERLINK("https://d15f34w2p8l1cc.cloudfront.net/hearthstone/b477682621ff12b16070a427a4ec1162326b985c27ccfaf844df1a9aac7f8817.png","Image")</f>
        <v>Image</v>
      </c>
      <c r="I5" s="991">
        <f t="shared" ref="I5:I20" si="1">ROUND(J5,0)</f>
        <v>2</v>
      </c>
      <c r="J5" s="991">
        <f t="shared" ref="J5:J26" si="2">(K5*K$4+L5*L$4+M5*M$4+N5*N$4)/(K5+L5+M5+N5)</f>
        <v>2.088105727</v>
      </c>
      <c r="K5" s="992">
        <v>35.0</v>
      </c>
      <c r="L5" s="992">
        <v>150.0</v>
      </c>
      <c r="M5" s="992">
        <v>29.0</v>
      </c>
      <c r="N5" s="992">
        <v>13.0</v>
      </c>
      <c r="O5" s="993" t="str">
        <f>HYPERLINK("https://www.strawpoll.me/19055165","Vote")</f>
        <v>Vote</v>
      </c>
    </row>
    <row r="6">
      <c r="A6" s="829"/>
      <c r="B6" s="353"/>
      <c r="C6" s="845" t="s">
        <v>1625</v>
      </c>
      <c r="D6" s="846" t="s">
        <v>20</v>
      </c>
      <c r="E6" s="119">
        <v>1.0</v>
      </c>
      <c r="F6" s="119">
        <v>2.0</v>
      </c>
      <c r="G6" s="119">
        <v>1.0</v>
      </c>
      <c r="H6" s="994" t="str">
        <f>HYPERLINK("https://d15f34w2p8l1cc.cloudfront.net/hearthstone/fe8b794cff2f6e89e48c3e7172df4373db983650d869521991d8aef077e70c95.png","Image")</f>
        <v>Image</v>
      </c>
      <c r="I6" s="991">
        <f t="shared" si="1"/>
        <v>2</v>
      </c>
      <c r="J6" s="991">
        <f t="shared" si="2"/>
        <v>1.616541353</v>
      </c>
      <c r="K6" s="992">
        <v>61.0</v>
      </c>
      <c r="L6" s="992">
        <v>63.0</v>
      </c>
      <c r="M6" s="992">
        <v>8.0</v>
      </c>
      <c r="N6" s="992">
        <v>1.0</v>
      </c>
      <c r="O6" s="993" t="str">
        <f>HYPERLINK("https://www.strawpoll.me/19055176","Vote")</f>
        <v>Vote</v>
      </c>
    </row>
    <row r="7">
      <c r="A7" s="829"/>
      <c r="B7" s="353"/>
      <c r="C7" s="838" t="s">
        <v>1626</v>
      </c>
      <c r="D7" s="852" t="s">
        <v>60</v>
      </c>
      <c r="E7" s="185">
        <v>2.0</v>
      </c>
      <c r="F7" s="185">
        <v>2.0</v>
      </c>
      <c r="G7" s="185">
        <v>2.0</v>
      </c>
      <c r="H7" s="954" t="str">
        <f>HYPERLINK("https://d15f34w2p8l1cc.cloudfront.net/hearthstone/ed5bde179b9003b49f93da347dec0527f94d7dda710b784255f48b52a207ee15.png","Image")</f>
        <v>Image</v>
      </c>
      <c r="I7" s="991">
        <f t="shared" si="1"/>
        <v>3</v>
      </c>
      <c r="J7" s="991">
        <f t="shared" si="2"/>
        <v>2.716814159</v>
      </c>
      <c r="K7" s="992">
        <v>5.0</v>
      </c>
      <c r="L7" s="992">
        <v>32.0</v>
      </c>
      <c r="M7" s="992">
        <v>66.0</v>
      </c>
      <c r="N7" s="992">
        <v>10.0</v>
      </c>
      <c r="O7" s="993" t="str">
        <f>HYPERLINK("https://www.strawpoll.me/19055178","Vote")</f>
        <v>Vote</v>
      </c>
    </row>
    <row r="8">
      <c r="A8" s="829"/>
      <c r="B8" s="353"/>
      <c r="C8" s="853" t="s">
        <v>1627</v>
      </c>
      <c r="D8" s="854" t="s">
        <v>22</v>
      </c>
      <c r="E8" s="855">
        <v>2.0</v>
      </c>
      <c r="F8" s="855">
        <v>1.0</v>
      </c>
      <c r="G8" s="855">
        <v>2.0</v>
      </c>
      <c r="H8" s="956" t="str">
        <f>HYPERLINK("https://d15f34w2p8l1cc.cloudfront.net/hearthstone/a2aef4dd7d8abfa42694db3d374326186c526013a928f4faaa1bc54ab6734133.png","Image")</f>
        <v>Image</v>
      </c>
      <c r="I8" s="991">
        <f t="shared" si="1"/>
        <v>1</v>
      </c>
      <c r="J8" s="991">
        <f t="shared" si="2"/>
        <v>1.360824742</v>
      </c>
      <c r="K8" s="992">
        <v>66.0</v>
      </c>
      <c r="L8" s="992">
        <v>28.0</v>
      </c>
      <c r="M8" s="992">
        <v>2.0</v>
      </c>
      <c r="N8" s="992">
        <v>1.0</v>
      </c>
      <c r="O8" s="993" t="str">
        <f>HYPERLINK("https://www.strawpoll.me/19055179","Vote")</f>
        <v>Vote</v>
      </c>
    </row>
    <row r="9">
      <c r="A9" s="829"/>
      <c r="B9" s="353"/>
      <c r="C9" s="857" t="s">
        <v>1628</v>
      </c>
      <c r="D9" s="858" t="s">
        <v>51</v>
      </c>
      <c r="E9" s="859">
        <v>2.0</v>
      </c>
      <c r="F9" s="859">
        <v>2.0</v>
      </c>
      <c r="G9" s="859">
        <v>2.0</v>
      </c>
      <c r="H9" s="966" t="str">
        <f>HYPERLINK("https://d15f34w2p8l1cc.cloudfront.net/hearthstone/2bc325052adc4f12270e6f4c8bba11bc8b7cd394235eb2136c68c00b860908bb.png","Image")</f>
        <v>Image</v>
      </c>
      <c r="I9" s="991">
        <f t="shared" si="1"/>
        <v>1</v>
      </c>
      <c r="J9" s="991">
        <f t="shared" si="2"/>
        <v>1.344444444</v>
      </c>
      <c r="K9" s="992">
        <v>65.0</v>
      </c>
      <c r="L9" s="992">
        <v>20.0</v>
      </c>
      <c r="M9" s="992">
        <v>4.0</v>
      </c>
      <c r="N9" s="992">
        <v>1.0</v>
      </c>
      <c r="O9" s="993" t="str">
        <f>HYPERLINK("https://www.strawpoll.me/19055180","Vote")</f>
        <v>Vote</v>
      </c>
    </row>
    <row r="10">
      <c r="A10" s="829"/>
      <c r="B10" s="353"/>
      <c r="C10" s="838" t="s">
        <v>1629</v>
      </c>
      <c r="D10" s="839"/>
      <c r="E10" s="185">
        <v>3.0</v>
      </c>
      <c r="F10" s="185">
        <v>3.0</v>
      </c>
      <c r="G10" s="185">
        <v>3.0</v>
      </c>
      <c r="H10" s="954" t="str">
        <f>HYPERLINK("https://d15f34w2p8l1cc.cloudfront.net/hearthstone/a3733ea13b0e98346c020211f6ea267fc06ffb88b3495818f7427ee1419e7c65.png","Image")</f>
        <v>Image</v>
      </c>
      <c r="I10" s="991">
        <f t="shared" si="1"/>
        <v>3</v>
      </c>
      <c r="J10" s="991">
        <f t="shared" si="2"/>
        <v>2.930232558</v>
      </c>
      <c r="K10" s="992">
        <v>0.0</v>
      </c>
      <c r="L10" s="992">
        <v>14.0</v>
      </c>
      <c r="M10" s="992">
        <v>64.0</v>
      </c>
      <c r="N10" s="992">
        <v>8.0</v>
      </c>
      <c r="O10" s="993" t="str">
        <f>HYPERLINK("https://www.strawpoll.me/19055181","Vote")</f>
        <v>Vote</v>
      </c>
    </row>
    <row r="11">
      <c r="A11" s="829"/>
      <c r="B11" s="353"/>
      <c r="C11" s="710" t="s">
        <v>1630</v>
      </c>
      <c r="D11" s="861" t="s">
        <v>27</v>
      </c>
      <c r="E11" s="176">
        <v>1.0</v>
      </c>
      <c r="F11" s="176">
        <v>3.0</v>
      </c>
      <c r="G11" s="176">
        <v>3.0</v>
      </c>
      <c r="H11" s="995" t="str">
        <f>HYPERLINK("https://d15f34w2p8l1cc.cloudfront.net/hearthstone/0f7f762ba943cc297c497661b232a1803215051b212486fb4c6bec66383f11e1.png","Image")</f>
        <v>Image</v>
      </c>
      <c r="I11" s="991">
        <f t="shared" si="1"/>
        <v>1</v>
      </c>
      <c r="J11" s="991">
        <f t="shared" si="2"/>
        <v>1.384615385</v>
      </c>
      <c r="K11" s="992">
        <v>53.0</v>
      </c>
      <c r="L11" s="992">
        <v>21.0</v>
      </c>
      <c r="M11" s="992">
        <v>3.0</v>
      </c>
      <c r="N11" s="992">
        <v>1.0</v>
      </c>
      <c r="O11" s="993" t="str">
        <f>HYPERLINK("https://www.strawpoll.me/19055185","Vote")</f>
        <v>Vote</v>
      </c>
    </row>
    <row r="12">
      <c r="A12" s="829"/>
      <c r="B12" s="353"/>
      <c r="C12" s="853" t="s">
        <v>1631</v>
      </c>
      <c r="D12" s="854" t="s">
        <v>27</v>
      </c>
      <c r="E12" s="855">
        <v>3.0</v>
      </c>
      <c r="F12" s="855">
        <v>4.0</v>
      </c>
      <c r="G12" s="855">
        <v>3.0</v>
      </c>
      <c r="H12" s="956" t="str">
        <f>HYPERLINK("https://d15f34w2p8l1cc.cloudfront.net/hearthstone/75241ae18478c0343cf8f28c888adca190a26cd132f36a2fa070afcfa0a96ddb.png","Image")</f>
        <v>Image</v>
      </c>
      <c r="I12" s="991">
        <f t="shared" si="1"/>
        <v>1</v>
      </c>
      <c r="J12" s="991">
        <f t="shared" si="2"/>
        <v>1.297297297</v>
      </c>
      <c r="K12" s="992">
        <v>54.0</v>
      </c>
      <c r="L12" s="992">
        <v>19.0</v>
      </c>
      <c r="M12" s="992">
        <v>0.0</v>
      </c>
      <c r="N12" s="992">
        <v>1.0</v>
      </c>
      <c r="O12" s="993" t="str">
        <f>HYPERLINK("https://www.strawpoll.me/19055186","Vote")</f>
        <v>Vote</v>
      </c>
    </row>
    <row r="13">
      <c r="A13" s="829"/>
      <c r="B13" s="353"/>
      <c r="C13" s="857" t="s">
        <v>1632</v>
      </c>
      <c r="D13" s="862"/>
      <c r="E13" s="859">
        <v>3.0</v>
      </c>
      <c r="F13" s="859">
        <v>3.0</v>
      </c>
      <c r="G13" s="859">
        <v>3.0</v>
      </c>
      <c r="H13" s="966" t="str">
        <f>HYPERLINK("https://d15f34w2p8l1cc.cloudfront.net/hearthstone/d663f3a156b8e3fffe29448c83c1fcde94934b6039d0935d9576730b1b73406a.png","Image")</f>
        <v>Image</v>
      </c>
      <c r="I13" s="991">
        <f t="shared" si="1"/>
        <v>2</v>
      </c>
      <c r="J13" s="991">
        <f t="shared" si="2"/>
        <v>2.23880597</v>
      </c>
      <c r="K13" s="992">
        <v>8.0</v>
      </c>
      <c r="L13" s="992">
        <v>35.0</v>
      </c>
      <c r="M13" s="992">
        <v>24.0</v>
      </c>
      <c r="N13" s="992">
        <v>0.0</v>
      </c>
      <c r="O13" s="993" t="str">
        <f>HYPERLINK("https://www.strawpoll.me/19055187","Vote")</f>
        <v>Vote</v>
      </c>
    </row>
    <row r="14">
      <c r="A14" s="829"/>
      <c r="B14" s="353"/>
      <c r="C14" s="838" t="s">
        <v>1633</v>
      </c>
      <c r="D14" s="852" t="s">
        <v>43</v>
      </c>
      <c r="E14" s="185">
        <v>5.0</v>
      </c>
      <c r="F14" s="185">
        <v>4.0</v>
      </c>
      <c r="G14" s="185">
        <v>4.0</v>
      </c>
      <c r="H14" s="954" t="str">
        <f>HYPERLINK("https://d15f34w2p8l1cc.cloudfront.net/hearthstone/c33e8ccea783a88d1d2f39b1d5f1924e68c3375d178a8af1c5573710b1cb053a.png","Image")</f>
        <v>Image</v>
      </c>
      <c r="I14" s="991">
        <f t="shared" si="1"/>
        <v>2</v>
      </c>
      <c r="J14" s="991">
        <f t="shared" si="2"/>
        <v>2.014925373</v>
      </c>
      <c r="K14" s="992">
        <v>12.0</v>
      </c>
      <c r="L14" s="992">
        <v>44.0</v>
      </c>
      <c r="M14" s="992">
        <v>9.0</v>
      </c>
      <c r="N14" s="992">
        <v>2.0</v>
      </c>
      <c r="O14" s="993" t="str">
        <f>HYPERLINK("https://www.strawpoll.me/19055188","Vote")</f>
        <v>Vote</v>
      </c>
    </row>
    <row r="15">
      <c r="A15" s="829"/>
      <c r="B15" s="353"/>
      <c r="C15" s="853" t="s">
        <v>1634</v>
      </c>
      <c r="D15" s="863"/>
      <c r="E15" s="855">
        <v>2.0</v>
      </c>
      <c r="F15" s="855">
        <v>5.0</v>
      </c>
      <c r="G15" s="855">
        <v>4.0</v>
      </c>
      <c r="H15" s="956" t="str">
        <f>HYPERLINK("https://d15f34w2p8l1cc.cloudfront.net/hearthstone/4aea7e1a9fbe32141c8bdd2aa07d38e3bc617cd5501d099914567841f48308d3.png","Image")</f>
        <v>Image</v>
      </c>
      <c r="I15" s="991">
        <f t="shared" si="1"/>
        <v>1</v>
      </c>
      <c r="J15" s="991">
        <f t="shared" si="2"/>
        <v>1.328571429</v>
      </c>
      <c r="K15" s="992">
        <v>49.0</v>
      </c>
      <c r="L15" s="992">
        <v>19.0</v>
      </c>
      <c r="M15" s="992">
        <v>2.0</v>
      </c>
      <c r="N15" s="992">
        <v>0.0</v>
      </c>
      <c r="O15" s="993" t="str">
        <f>HYPERLINK("https://www.strawpoll.me/19055189","Vote")</f>
        <v>Vote</v>
      </c>
    </row>
    <row r="16">
      <c r="A16" s="829"/>
      <c r="B16" s="353"/>
      <c r="C16" s="853" t="s">
        <v>1635</v>
      </c>
      <c r="D16" s="863"/>
      <c r="E16" s="855">
        <v>3.0</v>
      </c>
      <c r="F16" s="855">
        <v>3.0</v>
      </c>
      <c r="G16" s="855">
        <v>4.0</v>
      </c>
      <c r="H16" s="956" t="str">
        <f>HYPERLINK("https://d15f34w2p8l1cc.cloudfront.net/hearthstone/e104a8a9c8c568b5a7a0a41efc69f0371d4e7689127aaf28671449975c6c8847.png","Image")</f>
        <v>Image</v>
      </c>
      <c r="I16" s="991">
        <f t="shared" si="1"/>
        <v>2</v>
      </c>
      <c r="J16" s="991">
        <f t="shared" si="2"/>
        <v>1.606557377</v>
      </c>
      <c r="K16" s="992">
        <v>28.0</v>
      </c>
      <c r="L16" s="992">
        <v>29.0</v>
      </c>
      <c r="M16" s="992">
        <v>4.0</v>
      </c>
      <c r="N16" s="992">
        <v>0.0</v>
      </c>
      <c r="O16" s="993" t="str">
        <f>HYPERLINK("https://www.strawpoll.me/19055191","Vote")</f>
        <v>Vote</v>
      </c>
    </row>
    <row r="17">
      <c r="A17" s="829"/>
      <c r="B17" s="353"/>
      <c r="C17" s="853" t="s">
        <v>1636</v>
      </c>
      <c r="D17" s="863" t="s">
        <v>22</v>
      </c>
      <c r="E17" s="855">
        <v>2.0</v>
      </c>
      <c r="F17" s="855">
        <v>6.0</v>
      </c>
      <c r="G17" s="855">
        <v>4.0</v>
      </c>
      <c r="H17" s="956" t="str">
        <f>HYPERLINK("https://d15f34w2p8l1cc.cloudfront.net/hearthstone/2a5a89befa4902988c98587138b74fa2b71657afce3e7c979e025c31ae2b0597.png","Image")</f>
        <v>Image</v>
      </c>
      <c r="I17" s="991">
        <f t="shared" si="1"/>
        <v>1</v>
      </c>
      <c r="J17" s="991">
        <f t="shared" si="2"/>
        <v>1.125</v>
      </c>
      <c r="K17" s="992">
        <v>57.0</v>
      </c>
      <c r="L17" s="992">
        <v>6.0</v>
      </c>
      <c r="M17" s="992">
        <v>1.0</v>
      </c>
      <c r="N17" s="992">
        <v>0.0</v>
      </c>
      <c r="O17" s="993" t="str">
        <f>HYPERLINK("https://www.strawpoll.me/19055192","Vote")</f>
        <v>Vote</v>
      </c>
    </row>
    <row r="18">
      <c r="A18" s="829"/>
      <c r="B18" s="353"/>
      <c r="C18" s="864" t="s">
        <v>1637</v>
      </c>
      <c r="D18" s="865" t="s">
        <v>1638</v>
      </c>
      <c r="E18" s="859">
        <v>2.0</v>
      </c>
      <c r="F18" s="859">
        <v>2.0</v>
      </c>
      <c r="G18" s="859">
        <v>4.0</v>
      </c>
      <c r="H18" s="966" t="str">
        <f>HYPERLINK("https://d15f34w2p8l1cc.cloudfront.net/hearthstone/5fac13e098b7528f46558b1eaad8596d3ceb72271c9c829f8cd72dd15ab6ec73.png","Image")</f>
        <v>Image</v>
      </c>
      <c r="I18" s="991">
        <f t="shared" si="1"/>
        <v>2</v>
      </c>
      <c r="J18" s="991">
        <f t="shared" si="2"/>
        <v>1.777777778</v>
      </c>
      <c r="K18" s="992">
        <v>19.0</v>
      </c>
      <c r="L18" s="992">
        <v>40.0</v>
      </c>
      <c r="M18" s="992">
        <v>3.0</v>
      </c>
      <c r="N18" s="992">
        <v>1.0</v>
      </c>
      <c r="O18" s="993" t="str">
        <f>HYPERLINK("https://www.strawpoll.me/19055193","Vote")</f>
        <v>Vote</v>
      </c>
    </row>
    <row r="19">
      <c r="A19" s="829"/>
      <c r="B19" s="353"/>
      <c r="C19" s="866" t="s">
        <v>1639</v>
      </c>
      <c r="D19" s="867" t="s">
        <v>43</v>
      </c>
      <c r="E19" s="868">
        <v>5.0</v>
      </c>
      <c r="F19" s="868">
        <v>5.0</v>
      </c>
      <c r="G19" s="868">
        <v>5.0</v>
      </c>
      <c r="H19" s="996" t="str">
        <f>HYPERLINK("https://d15f34w2p8l1cc.cloudfront.net/hearthstone/eaa4b92eec09656b619585e8a4a9f6fc18f9fa0279d64733b009e047c10de793.png","Image")</f>
        <v>Image</v>
      </c>
      <c r="I19" s="991">
        <f t="shared" si="1"/>
        <v>3</v>
      </c>
      <c r="J19" s="991">
        <f t="shared" si="2"/>
        <v>3.044776119</v>
      </c>
      <c r="K19" s="992">
        <v>1.0</v>
      </c>
      <c r="L19" s="992">
        <v>10.0</v>
      </c>
      <c r="M19" s="992">
        <v>41.0</v>
      </c>
      <c r="N19" s="992">
        <v>15.0</v>
      </c>
      <c r="O19" s="993" t="str">
        <f>HYPERLINK("https://www.strawpoll.me/19055195","Vote")</f>
        <v>Vote</v>
      </c>
    </row>
    <row r="20">
      <c r="A20" s="829"/>
      <c r="B20" s="353"/>
      <c r="C20" s="853" t="s">
        <v>1640</v>
      </c>
      <c r="D20" s="854" t="s">
        <v>1638</v>
      </c>
      <c r="E20" s="855">
        <v>4.0</v>
      </c>
      <c r="F20" s="855">
        <v>5.0</v>
      </c>
      <c r="G20" s="855">
        <v>5.0</v>
      </c>
      <c r="H20" s="956" t="str">
        <f>HYPERLINK("https://d15f34w2p8l1cc.cloudfront.net/hearthstone/be087d697092da272684956cc1e9e4a9a210df2674001fb15699c8755513cbca.png","Image")</f>
        <v>Image</v>
      </c>
      <c r="I20" s="991">
        <f t="shared" si="1"/>
        <v>3</v>
      </c>
      <c r="J20" s="991">
        <f t="shared" si="2"/>
        <v>2.661016949</v>
      </c>
      <c r="K20" s="992">
        <v>1.0</v>
      </c>
      <c r="L20" s="992">
        <v>20.0</v>
      </c>
      <c r="M20" s="992">
        <v>36.0</v>
      </c>
      <c r="N20" s="992">
        <v>2.0</v>
      </c>
      <c r="O20" s="993" t="str">
        <f>HYPERLINK("https://www.strawpoll.me/19055196","Vote")</f>
        <v>Vote</v>
      </c>
    </row>
    <row r="21">
      <c r="A21" s="829"/>
      <c r="B21" s="353"/>
      <c r="C21" s="864" t="s">
        <v>1641</v>
      </c>
      <c r="D21" s="865"/>
      <c r="E21" s="859">
        <v>5.0</v>
      </c>
      <c r="F21" s="859">
        <v>5.0</v>
      </c>
      <c r="G21" s="859">
        <v>5.0</v>
      </c>
      <c r="H21" s="966" t="str">
        <f>HYPERLINK("https://d15f34w2p8l1cc.cloudfront.net/hearthstone/925d3e5dc70cc425e968f4d8b41ea9c5d5ff62ad463e2006310a6f30a5939950.png","Image")</f>
        <v>Image</v>
      </c>
      <c r="I21" s="992">
        <f t="shared" ref="I21:I23" si="3">ROUND(J21*(max(K21:N21))/(max(K21:N21)*2),0)</f>
        <v>1</v>
      </c>
      <c r="J21" s="991">
        <f t="shared" si="2"/>
        <v>1.709677419</v>
      </c>
      <c r="K21" s="992">
        <v>31.0</v>
      </c>
      <c r="L21" s="992">
        <v>23.0</v>
      </c>
      <c r="M21" s="992">
        <v>3.0</v>
      </c>
      <c r="N21" s="992">
        <v>5.0</v>
      </c>
      <c r="O21" s="993" t="str">
        <f>HYPERLINK("https://www.strawpoll.me/19055199","Vote")</f>
        <v>Vote</v>
      </c>
    </row>
    <row r="22">
      <c r="A22" s="829"/>
      <c r="B22" s="353"/>
      <c r="C22" s="838" t="s">
        <v>1642</v>
      </c>
      <c r="D22" s="852" t="s">
        <v>20</v>
      </c>
      <c r="E22" s="185">
        <v>6.0</v>
      </c>
      <c r="F22" s="185">
        <v>6.0</v>
      </c>
      <c r="G22" s="185">
        <v>6.0</v>
      </c>
      <c r="H22" s="954" t="str">
        <f>HYPERLINK("https://d15f34w2p8l1cc.cloudfront.net/hearthstone/3b53ecb792bf7956e71640b368aed3dc2eb8fd91031c319b254de0e12a043377.png","Image")</f>
        <v>Image</v>
      </c>
      <c r="I22" s="992">
        <f t="shared" si="3"/>
        <v>1</v>
      </c>
      <c r="J22" s="991">
        <f t="shared" si="2"/>
        <v>1.416666667</v>
      </c>
      <c r="K22" s="992">
        <v>38.0</v>
      </c>
      <c r="L22" s="992">
        <v>19.0</v>
      </c>
      <c r="M22" s="992">
        <v>3.0</v>
      </c>
      <c r="N22" s="992">
        <v>0.0</v>
      </c>
      <c r="O22" s="993" t="str">
        <f>HYPERLINK("https://www.strawpoll.me/19055200","Vote")</f>
        <v>Vote</v>
      </c>
    </row>
    <row r="23">
      <c r="A23" s="829"/>
      <c r="B23" s="353"/>
      <c r="C23" s="853" t="s">
        <v>1643</v>
      </c>
      <c r="D23" s="863" t="s">
        <v>20</v>
      </c>
      <c r="E23" s="855">
        <v>4.0</v>
      </c>
      <c r="F23" s="855">
        <v>5.0</v>
      </c>
      <c r="G23" s="855">
        <v>6.0</v>
      </c>
      <c r="H23" s="956" t="str">
        <f>HYPERLINK("https://d15f34w2p8l1cc.cloudfront.net/hearthstone/c9b81b760ced55e97b768fa10c37e821c246b5b6f495d63602b26ac1aa2d3da2.png","Image")</f>
        <v>Image</v>
      </c>
      <c r="I23" s="992">
        <f t="shared" si="3"/>
        <v>1</v>
      </c>
      <c r="J23" s="991">
        <f t="shared" si="2"/>
        <v>1.413793103</v>
      </c>
      <c r="K23" s="992">
        <v>37.0</v>
      </c>
      <c r="L23" s="992">
        <v>18.0</v>
      </c>
      <c r="M23" s="992">
        <v>3.0</v>
      </c>
      <c r="N23" s="992">
        <v>0.0</v>
      </c>
      <c r="O23" s="993" t="str">
        <f>HYPERLINK("https://www.strawpoll.me/19055201","Vote")</f>
        <v>Vote</v>
      </c>
    </row>
    <row r="24">
      <c r="A24" s="829"/>
      <c r="B24" s="353"/>
      <c r="C24" s="864" t="s">
        <v>1644</v>
      </c>
      <c r="D24" s="865" t="s">
        <v>43</v>
      </c>
      <c r="E24" s="859">
        <v>5.0</v>
      </c>
      <c r="F24" s="859">
        <v>3.0</v>
      </c>
      <c r="G24" s="859">
        <v>6.0</v>
      </c>
      <c r="H24" s="966" t="str">
        <f>HYPERLINK("https://d15f34w2p8l1cc.cloudfront.net/hearthstone/4025b7f0bf24c1cdbd1a75006eced26232bb30045695c5ccc3b17cf84a41bbed.png","Image")</f>
        <v>Image</v>
      </c>
      <c r="I24" s="992">
        <v>3.0</v>
      </c>
      <c r="J24" s="991">
        <f t="shared" si="2"/>
        <v>2.423728814</v>
      </c>
      <c r="K24" s="992">
        <v>6.0</v>
      </c>
      <c r="L24" s="992">
        <v>24.0</v>
      </c>
      <c r="M24" s="992">
        <v>27.0</v>
      </c>
      <c r="N24" s="992">
        <v>2.0</v>
      </c>
      <c r="O24" s="993" t="str">
        <f>HYPERLINK("https://www.strawpoll.me/19055202","Vote")</f>
        <v>Vote</v>
      </c>
    </row>
    <row r="25">
      <c r="A25" s="872"/>
      <c r="B25" s="353"/>
      <c r="C25" s="873" t="s">
        <v>1645</v>
      </c>
      <c r="D25" s="874" t="s">
        <v>43</v>
      </c>
      <c r="E25" s="176">
        <v>7.0</v>
      </c>
      <c r="F25" s="176">
        <v>7.0</v>
      </c>
      <c r="G25" s="176">
        <v>7.0</v>
      </c>
      <c r="H25" s="995" t="str">
        <f>HYPERLINK("https://d15f34w2p8l1cc.cloudfront.net/hearthstone/57a781385891a38295816f58b4f14f6065ff3174f0cf3f445b9e21b95946cdc6.png","Image")</f>
        <v>Image</v>
      </c>
      <c r="I25" s="991">
        <f t="shared" ref="I25:I26" si="4">ROUND(J25,0)</f>
        <v>2</v>
      </c>
      <c r="J25" s="991">
        <f t="shared" si="2"/>
        <v>2.137931034</v>
      </c>
      <c r="K25" s="992">
        <v>5.0</v>
      </c>
      <c r="L25" s="992">
        <v>41.0</v>
      </c>
      <c r="M25" s="992">
        <v>11.0</v>
      </c>
      <c r="N25" s="992">
        <v>1.0</v>
      </c>
      <c r="O25" s="993" t="str">
        <f>HYPERLINK("https://www.strawpoll.me/19055203","Vote")</f>
        <v>Vote</v>
      </c>
    </row>
    <row r="26" ht="17.25" customHeight="1">
      <c r="A26" s="829"/>
      <c r="B26" s="355"/>
      <c r="C26" s="875" t="s">
        <v>1646</v>
      </c>
      <c r="D26" s="876" t="s">
        <v>43</v>
      </c>
      <c r="E26" s="877">
        <v>4.0</v>
      </c>
      <c r="F26" s="877">
        <v>10.0</v>
      </c>
      <c r="G26" s="877">
        <v>8.0</v>
      </c>
      <c r="H26" s="997" t="str">
        <f>HYPERLINK("https://d15f34w2p8l1cc.cloudfront.net/hearthstone/e207bae988eef3e4ab4d989a1086ae5ec4c82b1a770c1e828affb8a0da139d49.png","Image")</f>
        <v>Image</v>
      </c>
      <c r="I26" s="991">
        <f t="shared" si="4"/>
        <v>1</v>
      </c>
      <c r="J26" s="991">
        <f t="shared" si="2"/>
        <v>1.366666667</v>
      </c>
      <c r="K26" s="992">
        <v>41.0</v>
      </c>
      <c r="L26" s="992">
        <v>16.0</v>
      </c>
      <c r="M26" s="992">
        <v>3.0</v>
      </c>
      <c r="N26" s="992">
        <v>0.0</v>
      </c>
      <c r="O26" s="993" t="str">
        <f>HYPERLINK("https://www.strawpoll.me/19055205","Vote")</f>
        <v>Vote</v>
      </c>
    </row>
    <row r="27" ht="15.75" customHeight="1">
      <c r="A27" s="883"/>
      <c r="B27" s="884"/>
      <c r="C27" s="740"/>
      <c r="D27" s="885"/>
      <c r="E27" s="743"/>
      <c r="F27" s="743"/>
      <c r="G27" s="743"/>
      <c r="H27" s="998"/>
      <c r="I27" s="999" t="s">
        <v>1620</v>
      </c>
      <c r="J27" s="1000" t="s">
        <v>204</v>
      </c>
      <c r="K27" s="999"/>
      <c r="L27" s="999"/>
      <c r="M27" s="999"/>
      <c r="N27" s="999"/>
      <c r="O27" s="307"/>
    </row>
    <row r="28">
      <c r="A28" s="829"/>
      <c r="B28" s="889" t="s">
        <v>734</v>
      </c>
      <c r="C28" s="890" t="s">
        <v>1647</v>
      </c>
      <c r="D28" s="891"/>
      <c r="E28" s="892">
        <v>0.0</v>
      </c>
      <c r="F28" s="892">
        <v>5.0</v>
      </c>
      <c r="G28" s="892">
        <v>1.0</v>
      </c>
      <c r="H28" s="1001" t="str">
        <f>HYPERLINK("https://d15f34w2p8l1cc.cloudfront.net/hearthstone/2893838e459524f0a547a63c320097055b843ee9c3e6c7ef8c526dc9d3a40978.png","Image")</f>
        <v>Image</v>
      </c>
      <c r="I28" s="992">
        <v>1.0</v>
      </c>
      <c r="J28" s="991">
        <f t="shared" ref="J28:J50" si="5">(K28*K$4+L28*L$4+M28*M$4+N28*N$4)/(K28+L28+M28+N28)</f>
        <v>1.7</v>
      </c>
      <c r="K28" s="992">
        <v>27.0</v>
      </c>
      <c r="L28" s="992">
        <v>24.0</v>
      </c>
      <c r="M28" s="992">
        <v>9.0</v>
      </c>
      <c r="N28" s="992">
        <v>0.0</v>
      </c>
      <c r="O28" s="993" t="str">
        <f>HYPERLINK("https://www.strawpoll.me/19055206","Vote")</f>
        <v>Vote</v>
      </c>
    </row>
    <row r="29">
      <c r="A29" s="829"/>
      <c r="B29" s="353"/>
      <c r="C29" s="896" t="s">
        <v>1648</v>
      </c>
      <c r="D29" s="897"/>
      <c r="E29" s="898">
        <v>2.0</v>
      </c>
      <c r="F29" s="898">
        <v>3.0</v>
      </c>
      <c r="G29" s="898">
        <v>2.0</v>
      </c>
      <c r="H29" s="1002" t="str">
        <f>HYPERLINK("https://d15f34w2p8l1cc.cloudfront.net/hearthstone/2c116ec91bf64eb84485425c0249980f62c6bfd8ffe3bacc40de780d96f8dfbe.png","Image")</f>
        <v>Image</v>
      </c>
      <c r="I29" s="991">
        <f>ROUND(J29,0)</f>
        <v>2</v>
      </c>
      <c r="J29" s="991">
        <f t="shared" si="5"/>
        <v>2.2</v>
      </c>
      <c r="K29" s="992">
        <v>3.0</v>
      </c>
      <c r="L29" s="992">
        <v>38.0</v>
      </c>
      <c r="M29" s="992">
        <v>14.0</v>
      </c>
      <c r="N29" s="992">
        <v>0.0</v>
      </c>
      <c r="O29" s="993" t="str">
        <f>HYPERLINK("https://www.strawpoll.me/19055210","Vote")</f>
        <v>Vote</v>
      </c>
    </row>
    <row r="30">
      <c r="A30" s="829"/>
      <c r="B30" s="353"/>
      <c r="C30" s="900" t="s">
        <v>1649</v>
      </c>
      <c r="D30" s="901" t="s">
        <v>22</v>
      </c>
      <c r="E30" s="902">
        <v>4.0</v>
      </c>
      <c r="F30" s="902">
        <v>3.0</v>
      </c>
      <c r="G30" s="902">
        <v>3.0</v>
      </c>
      <c r="H30" s="1003" t="str">
        <f>HYPERLINK("https://d15f34w2p8l1cc.cloudfront.net/hearthstone/874b43e029702979dd6fc6ee1664c1dd9a88682b183f73f44943d8aa7d93c0be.png","Image")</f>
        <v>Image</v>
      </c>
      <c r="I30" s="992">
        <v>1.0</v>
      </c>
      <c r="J30" s="991">
        <f t="shared" si="5"/>
        <v>1.767857143</v>
      </c>
      <c r="K30" s="992">
        <v>26.0</v>
      </c>
      <c r="L30" s="992">
        <v>19.0</v>
      </c>
      <c r="M30" s="992">
        <v>9.0</v>
      </c>
      <c r="N30" s="992">
        <v>2.0</v>
      </c>
      <c r="O30" s="993" t="str">
        <f>HYPERLINK("https://www.strawpoll.me/19055212","Vote")</f>
        <v>Vote</v>
      </c>
    </row>
    <row r="31">
      <c r="A31" s="829"/>
      <c r="B31" s="353"/>
      <c r="C31" s="890" t="s">
        <v>1650</v>
      </c>
      <c r="D31" s="904"/>
      <c r="E31" s="905">
        <v>4.0</v>
      </c>
      <c r="F31" s="905">
        <v>4.0</v>
      </c>
      <c r="G31" s="905">
        <v>4.0</v>
      </c>
      <c r="H31" s="1001" t="str">
        <f>HYPERLINK("https://d15f34w2p8l1cc.cloudfront.net/hearthstone/961f15f18574d1dbebe851a0ccdb8b4d7c6300e9556d3267b003b37bfe10d8d9.png","Image")</f>
        <v>Image</v>
      </c>
      <c r="I31" s="991">
        <f t="shared" ref="I31:I45" si="6">ROUND(J31,0)</f>
        <v>3</v>
      </c>
      <c r="J31" s="991">
        <f t="shared" si="5"/>
        <v>3.277777778</v>
      </c>
      <c r="K31" s="992">
        <v>0.0</v>
      </c>
      <c r="L31" s="992">
        <v>5.0</v>
      </c>
      <c r="M31" s="992">
        <v>29.0</v>
      </c>
      <c r="N31" s="992">
        <v>20.0</v>
      </c>
      <c r="O31" s="993" t="str">
        <f>HYPERLINK("https://www.strawpoll.me/19055214","Vote")</f>
        <v>Vote</v>
      </c>
    </row>
    <row r="32">
      <c r="A32" s="829"/>
      <c r="B32" s="353"/>
      <c r="C32" s="720" t="s">
        <v>1651</v>
      </c>
      <c r="D32" s="906" t="s">
        <v>60</v>
      </c>
      <c r="E32" s="508">
        <v>4.0</v>
      </c>
      <c r="F32" s="508">
        <v>2.0</v>
      </c>
      <c r="G32" s="508">
        <v>4.0</v>
      </c>
      <c r="H32" s="1002" t="str">
        <f>HYPERLINK("https://d15f34w2p8l1cc.cloudfront.net/hearthstone/98fd22b7711f42ce2a0a252758caee29bb3996b058dd1c3af60a24b00e5fdff1.png","Image")</f>
        <v>Image</v>
      </c>
      <c r="I32" s="991">
        <f t="shared" si="6"/>
        <v>3</v>
      </c>
      <c r="J32" s="991">
        <f t="shared" si="5"/>
        <v>2.722222222</v>
      </c>
      <c r="K32" s="992">
        <v>2.0</v>
      </c>
      <c r="L32" s="992">
        <v>13.0</v>
      </c>
      <c r="M32" s="992">
        <v>37.0</v>
      </c>
      <c r="N32" s="992">
        <v>2.0</v>
      </c>
      <c r="O32" s="993" t="str">
        <f>HYPERLINK("https://www.strawpoll.me/19055215","Vote")</f>
        <v>Vote</v>
      </c>
    </row>
    <row r="33">
      <c r="A33" s="829"/>
      <c r="B33" s="353"/>
      <c r="C33" s="907" t="s">
        <v>1652</v>
      </c>
      <c r="D33" s="908"/>
      <c r="E33" s="909">
        <v>3.0</v>
      </c>
      <c r="F33" s="909">
        <v>9.0</v>
      </c>
      <c r="G33" s="909">
        <v>4.0</v>
      </c>
      <c r="H33" s="1004" t="str">
        <f>HYPERLINK("https://d15f34w2p8l1cc.cloudfront.net/hearthstone/14617b8b27bc155a90376b930e6f95b209137be71cc6bb4f80b0ceb767614a1c.png","Image")</f>
        <v>Image</v>
      </c>
      <c r="I33" s="991">
        <f t="shared" si="6"/>
        <v>1</v>
      </c>
      <c r="J33" s="991">
        <f t="shared" si="5"/>
        <v>1.264150943</v>
      </c>
      <c r="K33" s="992">
        <v>39.0</v>
      </c>
      <c r="L33" s="992">
        <v>14.0</v>
      </c>
      <c r="M33" s="992">
        <v>0.0</v>
      </c>
      <c r="N33" s="992">
        <v>0.0</v>
      </c>
      <c r="O33" s="993" t="str">
        <f>HYPERLINK("https://www.strawpoll.me/19055216","Vote")</f>
        <v>Vote</v>
      </c>
    </row>
    <row r="34">
      <c r="A34" s="872"/>
      <c r="B34" s="353"/>
      <c r="C34" s="890" t="s">
        <v>1653</v>
      </c>
      <c r="D34" s="891"/>
      <c r="E34" s="892">
        <v>5.0</v>
      </c>
      <c r="F34" s="892">
        <v>4.0</v>
      </c>
      <c r="G34" s="892">
        <v>5.0</v>
      </c>
      <c r="H34" s="1005" t="str">
        <f>HYPERLINK("https://d15f34w2p8l1cc.cloudfront.net/hearthstone/4f270048f530eba4ff1cd5a49a5e605d3690bd1a7da9a8efc86d9c7ee2b276b9.png","Image")</f>
        <v>Image</v>
      </c>
      <c r="I34" s="991">
        <f t="shared" si="6"/>
        <v>4</v>
      </c>
      <c r="J34" s="991">
        <f t="shared" si="5"/>
        <v>3.666666667</v>
      </c>
      <c r="K34" s="992">
        <v>1.0</v>
      </c>
      <c r="L34" s="992">
        <v>0.0</v>
      </c>
      <c r="M34" s="992">
        <v>17.0</v>
      </c>
      <c r="N34" s="992">
        <v>42.0</v>
      </c>
      <c r="O34" s="993" t="str">
        <f>HYPERLINK("https://www.strawpoll.me/19055218","Vote")</f>
        <v>Vote</v>
      </c>
    </row>
    <row r="35" ht="17.25" customHeight="1">
      <c r="A35" s="829"/>
      <c r="B35" s="353"/>
      <c r="C35" s="720" t="s">
        <v>1654</v>
      </c>
      <c r="D35" s="912" t="s">
        <v>43</v>
      </c>
      <c r="E35" s="508">
        <v>3.0</v>
      </c>
      <c r="F35" s="508">
        <v>5.0</v>
      </c>
      <c r="G35" s="508">
        <v>5.0</v>
      </c>
      <c r="H35" s="1002" t="str">
        <f>HYPERLINK("https://d15f34w2p8l1cc.cloudfront.net/hearthstone/4cb2876632d961c7417fc7906f7557469308c4d94949328b8113a34adeb55db2.png","Image")</f>
        <v>Image</v>
      </c>
      <c r="I35" s="991">
        <f t="shared" si="6"/>
        <v>2</v>
      </c>
      <c r="J35" s="991">
        <f t="shared" si="5"/>
        <v>2.384615385</v>
      </c>
      <c r="K35" s="992">
        <v>3.0</v>
      </c>
      <c r="L35" s="992">
        <v>27.0</v>
      </c>
      <c r="M35" s="992">
        <v>21.0</v>
      </c>
      <c r="N35" s="992">
        <v>1.0</v>
      </c>
      <c r="O35" s="993" t="str">
        <f>HYPERLINK("https://www.strawpoll.me/19055219","Vote")</f>
        <v>Vote</v>
      </c>
    </row>
    <row r="36">
      <c r="A36" s="872"/>
      <c r="B36" s="353"/>
      <c r="C36" s="913" t="s">
        <v>1655</v>
      </c>
      <c r="D36" s="914"/>
      <c r="E36" s="915">
        <v>5.0</v>
      </c>
      <c r="F36" s="915">
        <v>5.0</v>
      </c>
      <c r="G36" s="915">
        <v>6.0</v>
      </c>
      <c r="H36" s="1006" t="str">
        <f>HYPERLINK("https://d15f34w2p8l1cc.cloudfront.net/hearthstone/8e8d839939b3b095202f967f4c38b462262ce9223fb6b7c82b852af7711428eb.png","Image")</f>
        <v>Image</v>
      </c>
      <c r="I36" s="991">
        <f t="shared" si="6"/>
        <v>1</v>
      </c>
      <c r="J36" s="991">
        <f t="shared" si="5"/>
        <v>1.294117647</v>
      </c>
      <c r="K36" s="992">
        <v>40.0</v>
      </c>
      <c r="L36" s="992">
        <v>7.0</v>
      </c>
      <c r="M36" s="992">
        <v>4.0</v>
      </c>
      <c r="N36" s="992">
        <v>0.0</v>
      </c>
      <c r="O36" s="993" t="str">
        <f>HYPERLINK("https://www.strawpoll.me/19055221","Vote")</f>
        <v>Vote</v>
      </c>
    </row>
    <row r="37">
      <c r="A37" s="829"/>
      <c r="B37" s="626" t="s">
        <v>740</v>
      </c>
      <c r="C37" s="917" t="s">
        <v>1656</v>
      </c>
      <c r="D37" s="918"/>
      <c r="E37" s="905">
        <v>3.0</v>
      </c>
      <c r="F37" s="905">
        <v>2.0</v>
      </c>
      <c r="G37" s="905">
        <v>2.0</v>
      </c>
      <c r="H37" s="1001" t="str">
        <f>HYPERLINK("https://d15f34w2p8l1cc.cloudfront.net/hearthstone/d0226b466fd69287cc73fdf651ca73e7b5a9c4bf189840413b9db8041769ed9a.png","Image")</f>
        <v>Image</v>
      </c>
      <c r="I37" s="991">
        <f t="shared" si="6"/>
        <v>1</v>
      </c>
      <c r="J37" s="991">
        <f t="shared" si="5"/>
        <v>1.104166667</v>
      </c>
      <c r="K37" s="992">
        <v>43.0</v>
      </c>
      <c r="L37" s="992">
        <v>5.0</v>
      </c>
      <c r="M37" s="992">
        <v>0.0</v>
      </c>
      <c r="N37" s="992">
        <v>0.0</v>
      </c>
      <c r="O37" s="993" t="str">
        <f>HYPERLINK("https://www.strawpoll.me/19055224","Vote")</f>
        <v>Vote</v>
      </c>
    </row>
    <row r="38">
      <c r="A38" s="829"/>
      <c r="B38" s="353"/>
      <c r="C38" s="720" t="s">
        <v>1657</v>
      </c>
      <c r="D38" s="906"/>
      <c r="E38" s="898">
        <v>3.0</v>
      </c>
      <c r="F38" s="898">
        <v>2.0</v>
      </c>
      <c r="G38" s="898">
        <v>2.0</v>
      </c>
      <c r="H38" s="1002" t="str">
        <f>HYPERLINK("https://d15f34w2p8l1cc.cloudfront.net/hearthstone/99363c3c36210405f15f3f3449cb0555f15ae82e23f9591f4d98e5064cddf538.png","Image")</f>
        <v>Image</v>
      </c>
      <c r="I38" s="991">
        <f t="shared" si="6"/>
        <v>1</v>
      </c>
      <c r="J38" s="991">
        <f t="shared" si="5"/>
        <v>1.12</v>
      </c>
      <c r="K38" s="992">
        <v>44.0</v>
      </c>
      <c r="L38" s="992">
        <v>6.0</v>
      </c>
      <c r="M38" s="992">
        <v>0.0</v>
      </c>
      <c r="N38" s="992">
        <v>0.0</v>
      </c>
      <c r="O38" s="993" t="str">
        <f>HYPERLINK("https://www.strawpoll.me/19055225","Vote")</f>
        <v>Vote</v>
      </c>
    </row>
    <row r="39">
      <c r="A39" s="829"/>
      <c r="B39" s="353"/>
      <c r="C39" s="919" t="s">
        <v>1658</v>
      </c>
      <c r="D39" s="920"/>
      <c r="E39" s="921">
        <v>2.0</v>
      </c>
      <c r="F39" s="921">
        <v>3.0</v>
      </c>
      <c r="G39" s="921">
        <v>2.0</v>
      </c>
      <c r="H39" s="1007" t="str">
        <f>HYPERLINK("https://d15f34w2p8l1cc.cloudfront.net/hearthstone/475f72dcd53dad6488178482e9721181861d688d659a48be65ca444e5cdde577.png","Image")</f>
        <v>Image</v>
      </c>
      <c r="I39" s="991">
        <f t="shared" si="6"/>
        <v>1</v>
      </c>
      <c r="J39" s="991">
        <f t="shared" si="5"/>
        <v>1.083333333</v>
      </c>
      <c r="K39" s="992">
        <v>45.0</v>
      </c>
      <c r="L39" s="992">
        <v>2.0</v>
      </c>
      <c r="M39" s="992">
        <v>1.0</v>
      </c>
      <c r="N39" s="992">
        <v>0.0</v>
      </c>
      <c r="O39" s="993" t="str">
        <f>HYPERLINK("https://www.strawpoll.me/19055226","Vote")</f>
        <v>Vote</v>
      </c>
    </row>
    <row r="40">
      <c r="A40" s="829"/>
      <c r="B40" s="353"/>
      <c r="C40" s="890" t="s">
        <v>1659</v>
      </c>
      <c r="D40" s="923" t="s">
        <v>22</v>
      </c>
      <c r="E40" s="905">
        <v>3.0</v>
      </c>
      <c r="F40" s="905">
        <v>4.0</v>
      </c>
      <c r="G40" s="905">
        <v>3.0</v>
      </c>
      <c r="H40" s="1001" t="str">
        <f>HYPERLINK("https://d15f34w2p8l1cc.cloudfront.net/hearthstone/921bb1ba650528d1296ef03d5e2332ce6001962c2119393d3c187e267074718d.png","Image")</f>
        <v>Image</v>
      </c>
      <c r="I40" s="991">
        <f t="shared" si="6"/>
        <v>1</v>
      </c>
      <c r="J40" s="991">
        <f t="shared" si="5"/>
        <v>1.270833333</v>
      </c>
      <c r="K40" s="992">
        <v>38.0</v>
      </c>
      <c r="L40" s="992">
        <v>8.0</v>
      </c>
      <c r="M40" s="992">
        <v>1.0</v>
      </c>
      <c r="N40" s="992">
        <v>1.0</v>
      </c>
      <c r="O40" s="993" t="str">
        <f>HYPERLINK("https://www.strawpoll.me/19055227","Vote")</f>
        <v>Vote</v>
      </c>
    </row>
    <row r="41">
      <c r="A41" s="829"/>
      <c r="B41" s="353"/>
      <c r="C41" s="913" t="s">
        <v>1660</v>
      </c>
      <c r="D41" s="924"/>
      <c r="E41" s="921">
        <v>3.0</v>
      </c>
      <c r="F41" s="921">
        <v>4.0</v>
      </c>
      <c r="G41" s="921">
        <v>3.0</v>
      </c>
      <c r="H41" s="1006" t="str">
        <f>HYPERLINK("https://d15f34w2p8l1cc.cloudfront.net/hearthstone/50fad6b6d8543d15c840610e6c27b9b1e5b4e228e2b09cd56a60b6cf91a7cadd.png","Image")</f>
        <v>Image</v>
      </c>
      <c r="I41" s="991">
        <f t="shared" si="6"/>
        <v>1</v>
      </c>
      <c r="J41" s="991">
        <f t="shared" si="5"/>
        <v>1.404255319</v>
      </c>
      <c r="K41" s="992">
        <v>30.0</v>
      </c>
      <c r="L41" s="992">
        <v>16.0</v>
      </c>
      <c r="M41" s="992">
        <v>0.0</v>
      </c>
      <c r="N41" s="992">
        <v>1.0</v>
      </c>
      <c r="O41" s="993" t="str">
        <f>HYPERLINK("https://www.strawpoll.me/19055230","Vote")</f>
        <v>Vote</v>
      </c>
    </row>
    <row r="42">
      <c r="A42" s="829"/>
      <c r="B42" s="353"/>
      <c r="C42" s="890" t="s">
        <v>1661</v>
      </c>
      <c r="D42" s="923" t="s">
        <v>60</v>
      </c>
      <c r="E42" s="892">
        <v>4.0</v>
      </c>
      <c r="F42" s="892">
        <v>4.0</v>
      </c>
      <c r="G42" s="892">
        <v>5.0</v>
      </c>
      <c r="H42" s="1001" t="str">
        <f>HYPERLINK("https://d15f34w2p8l1cc.cloudfront.net/hearthstone/5cf720471b48003fd4a82410a4d12701f79774284c25f4d24371eae6013ef4fa.png","Image")</f>
        <v>Image</v>
      </c>
      <c r="I42" s="991">
        <f t="shared" si="6"/>
        <v>2</v>
      </c>
      <c r="J42" s="991">
        <f t="shared" si="5"/>
        <v>1.980769231</v>
      </c>
      <c r="K42" s="992">
        <v>10.0</v>
      </c>
      <c r="L42" s="992">
        <v>34.0</v>
      </c>
      <c r="M42" s="992">
        <v>7.0</v>
      </c>
      <c r="N42" s="992">
        <v>1.0</v>
      </c>
      <c r="O42" s="993" t="str">
        <f>HYPERLINK("https://www.strawpoll.me/19055233","Vote")</f>
        <v>Vote</v>
      </c>
    </row>
    <row r="43">
      <c r="A43" s="829"/>
      <c r="B43" s="353"/>
      <c r="C43" s="717" t="s">
        <v>1662</v>
      </c>
      <c r="D43" s="925"/>
      <c r="E43" s="503">
        <v>6.0</v>
      </c>
      <c r="F43" s="503">
        <v>5.0</v>
      </c>
      <c r="G43" s="503">
        <v>5.0</v>
      </c>
      <c r="H43" s="1008" t="str">
        <f>HYPERLINK("https://d15f34w2p8l1cc.cloudfront.net/hearthstone/c0121f441cafc0214884cf39e209f6bb5bed524cc7c9075e885d518e2df09add.png","Image")</f>
        <v>Image</v>
      </c>
      <c r="I43" s="991">
        <f t="shared" si="6"/>
        <v>1</v>
      </c>
      <c r="J43" s="991">
        <f t="shared" si="5"/>
        <v>1.102040816</v>
      </c>
      <c r="K43" s="992">
        <v>44.0</v>
      </c>
      <c r="L43" s="992">
        <v>5.0</v>
      </c>
      <c r="M43" s="992">
        <v>0.0</v>
      </c>
      <c r="N43" s="992">
        <v>0.0</v>
      </c>
      <c r="O43" s="993" t="str">
        <f>HYPERLINK("https://www.strawpoll.me/19055234","Vote")</f>
        <v>Vote</v>
      </c>
    </row>
    <row r="44">
      <c r="A44" s="829"/>
      <c r="B44" s="353"/>
      <c r="C44" s="717" t="s">
        <v>1663</v>
      </c>
      <c r="D44" s="925" t="s">
        <v>51</v>
      </c>
      <c r="E44" s="503">
        <v>3.0</v>
      </c>
      <c r="F44" s="503">
        <v>3.0</v>
      </c>
      <c r="G44" s="503">
        <v>5.0</v>
      </c>
      <c r="H44" s="1008" t="str">
        <f>HYPERLINK("https://d15f34w2p8l1cc.cloudfront.net/hearthstone/f429046676b7699bb30fb38e7e8345d3529685a8632be72a2a523e58109389ba.png","Image")</f>
        <v>Image</v>
      </c>
      <c r="I44" s="991">
        <f t="shared" si="6"/>
        <v>1</v>
      </c>
      <c r="J44" s="991">
        <f t="shared" si="5"/>
        <v>1.137254902</v>
      </c>
      <c r="K44" s="992">
        <v>45.0</v>
      </c>
      <c r="L44" s="992">
        <v>5.0</v>
      </c>
      <c r="M44" s="992">
        <v>1.0</v>
      </c>
      <c r="N44" s="992">
        <v>0.0</v>
      </c>
      <c r="O44" s="993" t="str">
        <f>HYPERLINK("https://www.strawpoll.me/19055235","Vote")</f>
        <v>Vote</v>
      </c>
    </row>
    <row r="45">
      <c r="A45" s="872"/>
      <c r="B45" s="355"/>
      <c r="C45" s="927" t="s">
        <v>1664</v>
      </c>
      <c r="D45" s="928"/>
      <c r="E45" s="915">
        <v>0.0</v>
      </c>
      <c r="F45" s="915">
        <v>3.0</v>
      </c>
      <c r="G45" s="915">
        <v>5.0</v>
      </c>
      <c r="H45" s="1009" t="str">
        <f>HYPERLINK("https://d15f34w2p8l1cc.cloudfront.net/hearthstone/1cc56d817e7d1f89b3859904545a34b83c5c08f6415056aff5ee3c521e4f6ab9.png","Image")</f>
        <v>Image</v>
      </c>
      <c r="I45" s="991">
        <f t="shared" si="6"/>
        <v>1</v>
      </c>
      <c r="J45" s="991">
        <f t="shared" si="5"/>
        <v>1.22</v>
      </c>
      <c r="K45" s="992">
        <v>42.0</v>
      </c>
      <c r="L45" s="992">
        <v>6.0</v>
      </c>
      <c r="M45" s="992">
        <v>1.0</v>
      </c>
      <c r="N45" s="992">
        <v>1.0</v>
      </c>
      <c r="O45" s="993" t="str">
        <f>HYPERLINK("https://www.strawpoll.me/19055236","Vote")</f>
        <v>Vote</v>
      </c>
    </row>
    <row r="46" ht="17.25" customHeight="1">
      <c r="A46" s="829"/>
      <c r="B46" s="628" t="s">
        <v>1179</v>
      </c>
      <c r="C46" s="720" t="s">
        <v>1665</v>
      </c>
      <c r="D46" s="906"/>
      <c r="E46" s="508">
        <v>5.0</v>
      </c>
      <c r="F46" s="508">
        <v>4.0</v>
      </c>
      <c r="G46" s="508">
        <v>4.0</v>
      </c>
      <c r="H46" s="1010" t="str">
        <f>HYPERLINK("https://d15f34w2p8l1cc.cloudfront.net/hearthstone/39e0d738a1a80c69b72f2b77b190db3a12a951fdca0870e9fe625cb762e81b4c.png","Image")</f>
        <v>Image</v>
      </c>
      <c r="I46" s="992">
        <v>4.0</v>
      </c>
      <c r="J46" s="991">
        <f t="shared" si="5"/>
        <v>3.454545455</v>
      </c>
      <c r="K46" s="992">
        <v>2.0</v>
      </c>
      <c r="L46" s="992">
        <v>4.0</v>
      </c>
      <c r="M46" s="992">
        <v>22.0</v>
      </c>
      <c r="N46" s="992">
        <v>38.0</v>
      </c>
      <c r="O46" s="993" t="str">
        <f>HYPERLINK("https://www.strawpoll.me/19055238","Vote")</f>
        <v>Vote</v>
      </c>
    </row>
    <row r="47">
      <c r="A47" s="829"/>
      <c r="B47" s="353"/>
      <c r="C47" s="720" t="s">
        <v>1666</v>
      </c>
      <c r="D47" s="906"/>
      <c r="E47" s="508">
        <v>6.0</v>
      </c>
      <c r="F47" s="508">
        <v>6.0</v>
      </c>
      <c r="G47" s="508">
        <v>6.0</v>
      </c>
      <c r="H47" s="1010" t="str">
        <f>HYPERLINK("https://d15f34w2p8l1cc.cloudfront.net/hearthstone/cc3e3678ff5127ddc6ef51e3e4aa70fbda6bd8eb97e98bafb5bdf54acfbecc3c.png","Image")</f>
        <v>Image</v>
      </c>
      <c r="I47" s="991">
        <f t="shared" ref="I47:I50" si="7">ROUND(J47,0)</f>
        <v>4</v>
      </c>
      <c r="J47" s="991">
        <f t="shared" si="5"/>
        <v>3.8</v>
      </c>
      <c r="K47" s="992">
        <v>3.0</v>
      </c>
      <c r="L47" s="992">
        <v>1.0</v>
      </c>
      <c r="M47" s="992">
        <v>2.0</v>
      </c>
      <c r="N47" s="992">
        <v>59.0</v>
      </c>
      <c r="O47" s="993" t="str">
        <f>HYPERLINK("https://www.strawpoll.me/19055240","Vote")</f>
        <v>Vote</v>
      </c>
    </row>
    <row r="48">
      <c r="A48" s="829"/>
      <c r="B48" s="353"/>
      <c r="C48" s="720" t="s">
        <v>1667</v>
      </c>
      <c r="D48" s="906"/>
      <c r="E48" s="508">
        <v>1.0</v>
      </c>
      <c r="F48" s="508">
        <v>7.0</v>
      </c>
      <c r="G48" s="508">
        <v>7.0</v>
      </c>
      <c r="H48" s="1010" t="str">
        <f>HYPERLINK("https://d15f34w2p8l1cc.cloudfront.net/hearthstone/b65baf71030e4ed4c504060081e8ad42d04acb39e4787a6cfa8a12cc3b91b188.png","Image")</f>
        <v>Image</v>
      </c>
      <c r="I48" s="991">
        <f t="shared" si="7"/>
        <v>2</v>
      </c>
      <c r="J48" s="991">
        <f t="shared" si="5"/>
        <v>2.114754098</v>
      </c>
      <c r="K48" s="992">
        <v>17.0</v>
      </c>
      <c r="L48" s="992">
        <v>26.0</v>
      </c>
      <c r="M48" s="992">
        <v>12.0</v>
      </c>
      <c r="N48" s="992">
        <v>6.0</v>
      </c>
      <c r="O48" s="993" t="str">
        <f>HYPERLINK("https://www.strawpoll.me/19055242","Vote")</f>
        <v>Vote</v>
      </c>
    </row>
    <row r="49">
      <c r="A49" s="829"/>
      <c r="B49" s="353"/>
      <c r="C49" s="720" t="s">
        <v>1668</v>
      </c>
      <c r="D49" s="912" t="s">
        <v>43</v>
      </c>
      <c r="E49" s="508">
        <v>8.0</v>
      </c>
      <c r="F49" s="508">
        <v>8.0</v>
      </c>
      <c r="G49" s="508">
        <v>9.0</v>
      </c>
      <c r="H49" s="1010" t="str">
        <f>HYPERLINK("https://d15f34w2p8l1cc.cloudfront.net/hearthstone/f1b779af311af36dbf47ec7bd709eac13f9d558a747fc4c8702a6219a80441d8.png","Image")</f>
        <v>Image</v>
      </c>
      <c r="I49" s="991">
        <f t="shared" si="7"/>
        <v>4</v>
      </c>
      <c r="J49" s="991">
        <f t="shared" si="5"/>
        <v>3.5625</v>
      </c>
      <c r="K49" s="992">
        <v>3.0</v>
      </c>
      <c r="L49" s="992">
        <v>3.0</v>
      </c>
      <c r="M49" s="992">
        <v>13.0</v>
      </c>
      <c r="N49" s="992">
        <v>45.0</v>
      </c>
      <c r="O49" s="993" t="str">
        <f>HYPERLINK("https://www.strawpoll.me/19055243","Vote")</f>
        <v>Vote</v>
      </c>
    </row>
    <row r="50">
      <c r="A50" s="829"/>
      <c r="B50" s="355"/>
      <c r="C50" s="919" t="s">
        <v>1669</v>
      </c>
      <c r="D50" s="931" t="s">
        <v>97</v>
      </c>
      <c r="E50" s="921">
        <v>5.0</v>
      </c>
      <c r="F50" s="921">
        <v>5.0</v>
      </c>
      <c r="G50" s="921">
        <v>9.0</v>
      </c>
      <c r="H50" s="1006" t="str">
        <f>HYPERLINK("https://d15f34w2p8l1cc.cloudfront.net/hearthstone/7617f337c1cf09dadc56523cb0c4ff7972a6dd840ec08e29e3111703c3a9d8e3.png","Image")</f>
        <v>Image</v>
      </c>
      <c r="I50" s="991">
        <f t="shared" si="7"/>
        <v>2</v>
      </c>
      <c r="J50" s="991">
        <f t="shared" si="5"/>
        <v>1.872727273</v>
      </c>
      <c r="K50" s="992">
        <v>14.0</v>
      </c>
      <c r="L50" s="992">
        <v>34.0</v>
      </c>
      <c r="M50" s="992">
        <v>7.0</v>
      </c>
      <c r="N50" s="992">
        <v>0.0</v>
      </c>
      <c r="O50" s="993" t="str">
        <f>HYPERLINK("https://www.strawpoll.me/19055245","Vote")</f>
        <v>Vote</v>
      </c>
    </row>
    <row r="51">
      <c r="A51" s="823"/>
      <c r="B51" s="824"/>
      <c r="C51" s="195" t="s">
        <v>83</v>
      </c>
      <c r="D51" s="82"/>
      <c r="E51" s="82"/>
      <c r="F51" s="82"/>
      <c r="G51" s="82"/>
      <c r="H51" s="96"/>
      <c r="I51" s="1011"/>
      <c r="J51" s="1011"/>
      <c r="K51" s="1012"/>
      <c r="L51" s="1012"/>
      <c r="M51" s="1012"/>
      <c r="N51" s="1012"/>
      <c r="O51" s="307"/>
    </row>
    <row r="52" ht="15.75" customHeight="1">
      <c r="A52" s="872"/>
      <c r="B52" s="636"/>
      <c r="C52" s="830"/>
      <c r="D52" s="831"/>
      <c r="E52" s="832"/>
      <c r="F52" s="832"/>
      <c r="G52" s="832"/>
      <c r="H52" s="1013"/>
      <c r="I52" s="1014" t="s">
        <v>1620</v>
      </c>
      <c r="J52" s="1014" t="s">
        <v>204</v>
      </c>
      <c r="K52" s="999"/>
      <c r="L52" s="999"/>
      <c r="M52" s="999"/>
      <c r="N52" s="999"/>
      <c r="O52" s="781"/>
    </row>
    <row r="53" ht="17.25" customHeight="1">
      <c r="A53" s="829"/>
      <c r="B53" s="631" t="s">
        <v>64</v>
      </c>
      <c r="C53" s="705" t="s">
        <v>1670</v>
      </c>
      <c r="D53" s="934" t="s">
        <v>60</v>
      </c>
      <c r="E53" s="185">
        <v>1.0</v>
      </c>
      <c r="F53" s="185">
        <v>2.0</v>
      </c>
      <c r="G53" s="185">
        <v>1.0</v>
      </c>
      <c r="H53" s="954" t="str">
        <f>HYPERLINK("https://d15f34w2p8l1cc.cloudfront.net/hearthstone/7a4b23bc002a8a37b7948d851ccf4b61f1e82e872a131d57a6f581dea0df41f4.png","Image")</f>
        <v>Image</v>
      </c>
      <c r="I53" s="991">
        <f>ROUND(J53,0)</f>
        <v>3</v>
      </c>
      <c r="J53" s="991">
        <f t="shared" ref="J53:J63" si="8">(K53*K$4+L53*L$4+M53*M$4+N53*N$4)/(K53+L53+M53+N53)</f>
        <v>2.865384615</v>
      </c>
      <c r="K53" s="992">
        <v>1.0</v>
      </c>
      <c r="L53" s="992">
        <v>11.0</v>
      </c>
      <c r="M53" s="992">
        <v>34.0</v>
      </c>
      <c r="N53" s="992">
        <v>6.0</v>
      </c>
      <c r="O53" s="993" t="str">
        <f>HYPERLINK("https://www.strawpoll.me/19055247","Vote")</f>
        <v>Vote</v>
      </c>
    </row>
    <row r="54">
      <c r="A54" s="872"/>
      <c r="B54" s="353"/>
      <c r="C54" s="935" t="s">
        <v>1671</v>
      </c>
      <c r="D54" s="936"/>
      <c r="E54" s="855">
        <v>2.0</v>
      </c>
      <c r="F54" s="855">
        <v>3.0</v>
      </c>
      <c r="G54" s="855">
        <v>3.0</v>
      </c>
      <c r="H54" s="956" t="str">
        <f>HYPERLINK("https://d15f34w2p8l1cc.cloudfront.net/hearthstone/3e97f67829e2ab393e4bed7d50f4e08371430a89e1906d32dc3361f3fbf42577.png","Image")</f>
        <v>Image</v>
      </c>
      <c r="I54" s="992">
        <v>1.0</v>
      </c>
      <c r="J54" s="991">
        <f t="shared" si="8"/>
        <v>1.52</v>
      </c>
      <c r="K54" s="992">
        <v>26.0</v>
      </c>
      <c r="L54" s="992">
        <v>22.0</v>
      </c>
      <c r="M54" s="992">
        <v>2.0</v>
      </c>
      <c r="N54" s="992">
        <v>0.0</v>
      </c>
      <c r="O54" s="993" t="str">
        <f>HYPERLINK("https://www.strawpoll.me/19055248","Vote")</f>
        <v>Vote</v>
      </c>
    </row>
    <row r="55">
      <c r="A55" s="829"/>
      <c r="B55" s="632"/>
      <c r="C55" s="937" t="s">
        <v>1672</v>
      </c>
      <c r="D55" s="938" t="s">
        <v>1673</v>
      </c>
      <c r="E55" s="939"/>
      <c r="F55" s="939"/>
      <c r="G55" s="939">
        <v>3.0</v>
      </c>
      <c r="H55" s="958" t="str">
        <f>HYPERLINK("https://d15f34w2p8l1cc.cloudfront.net/hearthstone/ff8bbbf81ab31c3bb686999016ad523f8dbb246a268b3dc5b599f2362dc8ab15.png","Image")</f>
        <v>Image</v>
      </c>
      <c r="I55" s="991">
        <f t="shared" ref="I55:I63" si="9">ROUND(J55,0)</f>
        <v>2</v>
      </c>
      <c r="J55" s="991">
        <f t="shared" si="8"/>
        <v>2.191489362</v>
      </c>
      <c r="K55" s="992">
        <v>4.0</v>
      </c>
      <c r="L55" s="992">
        <v>30.0</v>
      </c>
      <c r="M55" s="992">
        <v>13.0</v>
      </c>
      <c r="N55" s="992">
        <v>0.0</v>
      </c>
      <c r="O55" s="993" t="str">
        <f>HYPERLINK("https://www.strawpoll.me/19055249","Vote")</f>
        <v>Vote</v>
      </c>
    </row>
    <row r="56">
      <c r="A56" s="829"/>
      <c r="B56" s="639"/>
      <c r="C56" s="941" t="s">
        <v>1674</v>
      </c>
      <c r="D56" s="942" t="s">
        <v>1675</v>
      </c>
      <c r="E56" s="943">
        <v>1.0</v>
      </c>
      <c r="F56" s="943">
        <v>2.0</v>
      </c>
      <c r="G56" s="943">
        <v>2.0</v>
      </c>
      <c r="H56" s="960" t="str">
        <f>HYPERLINK("https://d15f34w2p8l1cc.cloudfront.net/hearthstone/571e9b8a030f5db67fad697f86994bf7017beefe0894d7d1ccb5bc1b96b9197c.png","Image")</f>
        <v>Image</v>
      </c>
      <c r="I56" s="991">
        <f t="shared" si="9"/>
        <v>3</v>
      </c>
      <c r="J56" s="991">
        <f t="shared" si="8"/>
        <v>2.5</v>
      </c>
      <c r="K56" s="992">
        <v>3.0</v>
      </c>
      <c r="L56" s="992">
        <v>19.0</v>
      </c>
      <c r="M56" s="992">
        <v>25.0</v>
      </c>
      <c r="N56" s="992">
        <v>1.0</v>
      </c>
      <c r="O56" s="993" t="str">
        <f>HYPERLINK("https://www.strawpoll.me/19055252","Vote")</f>
        <v>Vote</v>
      </c>
    </row>
    <row r="57">
      <c r="A57" s="829"/>
      <c r="B57" s="353"/>
      <c r="C57" s="935" t="s">
        <v>1676</v>
      </c>
      <c r="D57" s="936" t="s">
        <v>20</v>
      </c>
      <c r="E57" s="855">
        <v>2.0</v>
      </c>
      <c r="F57" s="855">
        <v>5.0</v>
      </c>
      <c r="G57" s="855">
        <v>3.0</v>
      </c>
      <c r="H57" s="956" t="str">
        <f>HYPERLINK("https://d15f34w2p8l1cc.cloudfront.net/hearthstone/8b3daceec08911eaec198eeeee5d46acbae6047062dace7990bf842262eeb06a.png","Image")</f>
        <v>Image</v>
      </c>
      <c r="I57" s="991">
        <f t="shared" si="9"/>
        <v>3</v>
      </c>
      <c r="J57" s="991">
        <f t="shared" si="8"/>
        <v>3.270833333</v>
      </c>
      <c r="K57" s="992">
        <v>1.0</v>
      </c>
      <c r="L57" s="992">
        <v>3.0</v>
      </c>
      <c r="M57" s="992">
        <v>26.0</v>
      </c>
      <c r="N57" s="992">
        <v>18.0</v>
      </c>
      <c r="O57" s="993" t="str">
        <f>HYPERLINK("https://www.strawpoll.me/19055253","Vote")</f>
        <v>Vote</v>
      </c>
    </row>
    <row r="58">
      <c r="A58" s="829"/>
      <c r="B58" s="632"/>
      <c r="C58" s="937" t="s">
        <v>1677</v>
      </c>
      <c r="D58" s="938" t="s">
        <v>71</v>
      </c>
      <c r="E58" s="939"/>
      <c r="F58" s="939"/>
      <c r="G58" s="939">
        <v>4.0</v>
      </c>
      <c r="H58" s="958" t="str">
        <f>HYPERLINK("https://d15f34w2p8l1cc.cloudfront.net/hearthstone/4767826ee0e4fb70d3fd1d9d669b943d2ce0e364503829f3f4a5d44d2e8df0ba.png","Image")</f>
        <v>Image</v>
      </c>
      <c r="I58" s="991">
        <f t="shared" si="9"/>
        <v>2</v>
      </c>
      <c r="J58" s="991">
        <f t="shared" si="8"/>
        <v>2</v>
      </c>
      <c r="K58" s="992">
        <v>5.0</v>
      </c>
      <c r="L58" s="992">
        <v>37.0</v>
      </c>
      <c r="M58" s="992">
        <v>5.0</v>
      </c>
      <c r="N58" s="992">
        <v>0.0</v>
      </c>
      <c r="O58" s="993" t="str">
        <f>HYPERLINK("https://www.strawpoll.me/19055255","Vote")</f>
        <v>Vote</v>
      </c>
    </row>
    <row r="59">
      <c r="A59" s="829"/>
      <c r="B59" s="793"/>
      <c r="C59" s="941" t="s">
        <v>1678</v>
      </c>
      <c r="D59" s="942" t="s">
        <v>43</v>
      </c>
      <c r="E59" s="943">
        <v>3.0</v>
      </c>
      <c r="F59" s="943">
        <v>2.0</v>
      </c>
      <c r="G59" s="943">
        <v>3.0</v>
      </c>
      <c r="H59" s="960" t="str">
        <f>HYPERLINK("https://d15f34w2p8l1cc.cloudfront.net/hearthstone/95d918d6ff09592a1e84666d8f90db944f9007501d99a755b2844d0f05a9fdec.png","Image")</f>
        <v>Image</v>
      </c>
      <c r="I59" s="991">
        <f t="shared" si="9"/>
        <v>3</v>
      </c>
      <c r="J59" s="991">
        <f t="shared" si="8"/>
        <v>3.222222222</v>
      </c>
      <c r="K59" s="992">
        <v>0.0</v>
      </c>
      <c r="L59" s="992">
        <v>5.0</v>
      </c>
      <c r="M59" s="992">
        <v>25.0</v>
      </c>
      <c r="N59" s="992">
        <v>15.0</v>
      </c>
      <c r="O59" s="993" t="str">
        <f>HYPERLINK("https://www.strawpoll.me/19055256","Vote")</f>
        <v>Vote</v>
      </c>
    </row>
    <row r="60">
      <c r="A60" s="829"/>
      <c r="B60" s="632"/>
      <c r="C60" s="937" t="s">
        <v>1679</v>
      </c>
      <c r="D60" s="938" t="s">
        <v>71</v>
      </c>
      <c r="E60" s="939"/>
      <c r="F60" s="939"/>
      <c r="G60" s="939">
        <v>3.0</v>
      </c>
      <c r="H60" s="958" t="str">
        <f>HYPERLINK("https://d15f34w2p8l1cc.cloudfront.net/hearthstone/a8575e8997ab73770abdfdcb949edf3d407f7e95cc62d485ee4ca35e19c7fc6c.png","Image")</f>
        <v>Image</v>
      </c>
      <c r="I60" s="991">
        <f t="shared" si="9"/>
        <v>1</v>
      </c>
      <c r="J60" s="991">
        <f t="shared" si="8"/>
        <v>1.204545455</v>
      </c>
      <c r="K60" s="992">
        <v>35.0</v>
      </c>
      <c r="L60" s="992">
        <v>9.0</v>
      </c>
      <c r="M60" s="992">
        <v>0.0</v>
      </c>
      <c r="N60" s="992">
        <v>0.0</v>
      </c>
      <c r="O60" s="993" t="str">
        <f>HYPERLINK("https://www.strawpoll.me/19055257","Vote")</f>
        <v>Vote</v>
      </c>
    </row>
    <row r="61">
      <c r="A61" s="829"/>
      <c r="B61" s="794"/>
      <c r="C61" s="941" t="s">
        <v>1680</v>
      </c>
      <c r="D61" s="942" t="s">
        <v>77</v>
      </c>
      <c r="E61" s="943">
        <v>2.0</v>
      </c>
      <c r="F61" s="943">
        <v>3.0</v>
      </c>
      <c r="G61" s="943">
        <v>3.0</v>
      </c>
      <c r="H61" s="960" t="str">
        <f>HYPERLINK("https://d15f34w2p8l1cc.cloudfront.net/hearthstone/6da80ac83b03e7fce8e209af7a3c689aa4653a527b708c1ab62c0a69268c1526.png","Image")</f>
        <v>Image</v>
      </c>
      <c r="I61" s="991">
        <f t="shared" si="9"/>
        <v>4</v>
      </c>
      <c r="J61" s="991">
        <f t="shared" si="8"/>
        <v>3.5</v>
      </c>
      <c r="K61" s="992">
        <v>1.0</v>
      </c>
      <c r="L61" s="992">
        <v>3.0</v>
      </c>
      <c r="M61" s="992">
        <v>16.0</v>
      </c>
      <c r="N61" s="992">
        <v>30.0</v>
      </c>
      <c r="O61" s="993" t="str">
        <f>HYPERLINK("https://www.strawpoll.me/19055259","Vote")</f>
        <v>Vote</v>
      </c>
    </row>
    <row r="62">
      <c r="A62" s="829"/>
      <c r="B62" s="353"/>
      <c r="C62" s="945" t="s">
        <v>1681</v>
      </c>
      <c r="D62" s="946" t="s">
        <v>1682</v>
      </c>
      <c r="E62" s="947"/>
      <c r="F62" s="948"/>
      <c r="G62" s="947">
        <v>7.0</v>
      </c>
      <c r="H62" s="1015" t="str">
        <f>HYPERLINK("https://d15f34w2p8l1cc.cloudfront.net/hearthstone/e42d260eedab2875bfda78e089a2f74cadcec1e79d394e80895d4c66888bf3d2.png","Image")</f>
        <v>Image</v>
      </c>
      <c r="I62" s="991">
        <f t="shared" si="9"/>
        <v>3</v>
      </c>
      <c r="J62" s="991">
        <f t="shared" si="8"/>
        <v>2.816326531</v>
      </c>
      <c r="K62" s="992">
        <v>1.0</v>
      </c>
      <c r="L62" s="992">
        <v>13.0</v>
      </c>
      <c r="M62" s="992">
        <v>29.0</v>
      </c>
      <c r="N62" s="992">
        <v>6.0</v>
      </c>
      <c r="O62" s="993" t="str">
        <f>HYPERLINK("https://www.strawpoll.me/19055260","Vote")</f>
        <v>Vote</v>
      </c>
    </row>
    <row r="63">
      <c r="A63" s="829"/>
      <c r="B63" s="355"/>
      <c r="C63" s="864" t="s">
        <v>1683</v>
      </c>
      <c r="D63" s="865" t="s">
        <v>43</v>
      </c>
      <c r="E63" s="859">
        <v>12.0</v>
      </c>
      <c r="F63" s="859">
        <v>12.0</v>
      </c>
      <c r="G63" s="859">
        <v>8.0</v>
      </c>
      <c r="H63" s="966" t="str">
        <f>HYPERLINK("https://d15f34w2p8l1cc.cloudfront.net/hearthstone/aef185438c4c3f838dd6d58ff94e8d51dbae53e2e0a60b46666753b3342814c8.png","Image")</f>
        <v>Image</v>
      </c>
      <c r="I63" s="991">
        <f t="shared" si="9"/>
        <v>3</v>
      </c>
      <c r="J63" s="991">
        <f t="shared" si="8"/>
        <v>2.7</v>
      </c>
      <c r="K63" s="992">
        <v>2.0</v>
      </c>
      <c r="L63" s="992">
        <v>15.0</v>
      </c>
      <c r="M63" s="992">
        <v>29.0</v>
      </c>
      <c r="N63" s="992">
        <v>4.0</v>
      </c>
      <c r="O63" s="993" t="str">
        <f>HYPERLINK("https://www.strawpoll.me/19055261","Vote")</f>
        <v>Vote</v>
      </c>
    </row>
    <row r="64">
      <c r="A64" s="883"/>
      <c r="B64" s="605"/>
      <c r="C64" s="195" t="s">
        <v>95</v>
      </c>
      <c r="D64" s="82"/>
      <c r="E64" s="82"/>
      <c r="F64" s="82"/>
      <c r="G64" s="82"/>
      <c r="H64" s="96"/>
      <c r="I64" s="1011"/>
      <c r="J64" s="1011"/>
      <c r="K64" s="1012"/>
      <c r="L64" s="1012"/>
      <c r="M64" s="1012"/>
      <c r="N64" s="1012"/>
      <c r="O64" s="307"/>
    </row>
    <row r="65" ht="15.75" customHeight="1">
      <c r="A65" s="829"/>
      <c r="B65" s="636"/>
      <c r="C65" s="830"/>
      <c r="D65" s="831"/>
      <c r="E65" s="832"/>
      <c r="F65" s="832"/>
      <c r="G65" s="832"/>
      <c r="H65" s="1013"/>
      <c r="I65" s="1014" t="s">
        <v>1620</v>
      </c>
      <c r="J65" s="1014" t="s">
        <v>204</v>
      </c>
      <c r="K65" s="999"/>
      <c r="L65" s="999"/>
      <c r="M65" s="999"/>
      <c r="N65" s="999"/>
      <c r="O65" s="781"/>
    </row>
    <row r="66">
      <c r="A66" s="872"/>
      <c r="B66" s="950"/>
      <c r="C66" s="705" t="s">
        <v>1684</v>
      </c>
      <c r="D66" s="934" t="s">
        <v>71</v>
      </c>
      <c r="E66" s="185"/>
      <c r="F66" s="185"/>
      <c r="G66" s="185">
        <v>1.0</v>
      </c>
      <c r="H66" s="954" t="str">
        <f>HYPERLINK("https://d15f34w2p8l1cc.cloudfront.net/hearthstone/a53940f5d1a08062baaa81533ad009244d83290a30ca37ef890530afc89d9b62.png","Image")</f>
        <v>Image</v>
      </c>
      <c r="I66" s="991">
        <f t="shared" ref="I66:I69" si="10">ROUND(J66,0)</f>
        <v>1</v>
      </c>
      <c r="J66" s="991">
        <f t="shared" ref="J66:J76" si="11">(K66*K$4+L66*L$4+M66*M$4+N66*N$4)/(K66+L66+M66+N66)</f>
        <v>1.255813953</v>
      </c>
      <c r="K66" s="992">
        <v>33.0</v>
      </c>
      <c r="L66" s="992">
        <v>9.0</v>
      </c>
      <c r="M66" s="992">
        <v>1.0</v>
      </c>
      <c r="N66" s="992">
        <v>0.0</v>
      </c>
      <c r="O66" s="993" t="str">
        <f>HYPERLINK("https://www.strawpoll.me/19055263","Vote")</f>
        <v>Vote</v>
      </c>
    </row>
    <row r="67">
      <c r="A67" s="829"/>
      <c r="B67" s="353"/>
      <c r="C67" s="935" t="s">
        <v>1685</v>
      </c>
      <c r="D67" s="936" t="s">
        <v>1673</v>
      </c>
      <c r="E67" s="855"/>
      <c r="F67" s="855"/>
      <c r="G67" s="855">
        <v>3.0</v>
      </c>
      <c r="H67" s="956" t="str">
        <f>HYPERLINK("https://d15f34w2p8l1cc.cloudfront.net/hearthstone/99816f418dba10ca96ae9d2acdae87c769d2542cefe65f1a474770a3b63451c9.png","Image")</f>
        <v>Image</v>
      </c>
      <c r="I67" s="991">
        <f t="shared" si="10"/>
        <v>1</v>
      </c>
      <c r="J67" s="991">
        <f t="shared" si="11"/>
        <v>1.341463415</v>
      </c>
      <c r="K67" s="992">
        <v>29.0</v>
      </c>
      <c r="L67" s="992">
        <v>10.0</v>
      </c>
      <c r="M67" s="992">
        <v>2.0</v>
      </c>
      <c r="N67" s="992">
        <v>0.0</v>
      </c>
      <c r="O67" s="993" t="str">
        <f>HYPERLINK("https://www.strawpoll.me/19055264","Vote")</f>
        <v>Vote</v>
      </c>
    </row>
    <row r="68">
      <c r="A68" s="829"/>
      <c r="B68" s="632"/>
      <c r="C68" s="937" t="s">
        <v>1686</v>
      </c>
      <c r="D68" s="938"/>
      <c r="E68" s="939">
        <v>2.0</v>
      </c>
      <c r="F68" s="939">
        <v>2.0</v>
      </c>
      <c r="G68" s="939">
        <v>6.0</v>
      </c>
      <c r="H68" s="958" t="str">
        <f>HYPERLINK("https://d15f34w2p8l1cc.cloudfront.net/hearthstone/3e97ec2e24eb3dd19300134cc8208512a3169a60fa5ac3b5b3adec9cd00a2a15.png","Image")</f>
        <v>Image</v>
      </c>
      <c r="I68" s="991">
        <f t="shared" si="10"/>
        <v>2</v>
      </c>
      <c r="J68" s="991">
        <f t="shared" si="11"/>
        <v>2.024390244</v>
      </c>
      <c r="K68" s="992">
        <v>8.0</v>
      </c>
      <c r="L68" s="992">
        <v>24.0</v>
      </c>
      <c r="M68" s="992">
        <v>9.0</v>
      </c>
      <c r="N68" s="992">
        <v>0.0</v>
      </c>
      <c r="O68" s="993" t="str">
        <f>HYPERLINK("https://www.strawpoll.me/19055265","Vote")</f>
        <v>Vote</v>
      </c>
    </row>
    <row r="69">
      <c r="A69" s="829"/>
      <c r="B69" s="639"/>
      <c r="C69" s="941" t="s">
        <v>1687</v>
      </c>
      <c r="D69" s="942" t="s">
        <v>71</v>
      </c>
      <c r="E69" s="943"/>
      <c r="F69" s="943"/>
      <c r="G69" s="943">
        <v>2.0</v>
      </c>
      <c r="H69" s="960" t="str">
        <f>HYPERLINK("https://d15f34w2p8l1cc.cloudfront.net/hearthstone/ad8dd6d06e1a94b637e7428ecc0fde81f14965b017566168b0927e2685be81b8.png","Image")</f>
        <v>Image</v>
      </c>
      <c r="I69" s="991">
        <f t="shared" si="10"/>
        <v>3</v>
      </c>
      <c r="J69" s="991">
        <f t="shared" si="11"/>
        <v>2.897435897</v>
      </c>
      <c r="K69" s="992">
        <v>3.0</v>
      </c>
      <c r="L69" s="992">
        <v>6.0</v>
      </c>
      <c r="M69" s="992">
        <v>22.0</v>
      </c>
      <c r="N69" s="992">
        <v>8.0</v>
      </c>
      <c r="O69" s="993" t="str">
        <f>HYPERLINK("https://www.strawpoll.me/19055266","Vote")</f>
        <v>Vote</v>
      </c>
    </row>
    <row r="70">
      <c r="A70" s="829"/>
      <c r="B70" s="353"/>
      <c r="C70" s="935" t="s">
        <v>1688</v>
      </c>
      <c r="D70" s="936" t="s">
        <v>1638</v>
      </c>
      <c r="E70" s="855">
        <v>1.0</v>
      </c>
      <c r="F70" s="855">
        <v>1.0</v>
      </c>
      <c r="G70" s="855">
        <v>3.0</v>
      </c>
      <c r="H70" s="956" t="str">
        <f>HYPERLINK("https://d15f34w2p8l1cc.cloudfront.net/hearthstone/2309e27aa6e9f5cc7756d039428676c0d354511f95d689a207acd07ef77a1852.png","Image")</f>
        <v>Image</v>
      </c>
      <c r="I70" s="992">
        <v>1.0</v>
      </c>
      <c r="J70" s="991">
        <f t="shared" si="11"/>
        <v>1.513513514</v>
      </c>
      <c r="K70" s="992">
        <v>20.0</v>
      </c>
      <c r="L70" s="992">
        <v>15.0</v>
      </c>
      <c r="M70" s="992">
        <v>2.0</v>
      </c>
      <c r="N70" s="992">
        <v>0.0</v>
      </c>
      <c r="O70" s="993" t="str">
        <f>HYPERLINK("https://www.strawpoll.me/19055267","Vote")</f>
        <v>Vote</v>
      </c>
    </row>
    <row r="71">
      <c r="A71" s="829"/>
      <c r="B71" s="632"/>
      <c r="C71" s="937" t="s">
        <v>1689</v>
      </c>
      <c r="D71" s="938"/>
      <c r="E71" s="939">
        <v>5.0</v>
      </c>
      <c r="F71" s="939">
        <v>5.0</v>
      </c>
      <c r="G71" s="939">
        <v>5.0</v>
      </c>
      <c r="H71" s="958" t="str">
        <f>HYPERLINK("https://d15f34w2p8l1cc.cloudfront.net/hearthstone/0b474a322695b0ffe7ca93235a403955e1399b0d65edf899fa694e9a47f7d3de.png","Image")</f>
        <v>Image</v>
      </c>
      <c r="I71" s="991">
        <f>ROUND(J71,0)</f>
        <v>3</v>
      </c>
      <c r="J71" s="991">
        <f t="shared" si="11"/>
        <v>3.025641026</v>
      </c>
      <c r="K71" s="992">
        <v>0.0</v>
      </c>
      <c r="L71" s="992">
        <v>10.0</v>
      </c>
      <c r="M71" s="992">
        <v>18.0</v>
      </c>
      <c r="N71" s="992">
        <v>11.0</v>
      </c>
      <c r="O71" s="993" t="str">
        <f>HYPERLINK("https://www.strawpoll.me/19055268","Vote")</f>
        <v>Vote</v>
      </c>
    </row>
    <row r="72">
      <c r="A72" s="829"/>
      <c r="B72" s="793"/>
      <c r="C72" s="941" t="s">
        <v>1690</v>
      </c>
      <c r="D72" s="942" t="s">
        <v>71</v>
      </c>
      <c r="E72" s="943"/>
      <c r="F72" s="943"/>
      <c r="G72" s="943">
        <v>3.0</v>
      </c>
      <c r="H72" s="960" t="str">
        <f>HYPERLINK("https://d15f34w2p8l1cc.cloudfront.net/hearthstone/ed294f1573909e4fda05aa00f2eb5bb2b6781fc4e33a6caecbc1c5c7df9aa3f1.png","Image")</f>
        <v>Image</v>
      </c>
      <c r="I72" s="992">
        <v>3.0</v>
      </c>
      <c r="J72" s="991">
        <f t="shared" si="11"/>
        <v>2.189189189</v>
      </c>
      <c r="K72" s="992">
        <v>8.0</v>
      </c>
      <c r="L72" s="992">
        <v>14.0</v>
      </c>
      <c r="M72" s="992">
        <v>15.0</v>
      </c>
      <c r="N72" s="992">
        <v>0.0</v>
      </c>
      <c r="O72" s="993" t="str">
        <f>HYPERLINK("https://www.strawpoll.me/19055270","Vote")</f>
        <v>Vote</v>
      </c>
    </row>
    <row r="73">
      <c r="A73" s="872"/>
      <c r="B73" s="632"/>
      <c r="C73" s="937" t="s">
        <v>1691</v>
      </c>
      <c r="D73" s="938"/>
      <c r="E73" s="939">
        <v>5.0</v>
      </c>
      <c r="F73" s="939">
        <v>4.0</v>
      </c>
      <c r="G73" s="939">
        <v>4.0</v>
      </c>
      <c r="H73" s="958" t="str">
        <f>HYPERLINK("https://d15f34w2p8l1cc.cloudfront.net/hearthstone/60158e51f022fca818b5de1c6b1af6b63225a4ff2404dee58e3b0c6329676f5b.png","Image")</f>
        <v>Image</v>
      </c>
      <c r="I73" s="991">
        <f>ROUND(J73,0)</f>
        <v>2</v>
      </c>
      <c r="J73" s="991">
        <f t="shared" si="11"/>
        <v>2.052631579</v>
      </c>
      <c r="K73" s="992">
        <v>13.0</v>
      </c>
      <c r="L73" s="992">
        <v>13.0</v>
      </c>
      <c r="M73" s="992">
        <v>9.0</v>
      </c>
      <c r="N73" s="992">
        <v>3.0</v>
      </c>
      <c r="O73" s="993" t="str">
        <f>HYPERLINK("https://www.strawpoll.me/19055271","Vote")</f>
        <v>Vote</v>
      </c>
    </row>
    <row r="74" ht="17.25" customHeight="1">
      <c r="A74" s="829"/>
      <c r="B74" s="794"/>
      <c r="C74" s="941" t="s">
        <v>1692</v>
      </c>
      <c r="D74" s="942" t="s">
        <v>1682</v>
      </c>
      <c r="E74" s="943"/>
      <c r="F74" s="943"/>
      <c r="G74" s="943">
        <v>7.0</v>
      </c>
      <c r="H74" s="960" t="str">
        <f>HYPERLINK("https://d15f34w2p8l1cc.cloudfront.net/hearthstone/cc25b4e8382ac9ff9f8dcdaf490d5f89ac869003d39e4e7decee0e9e4b05ba8e.png","Image")</f>
        <v>Image</v>
      </c>
      <c r="I74" s="992">
        <v>1.0</v>
      </c>
      <c r="J74" s="991">
        <f t="shared" si="11"/>
        <v>1.631578947</v>
      </c>
      <c r="K74" s="992">
        <v>18.0</v>
      </c>
      <c r="L74" s="992">
        <v>17.0</v>
      </c>
      <c r="M74" s="992">
        <v>2.0</v>
      </c>
      <c r="N74" s="992">
        <v>1.0</v>
      </c>
      <c r="O74" s="993" t="str">
        <f>HYPERLINK("https://www.strawpoll.me/19055273","Vote")</f>
        <v>Vote</v>
      </c>
    </row>
    <row r="75">
      <c r="A75" s="872"/>
      <c r="B75" s="353"/>
      <c r="C75" s="945" t="s">
        <v>1693</v>
      </c>
      <c r="D75" s="946"/>
      <c r="E75" s="947">
        <v>4.0</v>
      </c>
      <c r="F75" s="948">
        <v>4.0</v>
      </c>
      <c r="G75" s="947">
        <v>7.0</v>
      </c>
      <c r="H75" s="1015" t="str">
        <f>HYPERLINK("https://d15f34w2p8l1cc.cloudfront.net/hearthstone/e1997772db07b331aee6f87cd2694cbf3ceafb8cc1620b461c83b0065ea25a0c.png","Image")</f>
        <v>Image</v>
      </c>
      <c r="I75" s="992">
        <v>3.0</v>
      </c>
      <c r="J75" s="991">
        <f t="shared" si="11"/>
        <v>2.452380952</v>
      </c>
      <c r="K75" s="992">
        <v>7.0</v>
      </c>
      <c r="L75" s="992">
        <v>13.0</v>
      </c>
      <c r="M75" s="992">
        <v>18.0</v>
      </c>
      <c r="N75" s="992">
        <v>4.0</v>
      </c>
      <c r="O75" s="993" t="str">
        <f>HYPERLINK("https://www.strawpoll.me/19055274","Vote")</f>
        <v>Vote</v>
      </c>
    </row>
    <row r="76">
      <c r="A76" s="829"/>
      <c r="B76" s="355"/>
      <c r="C76" s="864" t="s">
        <v>1694</v>
      </c>
      <c r="D76" s="865" t="s">
        <v>43</v>
      </c>
      <c r="E76" s="859">
        <v>4.0</v>
      </c>
      <c r="F76" s="859">
        <v>12.0</v>
      </c>
      <c r="G76" s="859">
        <v>8.0</v>
      </c>
      <c r="H76" s="966" t="str">
        <f>HYPERLINK("https://d15f34w2p8l1cc.cloudfront.net/hearthstone/4276d5050bce672d3a3cc96315be8c6166ae17dc2e9868095018787763df5d86.png","Image")</f>
        <v>Image</v>
      </c>
      <c r="I76" s="991">
        <f>ROUND(J76,0)</f>
        <v>3</v>
      </c>
      <c r="J76" s="991">
        <f t="shared" si="11"/>
        <v>2.613636364</v>
      </c>
      <c r="K76" s="992">
        <v>3.0</v>
      </c>
      <c r="L76" s="992">
        <v>16.0</v>
      </c>
      <c r="M76" s="992">
        <v>20.0</v>
      </c>
      <c r="N76" s="992">
        <v>5.0</v>
      </c>
      <c r="O76" s="993" t="str">
        <f>HYPERLINK("https://www.strawpoll.me/19055275","Vote")</f>
        <v>Vote</v>
      </c>
    </row>
    <row r="77">
      <c r="A77" s="823"/>
      <c r="B77" s="605"/>
      <c r="C77" s="195" t="s">
        <v>109</v>
      </c>
      <c r="D77" s="82"/>
      <c r="E77" s="82"/>
      <c r="F77" s="82"/>
      <c r="G77" s="82"/>
      <c r="H77" s="96"/>
      <c r="I77" s="1011"/>
      <c r="J77" s="1011"/>
      <c r="K77" s="1012"/>
      <c r="L77" s="1012"/>
      <c r="M77" s="1012"/>
      <c r="N77" s="1012"/>
      <c r="O77" s="307"/>
    </row>
    <row r="78" ht="15.75" customHeight="1">
      <c r="A78" s="829"/>
      <c r="B78" s="636"/>
      <c r="C78" s="830"/>
      <c r="D78" s="831"/>
      <c r="E78" s="832"/>
      <c r="F78" s="832"/>
      <c r="G78" s="832"/>
      <c r="H78" s="1013"/>
      <c r="I78" s="1014" t="s">
        <v>1620</v>
      </c>
      <c r="J78" s="1014" t="s">
        <v>204</v>
      </c>
      <c r="K78" s="999"/>
      <c r="L78" s="999"/>
      <c r="M78" s="999"/>
      <c r="N78" s="999"/>
      <c r="O78" s="781"/>
    </row>
    <row r="79">
      <c r="A79" s="829"/>
      <c r="B79" s="950"/>
      <c r="C79" s="705" t="s">
        <v>1695</v>
      </c>
      <c r="D79" s="934" t="s">
        <v>1673</v>
      </c>
      <c r="E79" s="185"/>
      <c r="F79" s="185"/>
      <c r="G79" s="185">
        <v>1.0</v>
      </c>
      <c r="H79" s="954" t="str">
        <f>HYPERLINK("https://d15f34w2p8l1cc.cloudfront.net/hearthstone/b28469246ff22e6cb4113ef5c97915aecea674c0c5a9ad8db198d42fc8e8ffbb.png","Image")</f>
        <v>Image</v>
      </c>
      <c r="I79" s="991">
        <f t="shared" ref="I79:I86" si="12">ROUND(J79,0)</f>
        <v>3</v>
      </c>
      <c r="J79" s="991">
        <f t="shared" ref="J79:J89" si="13">(K79*K$4+L79*L$4+M79*M$4+N79*N$4)/(K79+L79+M79+N79)</f>
        <v>3.222222222</v>
      </c>
      <c r="K79" s="992">
        <v>0.0</v>
      </c>
      <c r="L79" s="992">
        <v>3.0</v>
      </c>
      <c r="M79" s="992">
        <v>22.0</v>
      </c>
      <c r="N79" s="992">
        <v>11.0</v>
      </c>
      <c r="O79" s="993" t="str">
        <f>HYPERLINK("https://www.strawpoll.me/19055277","Vote")</f>
        <v>Vote</v>
      </c>
    </row>
    <row r="80">
      <c r="A80" s="829"/>
      <c r="B80" s="353"/>
      <c r="C80" s="935" t="s">
        <v>1696</v>
      </c>
      <c r="D80" s="936" t="s">
        <v>27</v>
      </c>
      <c r="E80" s="855">
        <v>1.0</v>
      </c>
      <c r="F80" s="855">
        <v>3.0</v>
      </c>
      <c r="G80" s="855">
        <v>1.0</v>
      </c>
      <c r="H80" s="956" t="str">
        <f>HYPERLINK("https://d15f34w2p8l1cc.cloudfront.net/hearthstone/6c9c36c941668947823de6539955581795b6d848f2894e3db52209f7c87039aa.png","Image")</f>
        <v>Image</v>
      </c>
      <c r="I80" s="991">
        <f t="shared" si="12"/>
        <v>3</v>
      </c>
      <c r="J80" s="991">
        <f t="shared" si="13"/>
        <v>2.861111111</v>
      </c>
      <c r="K80" s="992">
        <v>1.0</v>
      </c>
      <c r="L80" s="992">
        <v>6.0</v>
      </c>
      <c r="M80" s="992">
        <v>26.0</v>
      </c>
      <c r="N80" s="992">
        <v>3.0</v>
      </c>
      <c r="O80" s="993" t="str">
        <f>HYPERLINK("https://www.strawpoll.me/19055279","Vote")</f>
        <v>Vote</v>
      </c>
    </row>
    <row r="81">
      <c r="A81" s="829"/>
      <c r="B81" s="632"/>
      <c r="C81" s="937" t="s">
        <v>1697</v>
      </c>
      <c r="D81" s="938" t="s">
        <v>43</v>
      </c>
      <c r="E81" s="939">
        <v>5.0</v>
      </c>
      <c r="F81" s="939">
        <v>7.0</v>
      </c>
      <c r="G81" s="939">
        <v>4.0</v>
      </c>
      <c r="H81" s="958" t="str">
        <f>HYPERLINK("https://d15f34w2p8l1cc.cloudfront.net/hearthstone/68fbc08cb3491460924d16b1dd9b7e1107345843ab7564c46323690e96a804dd.png","Image")</f>
        <v>Image</v>
      </c>
      <c r="I81" s="991">
        <f t="shared" si="12"/>
        <v>3</v>
      </c>
      <c r="J81" s="991">
        <f t="shared" si="13"/>
        <v>2.888888889</v>
      </c>
      <c r="K81" s="992">
        <v>0.0</v>
      </c>
      <c r="L81" s="992">
        <v>8.0</v>
      </c>
      <c r="M81" s="992">
        <v>24.0</v>
      </c>
      <c r="N81" s="992">
        <v>4.0</v>
      </c>
      <c r="O81" s="993" t="str">
        <f>HYPERLINK("https://www.strawpoll.me/19055280","Vote")</f>
        <v>Vote</v>
      </c>
    </row>
    <row r="82">
      <c r="A82" s="829"/>
      <c r="B82" s="639"/>
      <c r="C82" s="941" t="s">
        <v>1698</v>
      </c>
      <c r="D82" s="942" t="s">
        <v>71</v>
      </c>
      <c r="E82" s="943"/>
      <c r="F82" s="943"/>
      <c r="G82" s="943">
        <v>1.0</v>
      </c>
      <c r="H82" s="960" t="str">
        <f>HYPERLINK("https://d15f34w2p8l1cc.cloudfront.net/hearthstone/810ca71e022653c83999b6e1601075198f17e1a09fdfe934b89ab0071b451a09.png","Image")</f>
        <v>Image</v>
      </c>
      <c r="I82" s="991">
        <f t="shared" si="12"/>
        <v>3</v>
      </c>
      <c r="J82" s="991">
        <f t="shared" si="13"/>
        <v>2.823529412</v>
      </c>
      <c r="K82" s="992">
        <v>1.0</v>
      </c>
      <c r="L82" s="992">
        <v>10.0</v>
      </c>
      <c r="M82" s="992">
        <v>17.0</v>
      </c>
      <c r="N82" s="992">
        <v>6.0</v>
      </c>
      <c r="O82" s="993" t="str">
        <f>HYPERLINK("https://www.strawpoll.me/19055281","Vote")</f>
        <v>Vote</v>
      </c>
    </row>
    <row r="83">
      <c r="A83" s="829"/>
      <c r="B83" s="353"/>
      <c r="C83" s="935" t="s">
        <v>1699</v>
      </c>
      <c r="D83" s="936" t="s">
        <v>71</v>
      </c>
      <c r="E83" s="855"/>
      <c r="F83" s="855"/>
      <c r="G83" s="855">
        <v>3.0</v>
      </c>
      <c r="H83" s="956" t="str">
        <f>HYPERLINK("https://d15f34w2p8l1cc.cloudfront.net/hearthstone/b74212915bc923b0694fe2ba3c5596b636fe52d2958866da89a37758202e5e5f.png","Image")</f>
        <v>Image</v>
      </c>
      <c r="I83" s="991">
        <f t="shared" si="12"/>
        <v>3</v>
      </c>
      <c r="J83" s="991">
        <f t="shared" si="13"/>
        <v>3.117647059</v>
      </c>
      <c r="K83" s="992">
        <v>0.0</v>
      </c>
      <c r="L83" s="992">
        <v>4.0</v>
      </c>
      <c r="M83" s="992">
        <v>22.0</v>
      </c>
      <c r="N83" s="992">
        <v>8.0</v>
      </c>
      <c r="O83" s="993" t="str">
        <f>HYPERLINK("https://www.strawpoll.me/19055282","Vote")</f>
        <v>Vote</v>
      </c>
    </row>
    <row r="84">
      <c r="A84" s="829"/>
      <c r="B84" s="632"/>
      <c r="C84" s="937" t="s">
        <v>1700</v>
      </c>
      <c r="D84" s="938" t="s">
        <v>1638</v>
      </c>
      <c r="E84" s="939">
        <v>3.0</v>
      </c>
      <c r="F84" s="939">
        <v>3.0</v>
      </c>
      <c r="G84" s="939">
        <v>5.0</v>
      </c>
      <c r="H84" s="958" t="str">
        <f>HYPERLINK("https://d15f34w2p8l1cc.cloudfront.net/hearthstone/6e9762d10f063d6941bdcb46b802c6775e06788cc0abedc2fd50dcb236982b0d.png","Image")</f>
        <v>Image</v>
      </c>
      <c r="I84" s="991">
        <f t="shared" si="12"/>
        <v>4</v>
      </c>
      <c r="J84" s="991">
        <f t="shared" si="13"/>
        <v>3.685714286</v>
      </c>
      <c r="K84" s="992">
        <v>0.0</v>
      </c>
      <c r="L84" s="992">
        <v>1.0</v>
      </c>
      <c r="M84" s="992">
        <v>9.0</v>
      </c>
      <c r="N84" s="992">
        <v>25.0</v>
      </c>
      <c r="O84" s="993" t="str">
        <f>HYPERLINK("https://www.strawpoll.me/19055283","Vote")</f>
        <v>Vote</v>
      </c>
    </row>
    <row r="85">
      <c r="A85" s="872"/>
      <c r="B85" s="793"/>
      <c r="C85" s="941" t="s">
        <v>1701</v>
      </c>
      <c r="D85" s="942" t="s">
        <v>27</v>
      </c>
      <c r="E85" s="943">
        <v>5.0</v>
      </c>
      <c r="F85" s="943">
        <v>5.0</v>
      </c>
      <c r="G85" s="943">
        <v>5.0</v>
      </c>
      <c r="H85" s="960" t="str">
        <f>HYPERLINK("https://d15f34w2p8l1cc.cloudfront.net/hearthstone/3c0bd81760dccc3fcdabc646a5d84886eeaf6b0a49a80a9a9464a62cf8d0db04.png","Image")</f>
        <v>Image</v>
      </c>
      <c r="I85" s="991">
        <f t="shared" si="12"/>
        <v>3</v>
      </c>
      <c r="J85" s="991">
        <f t="shared" si="13"/>
        <v>2.918918919</v>
      </c>
      <c r="K85" s="992">
        <v>0.0</v>
      </c>
      <c r="L85" s="992">
        <v>7.0</v>
      </c>
      <c r="M85" s="992">
        <v>26.0</v>
      </c>
      <c r="N85" s="992">
        <v>4.0</v>
      </c>
      <c r="O85" s="993" t="str">
        <f>HYPERLINK("https://www.strawpoll.me/19055284","Vote")</f>
        <v>Vote</v>
      </c>
    </row>
    <row r="86">
      <c r="A86" s="872"/>
      <c r="B86" s="632"/>
      <c r="C86" s="937" t="s">
        <v>1702</v>
      </c>
      <c r="D86" s="938" t="s">
        <v>71</v>
      </c>
      <c r="E86" s="939"/>
      <c r="F86" s="939"/>
      <c r="G86" s="939">
        <v>5.0</v>
      </c>
      <c r="H86" s="958" t="str">
        <f>HYPERLINK("https://d15f34w2p8l1cc.cloudfront.net/hearthstone/c07c6b4813de884e1bb49745404ef383fd02530554dee3b67c91fa6873a67662.png","Image")</f>
        <v>Image</v>
      </c>
      <c r="I86" s="991">
        <f t="shared" si="12"/>
        <v>3</v>
      </c>
      <c r="J86" s="991">
        <f t="shared" si="13"/>
        <v>3.057142857</v>
      </c>
      <c r="K86" s="992">
        <v>2.0</v>
      </c>
      <c r="L86" s="992">
        <v>4.0</v>
      </c>
      <c r="M86" s="992">
        <v>19.0</v>
      </c>
      <c r="N86" s="992">
        <v>10.0</v>
      </c>
      <c r="O86" s="993" t="str">
        <f>HYPERLINK("https://www.strawpoll.me/19055285","Vote")</f>
        <v>Vote</v>
      </c>
    </row>
    <row r="87">
      <c r="A87" s="829"/>
      <c r="B87" s="794"/>
      <c r="C87" s="941" t="s">
        <v>1703</v>
      </c>
      <c r="D87" s="942"/>
      <c r="E87" s="943">
        <v>5.0</v>
      </c>
      <c r="F87" s="943">
        <v>5.0</v>
      </c>
      <c r="G87" s="943">
        <v>5.0</v>
      </c>
      <c r="H87" s="960" t="str">
        <f>HYPERLINK("https://d15f34w2p8l1cc.cloudfront.net/hearthstone/535021e229a2aec5cba71c28d62d49790f52e6b2374ca2d46b9648363039f144.png","Image")</f>
        <v>Image</v>
      </c>
      <c r="I87" s="992">
        <v>1.0</v>
      </c>
      <c r="J87" s="991">
        <f t="shared" si="13"/>
        <v>1.621621622</v>
      </c>
      <c r="K87" s="992">
        <v>19.0</v>
      </c>
      <c r="L87" s="992">
        <v>15.0</v>
      </c>
      <c r="M87" s="992">
        <v>1.0</v>
      </c>
      <c r="N87" s="992">
        <v>2.0</v>
      </c>
      <c r="O87" s="993" t="str">
        <f>HYPERLINK("https://www.strawpoll.me/19055286","Vote")</f>
        <v>Vote</v>
      </c>
    </row>
    <row r="88">
      <c r="A88" s="872"/>
      <c r="B88" s="353"/>
      <c r="C88" s="945" t="s">
        <v>1704</v>
      </c>
      <c r="D88" s="946" t="s">
        <v>43</v>
      </c>
      <c r="E88" s="947">
        <v>5.0</v>
      </c>
      <c r="F88" s="948">
        <v>5.0</v>
      </c>
      <c r="G88" s="947">
        <v>6.0</v>
      </c>
      <c r="H88" s="1015" t="str">
        <f>HYPERLINK("https://d15f34w2p8l1cc.cloudfront.net/hearthstone/312b28e61c02c54051cae4b81e0b40bb4ae66c264ac6598baf449af9e4fb229c.png","Image")</f>
        <v>Image</v>
      </c>
      <c r="I88" s="991">
        <f t="shared" ref="I88:I89" si="14">ROUND(J88,0)</f>
        <v>2</v>
      </c>
      <c r="J88" s="991">
        <f t="shared" si="13"/>
        <v>1.648648649</v>
      </c>
      <c r="K88" s="992">
        <v>17.0</v>
      </c>
      <c r="L88" s="992">
        <v>17.0</v>
      </c>
      <c r="M88" s="992">
        <v>2.0</v>
      </c>
      <c r="N88" s="992">
        <v>1.0</v>
      </c>
      <c r="O88" s="993" t="str">
        <f>HYPERLINK("https://www.strawpoll.me/19055287","Vote")</f>
        <v>Vote</v>
      </c>
    </row>
    <row r="89">
      <c r="A89" s="829"/>
      <c r="B89" s="355"/>
      <c r="C89" s="864" t="s">
        <v>1705</v>
      </c>
      <c r="D89" s="865" t="s">
        <v>1682</v>
      </c>
      <c r="E89" s="859"/>
      <c r="F89" s="859"/>
      <c r="G89" s="859">
        <v>7.0</v>
      </c>
      <c r="H89" s="966" t="str">
        <f>HYPERLINK("https://d15f34w2p8l1cc.cloudfront.net/hearthstone/8081ef339e9ac987800f5e7580275aeb6e4829238f8bc1ec13cd625d2e9161d6.png","Image")</f>
        <v>Image</v>
      </c>
      <c r="I89" s="991">
        <f t="shared" si="14"/>
        <v>4</v>
      </c>
      <c r="J89" s="991">
        <f t="shared" si="13"/>
        <v>3.58974359</v>
      </c>
      <c r="K89" s="992">
        <v>2.0</v>
      </c>
      <c r="L89" s="992">
        <v>1.0</v>
      </c>
      <c r="M89" s="992">
        <v>8.0</v>
      </c>
      <c r="N89" s="992">
        <v>28.0</v>
      </c>
      <c r="O89" s="993" t="str">
        <f>HYPERLINK("https://www.strawpoll.me/19055288","Vote")</f>
        <v>Vote</v>
      </c>
    </row>
    <row r="90">
      <c r="A90" s="823"/>
      <c r="B90" s="605"/>
      <c r="C90" s="195" t="s">
        <v>123</v>
      </c>
      <c r="D90" s="82"/>
      <c r="E90" s="82"/>
      <c r="F90" s="82"/>
      <c r="G90" s="82"/>
      <c r="H90" s="96"/>
      <c r="I90" s="1011"/>
      <c r="J90" s="1011"/>
      <c r="K90" s="1012"/>
      <c r="L90" s="1012"/>
      <c r="M90" s="1012"/>
      <c r="N90" s="1012"/>
      <c r="O90" s="307"/>
    </row>
    <row r="91" ht="15.75" customHeight="1">
      <c r="A91" s="829"/>
      <c r="B91" s="636"/>
      <c r="C91" s="830"/>
      <c r="D91" s="831"/>
      <c r="E91" s="832"/>
      <c r="F91" s="832"/>
      <c r="G91" s="832"/>
      <c r="H91" s="1013"/>
      <c r="I91" s="1014" t="s">
        <v>1620</v>
      </c>
      <c r="J91" s="1014" t="s">
        <v>204</v>
      </c>
      <c r="K91" s="999"/>
      <c r="L91" s="999"/>
      <c r="M91" s="999"/>
      <c r="N91" s="999"/>
      <c r="O91" s="781"/>
    </row>
    <row r="92">
      <c r="A92" s="829"/>
      <c r="B92" s="950"/>
      <c r="C92" s="705" t="s">
        <v>1706</v>
      </c>
      <c r="D92" s="934" t="s">
        <v>60</v>
      </c>
      <c r="E92" s="185">
        <v>1.0</v>
      </c>
      <c r="F92" s="185">
        <v>1.0</v>
      </c>
      <c r="G92" s="185">
        <v>1.0</v>
      </c>
      <c r="H92" s="954" t="str">
        <f>HYPERLINK("https://d15f34w2p8l1cc.cloudfront.net/hearthstone/b0e6bb6593037d6c6ce7e21952f7d02dd223e70d2f521d5b65a9a5ad38815619.png","Image")</f>
        <v>Image</v>
      </c>
      <c r="I92" s="991">
        <f t="shared" ref="I92:I93" si="15">ROUND(J92,0)</f>
        <v>2</v>
      </c>
      <c r="J92" s="991">
        <f t="shared" ref="J92:J102" si="16">(K92*K$4+L92*L$4+M92*M$4+N92*N$4)/(K92+L92+M92+N92)</f>
        <v>2.142857143</v>
      </c>
      <c r="K92" s="992">
        <v>9.0</v>
      </c>
      <c r="L92" s="992">
        <v>13.0</v>
      </c>
      <c r="M92" s="992">
        <v>12.0</v>
      </c>
      <c r="N92" s="992">
        <v>1.0</v>
      </c>
      <c r="O92" s="993" t="str">
        <f>HYPERLINK("https://www.strawpoll.me/19055298","Vote")</f>
        <v>Vote</v>
      </c>
    </row>
    <row r="93">
      <c r="A93" s="829"/>
      <c r="B93" s="353"/>
      <c r="C93" s="935" t="s">
        <v>1707</v>
      </c>
      <c r="D93" s="936" t="s">
        <v>1673</v>
      </c>
      <c r="E93" s="855"/>
      <c r="F93" s="855"/>
      <c r="G93" s="855">
        <v>1.0</v>
      </c>
      <c r="H93" s="956" t="str">
        <f>HYPERLINK("https://d15f34w2p8l1cc.cloudfront.net/hearthstone/41e2d8fb352962f05c7e06331b96ffde683a269a91773e3636693fb9832e72d3.png","Image")</f>
        <v>Image</v>
      </c>
      <c r="I93" s="991">
        <f t="shared" si="15"/>
        <v>2</v>
      </c>
      <c r="J93" s="991">
        <f t="shared" si="16"/>
        <v>2.441176471</v>
      </c>
      <c r="K93" s="992">
        <v>4.0</v>
      </c>
      <c r="L93" s="992">
        <v>14.0</v>
      </c>
      <c r="M93" s="992">
        <v>13.0</v>
      </c>
      <c r="N93" s="992">
        <v>3.0</v>
      </c>
      <c r="O93" s="993" t="str">
        <f>HYPERLINK("https://www.strawpoll.me/19055302","Vote")</f>
        <v>Vote</v>
      </c>
    </row>
    <row r="94">
      <c r="A94" s="829"/>
      <c r="B94" s="632"/>
      <c r="C94" s="937" t="s">
        <v>1708</v>
      </c>
      <c r="D94" s="938" t="s">
        <v>71</v>
      </c>
      <c r="E94" s="939"/>
      <c r="F94" s="939"/>
      <c r="G94" s="939">
        <v>6.0</v>
      </c>
      <c r="H94" s="958" t="str">
        <f>HYPERLINK("https://d15f34w2p8l1cc.cloudfront.net/hearthstone/1c53e08125b01d67fb76adb3adb21e35cfbbfe74f677279c1ef120f8854ad338.png","Image")</f>
        <v>Image</v>
      </c>
      <c r="I94" s="992">
        <v>1.0</v>
      </c>
      <c r="J94" s="991">
        <f t="shared" si="16"/>
        <v>1.6875</v>
      </c>
      <c r="K94" s="992">
        <v>15.0</v>
      </c>
      <c r="L94" s="992">
        <v>13.0</v>
      </c>
      <c r="M94" s="992">
        <v>3.0</v>
      </c>
      <c r="N94" s="992">
        <v>1.0</v>
      </c>
      <c r="O94" s="993" t="str">
        <f>HYPERLINK("https://www.strawpoll.me/19055303","Vote")</f>
        <v>Vote</v>
      </c>
    </row>
    <row r="95">
      <c r="A95" s="829"/>
      <c r="B95" s="639"/>
      <c r="C95" s="941" t="s">
        <v>1709</v>
      </c>
      <c r="D95" s="942" t="s">
        <v>71</v>
      </c>
      <c r="E95" s="943"/>
      <c r="F95" s="943"/>
      <c r="G95" s="943">
        <v>1.0</v>
      </c>
      <c r="H95" s="960" t="str">
        <f>HYPERLINK("https://d15f34w2p8l1cc.cloudfront.net/hearthstone/6342dc1b16cd9896621b61a304eb44e6c5cee23f605a59790ed14747d18fbff9.png","Image")</f>
        <v>Image</v>
      </c>
      <c r="I95" s="991">
        <f t="shared" ref="I95:I101" si="17">ROUND(J95,0)</f>
        <v>2</v>
      </c>
      <c r="J95" s="991">
        <f t="shared" si="16"/>
        <v>1.545454545</v>
      </c>
      <c r="K95" s="992">
        <v>16.0</v>
      </c>
      <c r="L95" s="992">
        <v>16.0</v>
      </c>
      <c r="M95" s="992">
        <v>1.0</v>
      </c>
      <c r="N95" s="992">
        <v>0.0</v>
      </c>
      <c r="O95" s="993" t="str">
        <f>HYPERLINK("https://www.strawpoll.me/19055305","Vote")</f>
        <v>Vote</v>
      </c>
    </row>
    <row r="96">
      <c r="A96" s="829"/>
      <c r="B96" s="353"/>
      <c r="C96" s="935" t="s">
        <v>1710</v>
      </c>
      <c r="D96" s="936" t="s">
        <v>1673</v>
      </c>
      <c r="E96" s="855"/>
      <c r="F96" s="855"/>
      <c r="G96" s="855">
        <v>3.0</v>
      </c>
      <c r="H96" s="956" t="str">
        <f>HYPERLINK("https://d15f34w2p8l1cc.cloudfront.net/hearthstone/194fe34e1348242f9589aa0241ebe2037078c768cbde9ef7567e13481d000ac6.png","Image")</f>
        <v>Image</v>
      </c>
      <c r="I96" s="991">
        <f t="shared" si="17"/>
        <v>2</v>
      </c>
      <c r="J96" s="991">
        <f t="shared" si="16"/>
        <v>2.303030303</v>
      </c>
      <c r="K96" s="992">
        <v>4.0</v>
      </c>
      <c r="L96" s="992">
        <v>15.0</v>
      </c>
      <c r="M96" s="992">
        <v>14.0</v>
      </c>
      <c r="N96" s="992">
        <v>0.0</v>
      </c>
      <c r="O96" s="993" t="str">
        <f>HYPERLINK("https://www.strawpoll.me/19055307","Vote")</f>
        <v>Vote</v>
      </c>
    </row>
    <row r="97">
      <c r="A97" s="872"/>
      <c r="B97" s="632"/>
      <c r="C97" s="937" t="s">
        <v>1711</v>
      </c>
      <c r="D97" s="938"/>
      <c r="E97" s="939">
        <v>4.0</v>
      </c>
      <c r="F97" s="939">
        <v>4.0</v>
      </c>
      <c r="G97" s="939">
        <v>5.0</v>
      </c>
      <c r="H97" s="958" t="str">
        <f>HYPERLINK("https://d15f34w2p8l1cc.cloudfront.net/hearthstone/42192938e02f0adb12336bb4b9aa17b3dfaeb2947e03efa146614320316aee61.png","Image")</f>
        <v>Image</v>
      </c>
      <c r="I97" s="991">
        <f t="shared" si="17"/>
        <v>2</v>
      </c>
      <c r="J97" s="991">
        <f t="shared" si="16"/>
        <v>1.588235294</v>
      </c>
      <c r="K97" s="992">
        <v>16.0</v>
      </c>
      <c r="L97" s="992">
        <v>16.0</v>
      </c>
      <c r="M97" s="992">
        <v>2.0</v>
      </c>
      <c r="N97" s="992">
        <v>0.0</v>
      </c>
      <c r="O97" s="993" t="str">
        <f>HYPERLINK("https://www.strawpoll.me/19055309","Vote")</f>
        <v>Vote</v>
      </c>
    </row>
    <row r="98">
      <c r="A98" s="829"/>
      <c r="B98" s="793"/>
      <c r="C98" s="941" t="s">
        <v>1712</v>
      </c>
      <c r="D98" s="942"/>
      <c r="E98" s="943">
        <v>2.0</v>
      </c>
      <c r="F98" s="943">
        <v>5.0</v>
      </c>
      <c r="G98" s="943">
        <v>4.0</v>
      </c>
      <c r="H98" s="960" t="str">
        <f>HYPERLINK("https://d15f34w2p8l1cc.cloudfront.net/hearthstone/9accbde3a60a1afd91cd0cdc61b039d89543a58f38021b68a098bfa010f0ab0c.png","Image")</f>
        <v>Image</v>
      </c>
      <c r="I98" s="991">
        <f t="shared" si="17"/>
        <v>3</v>
      </c>
      <c r="J98" s="991">
        <f t="shared" si="16"/>
        <v>2.75</v>
      </c>
      <c r="K98" s="992">
        <v>3.0</v>
      </c>
      <c r="L98" s="992">
        <v>12.0</v>
      </c>
      <c r="M98" s="992">
        <v>12.0</v>
      </c>
      <c r="N98" s="992">
        <v>9.0</v>
      </c>
      <c r="O98" s="993" t="str">
        <f>HYPERLINK("https://www.strawpoll.me/19055311","Vote")</f>
        <v>Vote</v>
      </c>
    </row>
    <row r="99">
      <c r="A99" s="829"/>
      <c r="B99" s="632"/>
      <c r="C99" s="937" t="s">
        <v>1713</v>
      </c>
      <c r="D99" s="938"/>
      <c r="E99" s="939">
        <v>3.0</v>
      </c>
      <c r="F99" s="939">
        <v>3.0</v>
      </c>
      <c r="G99" s="939">
        <v>4.0</v>
      </c>
      <c r="H99" s="958" t="str">
        <f>HYPERLINK("https://d15f34w2p8l1cc.cloudfront.net/hearthstone/0518dd7a2749babafbf626d5075e4be163a006d772b99a1681cbf95a33a95343.png","Image")</f>
        <v>Image</v>
      </c>
      <c r="I99" s="991">
        <f t="shared" si="17"/>
        <v>3</v>
      </c>
      <c r="J99" s="991">
        <f t="shared" si="16"/>
        <v>2.705882353</v>
      </c>
      <c r="K99" s="992">
        <v>2.0</v>
      </c>
      <c r="L99" s="992">
        <v>9.0</v>
      </c>
      <c r="M99" s="992">
        <v>20.0</v>
      </c>
      <c r="N99" s="992">
        <v>3.0</v>
      </c>
      <c r="O99" s="993" t="str">
        <f>HYPERLINK("https://www.strawpoll.me/19055313","Vote")</f>
        <v>Vote</v>
      </c>
    </row>
    <row r="100">
      <c r="A100" s="829"/>
      <c r="B100" s="794"/>
      <c r="C100" s="941" t="s">
        <v>1714</v>
      </c>
      <c r="D100" s="942" t="s">
        <v>43</v>
      </c>
      <c r="E100" s="943">
        <v>7.0</v>
      </c>
      <c r="F100" s="943">
        <v>5.0</v>
      </c>
      <c r="G100" s="943">
        <v>5.0</v>
      </c>
      <c r="H100" s="960" t="str">
        <f>HYPERLINK("https://d15f34w2p8l1cc.cloudfront.net/hearthstone/dd355fb6e8c48be0f441f90ec246cb73a798afb1f3dd6951695f48792376e7ca.png","Image")</f>
        <v>Image</v>
      </c>
      <c r="I100" s="991">
        <f t="shared" si="17"/>
        <v>2</v>
      </c>
      <c r="J100" s="991">
        <f t="shared" si="16"/>
        <v>1.974358974</v>
      </c>
      <c r="K100" s="992">
        <v>12.0</v>
      </c>
      <c r="L100" s="992">
        <v>18.0</v>
      </c>
      <c r="M100" s="992">
        <v>7.0</v>
      </c>
      <c r="N100" s="992">
        <v>2.0</v>
      </c>
      <c r="O100" s="993" t="str">
        <f>HYPERLINK("https://www.strawpoll.me/19055314","Vote")</f>
        <v>Vote</v>
      </c>
    </row>
    <row r="101">
      <c r="A101" s="829"/>
      <c r="B101" s="353"/>
      <c r="C101" s="945" t="s">
        <v>1715</v>
      </c>
      <c r="D101" s="946"/>
      <c r="E101" s="947">
        <v>4.0</v>
      </c>
      <c r="F101" s="948">
        <v>4.0</v>
      </c>
      <c r="G101" s="947">
        <v>6.0</v>
      </c>
      <c r="H101" s="1015" t="str">
        <f>HYPERLINK("https://d15f34w2p8l1cc.cloudfront.net/hearthstone/afe616b2d28f7fe192c755ff880c1dc27431ef4c83b3ecfa969a587649ae9644.png","Image")</f>
        <v>Image</v>
      </c>
      <c r="I101" s="991">
        <f t="shared" si="17"/>
        <v>3</v>
      </c>
      <c r="J101" s="991">
        <f t="shared" si="16"/>
        <v>2.722222222</v>
      </c>
      <c r="K101" s="992">
        <v>2.0</v>
      </c>
      <c r="L101" s="992">
        <v>8.0</v>
      </c>
      <c r="M101" s="992">
        <v>24.0</v>
      </c>
      <c r="N101" s="992">
        <v>2.0</v>
      </c>
      <c r="O101" s="993" t="str">
        <f>HYPERLINK("https://www.strawpoll.me/19055315","Vote")</f>
        <v>Vote</v>
      </c>
    </row>
    <row r="102">
      <c r="A102" s="829"/>
      <c r="B102" s="355"/>
      <c r="C102" s="864" t="s">
        <v>1716</v>
      </c>
      <c r="D102" s="865" t="s">
        <v>1682</v>
      </c>
      <c r="E102" s="859"/>
      <c r="F102" s="859"/>
      <c r="G102" s="859">
        <v>7.0</v>
      </c>
      <c r="H102" s="966" t="str">
        <f>HYPERLINK("https://d15f34w2p8l1cc.cloudfront.net/hearthstone/c475a2ac5dc4a3a6c8240ed8f10a1c25952d3736533eb532c539d75dca905e45.png","Image")</f>
        <v>Image</v>
      </c>
      <c r="I102" s="992">
        <v>4.0</v>
      </c>
      <c r="J102" s="991">
        <f t="shared" si="16"/>
        <v>3.184210526</v>
      </c>
      <c r="K102" s="992">
        <v>3.0</v>
      </c>
      <c r="L102" s="992">
        <v>5.0</v>
      </c>
      <c r="M102" s="992">
        <v>12.0</v>
      </c>
      <c r="N102" s="992">
        <v>18.0</v>
      </c>
      <c r="O102" s="993" t="str">
        <f>HYPERLINK("https://www.strawpoll.me/19055317","Vote")</f>
        <v>Vote</v>
      </c>
    </row>
    <row r="103">
      <c r="A103" s="823"/>
      <c r="B103" s="605"/>
      <c r="C103" s="195" t="s">
        <v>135</v>
      </c>
      <c r="D103" s="82"/>
      <c r="E103" s="82"/>
      <c r="F103" s="82"/>
      <c r="G103" s="82"/>
      <c r="H103" s="96"/>
      <c r="I103" s="1011"/>
      <c r="J103" s="1011"/>
      <c r="K103" s="1012"/>
      <c r="L103" s="1012"/>
      <c r="M103" s="1012"/>
      <c r="N103" s="1012"/>
      <c r="O103" s="307"/>
    </row>
    <row r="104" ht="15.75" customHeight="1">
      <c r="A104" s="872"/>
      <c r="B104" s="636"/>
      <c r="C104" s="830"/>
      <c r="D104" s="831"/>
      <c r="E104" s="832"/>
      <c r="F104" s="832"/>
      <c r="G104" s="832"/>
      <c r="H104" s="1013"/>
      <c r="I104" s="1014" t="s">
        <v>1620</v>
      </c>
      <c r="J104" s="1014" t="s">
        <v>204</v>
      </c>
      <c r="K104" s="999"/>
      <c r="L104" s="999"/>
      <c r="M104" s="999"/>
      <c r="N104" s="999"/>
      <c r="O104" s="781"/>
    </row>
    <row r="105">
      <c r="A105" s="872"/>
      <c r="B105" s="950"/>
      <c r="C105" s="953" t="s">
        <v>1717</v>
      </c>
      <c r="D105" s="934" t="s">
        <v>1718</v>
      </c>
      <c r="E105" s="185"/>
      <c r="F105" s="185"/>
      <c r="G105" s="185">
        <v>1.0</v>
      </c>
      <c r="H105" s="954" t="str">
        <f>HYPERLINK("https://d15f34w2p8l1cc.cloudfront.net/hearthstone/8a94f59995c69c494ed9329e7ca96aa4148faa71d58082e5fb261fc0a1c80339.png","Image")</f>
        <v>Image</v>
      </c>
      <c r="I105" s="991">
        <f t="shared" ref="I105:I110" si="18">ROUND(J105,0)</f>
        <v>1</v>
      </c>
      <c r="J105" s="991">
        <f t="shared" ref="J105:J114" si="19">(K105*K$4+L105*L$4+M105*M$4+N105*N$4)/(K105+L105+M105+N105)</f>
        <v>1.342857143</v>
      </c>
      <c r="K105" s="992">
        <v>28.0</v>
      </c>
      <c r="L105" s="992">
        <v>4.0</v>
      </c>
      <c r="M105" s="992">
        <v>1.0</v>
      </c>
      <c r="N105" s="992">
        <v>2.0</v>
      </c>
      <c r="O105" s="993" t="str">
        <f>HYPERLINK("https://www.strawpoll.me/19055319","Vote")</f>
        <v>Vote</v>
      </c>
    </row>
    <row r="106">
      <c r="A106" s="829"/>
      <c r="B106" s="353"/>
      <c r="C106" s="955" t="s">
        <v>1719</v>
      </c>
      <c r="D106" s="936"/>
      <c r="E106" s="855">
        <v>1.0</v>
      </c>
      <c r="F106" s="855">
        <v>1.0</v>
      </c>
      <c r="G106" s="855">
        <v>2.0</v>
      </c>
      <c r="H106" s="956" t="str">
        <f>HYPERLINK("https://d15f34w2p8l1cc.cloudfront.net/hearthstone/e6e2f6589bcd60d1b5b9eb1c176bba66013bb50e14696ee8e7e4d4166533abbe.png","Image")</f>
        <v>Image</v>
      </c>
      <c r="I106" s="991">
        <f t="shared" si="18"/>
        <v>2</v>
      </c>
      <c r="J106" s="991">
        <f t="shared" si="19"/>
        <v>1.870967742</v>
      </c>
      <c r="K106" s="992">
        <v>7.0</v>
      </c>
      <c r="L106" s="992">
        <v>21.0</v>
      </c>
      <c r="M106" s="992">
        <v>3.0</v>
      </c>
      <c r="N106" s="992">
        <v>0.0</v>
      </c>
      <c r="O106" s="993" t="str">
        <f>HYPERLINK("https://www.strawpoll.me/19055320","Vote")</f>
        <v>Vote</v>
      </c>
    </row>
    <row r="107">
      <c r="A107" s="872"/>
      <c r="B107" s="353"/>
      <c r="C107" s="957" t="s">
        <v>1720</v>
      </c>
      <c r="D107" s="938" t="s">
        <v>43</v>
      </c>
      <c r="E107" s="939">
        <v>4.0</v>
      </c>
      <c r="F107" s="939">
        <v>8.0</v>
      </c>
      <c r="G107" s="939">
        <v>6.0</v>
      </c>
      <c r="H107" s="958" t="str">
        <f>HYPERLINK("https://d15f34w2p8l1cc.cloudfront.net/hearthstone/a29fb5768833726adaf196f592c65926806c967fffe7a3e309289c4e7ee806a9.png","Image")</f>
        <v>Image</v>
      </c>
      <c r="I107" s="991">
        <f t="shared" si="18"/>
        <v>3</v>
      </c>
      <c r="J107" s="991">
        <f t="shared" si="19"/>
        <v>3.371428571</v>
      </c>
      <c r="K107" s="992">
        <v>0.0</v>
      </c>
      <c r="L107" s="992">
        <v>3.0</v>
      </c>
      <c r="M107" s="992">
        <v>16.0</v>
      </c>
      <c r="N107" s="992">
        <v>16.0</v>
      </c>
      <c r="O107" s="993" t="str">
        <f>HYPERLINK("https://www.strawpoll.me/19055324","Vote")</f>
        <v>Vote</v>
      </c>
    </row>
    <row r="108">
      <c r="A108" s="829"/>
      <c r="B108" s="637"/>
      <c r="C108" s="959" t="s">
        <v>1721</v>
      </c>
      <c r="D108" s="942" t="s">
        <v>71</v>
      </c>
      <c r="E108" s="943"/>
      <c r="F108" s="943"/>
      <c r="G108" s="943">
        <v>1.0</v>
      </c>
      <c r="H108" s="960" t="str">
        <f>HYPERLINK("https://d15f34w2p8l1cc.cloudfront.net/hearthstone/1d1bb1f34f99f0a7f017d8b4f55a061e80c7b4e711166ee072cfc4528533ec93.png","Image")</f>
        <v>Image</v>
      </c>
      <c r="I108" s="991">
        <f t="shared" si="18"/>
        <v>2</v>
      </c>
      <c r="J108" s="991">
        <f t="shared" si="19"/>
        <v>2.21875</v>
      </c>
      <c r="K108" s="992">
        <v>3.0</v>
      </c>
      <c r="L108" s="992">
        <v>19.0</v>
      </c>
      <c r="M108" s="992">
        <v>10.0</v>
      </c>
      <c r="N108" s="992">
        <v>0.0</v>
      </c>
      <c r="O108" s="993" t="str">
        <f>HYPERLINK("https://www.strawpoll.me/19055326","Vote")</f>
        <v>Vote</v>
      </c>
    </row>
    <row r="109">
      <c r="A109" s="829"/>
      <c r="B109" s="353"/>
      <c r="C109" s="955" t="s">
        <v>1722</v>
      </c>
      <c r="D109" s="936" t="s">
        <v>71</v>
      </c>
      <c r="E109" s="855"/>
      <c r="F109" s="855"/>
      <c r="G109" s="855">
        <v>2.0</v>
      </c>
      <c r="H109" s="956" t="str">
        <f>HYPERLINK("https://d15f34w2p8l1cc.cloudfront.net/hearthstone/cbae1a686d55e7d4b0ceb722d6c9d791d746c75b821cf2349046bd126696eed6.png","Image")</f>
        <v>Image</v>
      </c>
      <c r="I109" s="991">
        <f t="shared" si="18"/>
        <v>4</v>
      </c>
      <c r="J109" s="991">
        <f t="shared" si="19"/>
        <v>3.787878788</v>
      </c>
      <c r="K109" s="992">
        <v>0.0</v>
      </c>
      <c r="L109" s="992">
        <v>2.0</v>
      </c>
      <c r="M109" s="992">
        <v>3.0</v>
      </c>
      <c r="N109" s="992">
        <v>28.0</v>
      </c>
      <c r="O109" s="993" t="str">
        <f>HYPERLINK("https://www.strawpoll.me/19055329","Vote")</f>
        <v>Vote</v>
      </c>
    </row>
    <row r="110">
      <c r="A110" s="829"/>
      <c r="B110" s="353"/>
      <c r="C110" s="957" t="s">
        <v>1723</v>
      </c>
      <c r="D110" s="938" t="s">
        <v>71</v>
      </c>
      <c r="E110" s="939"/>
      <c r="F110" s="939"/>
      <c r="G110" s="939">
        <v>5.0</v>
      </c>
      <c r="H110" s="958" t="str">
        <f>HYPERLINK("https://d15f34w2p8l1cc.cloudfront.net/hearthstone/16586a5692f68fb9a35534b28f9cea8736b760486daf983f9022870b94c49fbe.png","Image")</f>
        <v>Image</v>
      </c>
      <c r="I110" s="991">
        <f t="shared" si="18"/>
        <v>2</v>
      </c>
      <c r="J110" s="991">
        <f t="shared" si="19"/>
        <v>2.419354839</v>
      </c>
      <c r="K110" s="992">
        <v>3.0</v>
      </c>
      <c r="L110" s="992">
        <v>14.0</v>
      </c>
      <c r="M110" s="992">
        <v>12.0</v>
      </c>
      <c r="N110" s="992">
        <v>2.0</v>
      </c>
      <c r="O110" s="993" t="str">
        <f>HYPERLINK("https://www.strawpoll.me/19055330","Vote")</f>
        <v>Vote</v>
      </c>
    </row>
    <row r="111">
      <c r="A111" s="829"/>
      <c r="B111" s="961"/>
      <c r="C111" s="959" t="s">
        <v>1724</v>
      </c>
      <c r="D111" s="942" t="s">
        <v>71</v>
      </c>
      <c r="E111" s="943"/>
      <c r="F111" s="943"/>
      <c r="G111" s="943">
        <v>0.0</v>
      </c>
      <c r="H111" s="960" t="str">
        <f>HYPERLINK("https://d15f34w2p8l1cc.cloudfront.net/hearthstone/686a8a44aa30fcfdf001f1f19eba612b9351d74397d60d360d1b277677523bfa.png","Image")</f>
        <v>Image</v>
      </c>
      <c r="I111" s="992">
        <v>1.0</v>
      </c>
      <c r="J111" s="991">
        <f t="shared" si="19"/>
        <v>2.125</v>
      </c>
      <c r="K111" s="992">
        <v>13.0</v>
      </c>
      <c r="L111" s="992">
        <v>6.0</v>
      </c>
      <c r="M111" s="992">
        <v>9.0</v>
      </c>
      <c r="N111" s="992">
        <v>4.0</v>
      </c>
      <c r="O111" s="993" t="str">
        <f>HYPERLINK("https://www.strawpoll.me/19055332","Vote")</f>
        <v>Vote</v>
      </c>
    </row>
    <row r="112">
      <c r="A112" s="829"/>
      <c r="B112" s="353"/>
      <c r="C112" s="957" t="s">
        <v>1725</v>
      </c>
      <c r="D112" s="938" t="s">
        <v>1718</v>
      </c>
      <c r="E112" s="939"/>
      <c r="F112" s="939"/>
      <c r="G112" s="939">
        <v>1.0</v>
      </c>
      <c r="H112" s="958" t="str">
        <f>HYPERLINK("https://d15f34w2p8l1cc.cloudfront.net/hearthstone/9d54d6da0a9f72467dc8b1d224b62194db020f44126cf19ff06e431411ca4cb5.png","Image")</f>
        <v>Image</v>
      </c>
      <c r="I112" s="991">
        <f t="shared" ref="I112:I114" si="20">ROUND(J112,0)</f>
        <v>1</v>
      </c>
      <c r="J112" s="991">
        <f t="shared" si="19"/>
        <v>1.266666667</v>
      </c>
      <c r="K112" s="992">
        <v>23.0</v>
      </c>
      <c r="L112" s="992">
        <v>6.0</v>
      </c>
      <c r="M112" s="992">
        <v>1.0</v>
      </c>
      <c r="N112" s="992">
        <v>0.0</v>
      </c>
      <c r="O112" s="993" t="str">
        <f>HYPERLINK("https://www.strawpoll.me/19055333","Vote")</f>
        <v>Vote</v>
      </c>
    </row>
    <row r="113">
      <c r="A113" s="872"/>
      <c r="B113" s="962"/>
      <c r="C113" s="959" t="s">
        <v>1726</v>
      </c>
      <c r="D113" s="942"/>
      <c r="E113" s="943">
        <v>5.0</v>
      </c>
      <c r="F113" s="943">
        <v>10.0</v>
      </c>
      <c r="G113" s="943">
        <v>7.0</v>
      </c>
      <c r="H113" s="960" t="str">
        <f>HYPERLINK("https://d15f34w2p8l1cc.cloudfront.net/hearthstone/fb0c1acaf0d48f704fdf419f4a40bb70ed8539f20a7336a74ba92b940997e518.png","Image")</f>
        <v>Image</v>
      </c>
      <c r="I113" s="991">
        <f t="shared" si="20"/>
        <v>2</v>
      </c>
      <c r="J113" s="991">
        <f t="shared" si="19"/>
        <v>1.823529412</v>
      </c>
      <c r="K113" s="992">
        <v>13.0</v>
      </c>
      <c r="L113" s="992">
        <v>15.0</v>
      </c>
      <c r="M113" s="992">
        <v>5.0</v>
      </c>
      <c r="N113" s="992">
        <v>1.0</v>
      </c>
      <c r="O113" s="993" t="str">
        <f>HYPERLINK("https://www.strawpoll.me/19055334","Vote")</f>
        <v>Vote</v>
      </c>
    </row>
    <row r="114">
      <c r="A114" s="872"/>
      <c r="B114" s="355"/>
      <c r="C114" s="963" t="s">
        <v>1727</v>
      </c>
      <c r="D114" s="964" t="s">
        <v>43</v>
      </c>
      <c r="E114" s="859">
        <v>4.0</v>
      </c>
      <c r="F114" s="965">
        <v>12.0</v>
      </c>
      <c r="G114" s="859">
        <v>9.0</v>
      </c>
      <c r="H114" s="966" t="str">
        <f>HYPERLINK("https://d15f34w2p8l1cc.cloudfront.net/hearthstone/f770baf3dbc0642256a6d903eeee6efede121132abe8bd281b0386f225d80d33.png","Image")</f>
        <v>Image</v>
      </c>
      <c r="I114" s="991">
        <f t="shared" si="20"/>
        <v>3</v>
      </c>
      <c r="J114" s="991">
        <f t="shared" si="19"/>
        <v>2.805555556</v>
      </c>
      <c r="K114" s="992">
        <v>2.0</v>
      </c>
      <c r="L114" s="992">
        <v>6.0</v>
      </c>
      <c r="M114" s="992">
        <v>25.0</v>
      </c>
      <c r="N114" s="992">
        <v>3.0</v>
      </c>
      <c r="O114" s="993" t="str">
        <f>HYPERLINK("https://www.strawpoll.me/19055336","Vote")</f>
        <v>Vote</v>
      </c>
    </row>
    <row r="115">
      <c r="A115" s="883"/>
      <c r="B115" s="824"/>
      <c r="C115" s="195" t="s">
        <v>147</v>
      </c>
      <c r="D115" s="82"/>
      <c r="E115" s="82"/>
      <c r="F115" s="82"/>
      <c r="G115" s="82"/>
      <c r="H115" s="96"/>
      <c r="I115" s="1011"/>
      <c r="J115" s="1011"/>
      <c r="K115" s="1012"/>
      <c r="L115" s="1012"/>
      <c r="M115" s="1012"/>
      <c r="N115" s="1012"/>
      <c r="O115" s="307"/>
    </row>
    <row r="116" ht="15.75" customHeight="1">
      <c r="A116" s="872"/>
      <c r="B116" s="636"/>
      <c r="C116" s="830"/>
      <c r="D116" s="831"/>
      <c r="E116" s="832"/>
      <c r="F116" s="832"/>
      <c r="G116" s="832"/>
      <c r="H116" s="1013"/>
      <c r="I116" s="1014" t="s">
        <v>1620</v>
      </c>
      <c r="J116" s="1014" t="s">
        <v>204</v>
      </c>
      <c r="K116" s="999"/>
      <c r="L116" s="999"/>
      <c r="M116" s="999"/>
      <c r="N116" s="999"/>
      <c r="O116" s="781"/>
    </row>
    <row r="117">
      <c r="A117" s="872"/>
      <c r="B117" s="950"/>
      <c r="C117" s="953" t="s">
        <v>1728</v>
      </c>
      <c r="D117" s="934"/>
      <c r="E117" s="185">
        <v>1.0</v>
      </c>
      <c r="F117" s="185">
        <v>3.0</v>
      </c>
      <c r="G117" s="185">
        <v>1.0</v>
      </c>
      <c r="H117" s="954" t="str">
        <f>HYPERLINK("https://d15f34w2p8l1cc.cloudfront.net/hearthstone/e93de3547a7a7382187dd388634c0b1dbb84243780926e650b03c4dd14b92566.png","Image")</f>
        <v>Image</v>
      </c>
      <c r="I117" s="991">
        <f t="shared" ref="I117:I125" si="21">ROUND(J117,0)</f>
        <v>3</v>
      </c>
      <c r="J117" s="991">
        <f t="shared" ref="J117:J126" si="22">(K117*K$4+L117*L$4+M117*M$4+N117*N$4)/(K117+L117+M117+N117)</f>
        <v>2.65625</v>
      </c>
      <c r="K117" s="992">
        <v>3.0</v>
      </c>
      <c r="L117" s="992">
        <v>8.0</v>
      </c>
      <c r="M117" s="992">
        <v>18.0</v>
      </c>
      <c r="N117" s="992">
        <v>3.0</v>
      </c>
      <c r="O117" s="993" t="str">
        <f>HYPERLINK("https://www.strawpoll.me/19055337","Vote")</f>
        <v>Vote</v>
      </c>
    </row>
    <row r="118">
      <c r="A118" s="872"/>
      <c r="B118" s="353"/>
      <c r="C118" s="955" t="s">
        <v>1729</v>
      </c>
      <c r="D118" s="936" t="s">
        <v>71</v>
      </c>
      <c r="E118" s="855"/>
      <c r="F118" s="855"/>
      <c r="G118" s="855">
        <v>2.0</v>
      </c>
      <c r="H118" s="956" t="str">
        <f>HYPERLINK("https://d15f34w2p8l1cc.cloudfront.net/hearthstone/636b037311471c66b694ed810794a05b7675b871486eb5fb1dd2d888813fe522.png","Image")</f>
        <v>Image</v>
      </c>
      <c r="I118" s="991">
        <f t="shared" si="21"/>
        <v>3</v>
      </c>
      <c r="J118" s="991">
        <f t="shared" si="22"/>
        <v>2.517241379</v>
      </c>
      <c r="K118" s="992">
        <v>1.0</v>
      </c>
      <c r="L118" s="992">
        <v>13.0</v>
      </c>
      <c r="M118" s="992">
        <v>14.0</v>
      </c>
      <c r="N118" s="992">
        <v>1.0</v>
      </c>
      <c r="O118" s="993" t="str">
        <f>HYPERLINK("https://www.strawpoll.me/19055338","Vote")</f>
        <v>Vote</v>
      </c>
    </row>
    <row r="119">
      <c r="A119" s="872"/>
      <c r="B119" s="353"/>
      <c r="C119" s="957" t="s">
        <v>1730</v>
      </c>
      <c r="D119" s="938" t="s">
        <v>43</v>
      </c>
      <c r="E119" s="939">
        <v>2.0</v>
      </c>
      <c r="F119" s="939">
        <v>3.0</v>
      </c>
      <c r="G119" s="939">
        <v>3.0</v>
      </c>
      <c r="H119" s="958" t="str">
        <f>HYPERLINK("https://d15f34w2p8l1cc.cloudfront.net/hearthstone/90eec5b9fec67ac72b15d5b4f289b62a66e7c7294b276bda65f06f6b7f98be3e.png","Image")</f>
        <v>Image</v>
      </c>
      <c r="I119" s="991">
        <f t="shared" si="21"/>
        <v>3</v>
      </c>
      <c r="J119" s="991">
        <f t="shared" si="22"/>
        <v>2.571428571</v>
      </c>
      <c r="K119" s="992">
        <v>2.0</v>
      </c>
      <c r="L119" s="992">
        <v>8.0</v>
      </c>
      <c r="M119" s="992">
        <v>18.0</v>
      </c>
      <c r="N119" s="992">
        <v>0.0</v>
      </c>
      <c r="O119" s="993" t="str">
        <f>HYPERLINK("https://www.strawpoll.me/19055339","Vote")</f>
        <v>Vote</v>
      </c>
    </row>
    <row r="120">
      <c r="A120" s="872"/>
      <c r="B120" s="637"/>
      <c r="C120" s="959" t="s">
        <v>1731</v>
      </c>
      <c r="D120" s="942" t="s">
        <v>1718</v>
      </c>
      <c r="E120" s="943"/>
      <c r="F120" s="943"/>
      <c r="G120" s="943">
        <v>1.0</v>
      </c>
      <c r="H120" s="960" t="str">
        <f>HYPERLINK("https://d15f34w2p8l1cc.cloudfront.net/hearthstone/7a943a8ab16977c93bdf18228ee5914a1a5abddeeccce0f4d77845fe242148b6.png","Image")</f>
        <v>Image</v>
      </c>
      <c r="I120" s="991">
        <f t="shared" si="21"/>
        <v>2</v>
      </c>
      <c r="J120" s="991">
        <f t="shared" si="22"/>
        <v>1.666666667</v>
      </c>
      <c r="K120" s="992">
        <v>13.0</v>
      </c>
      <c r="L120" s="992">
        <v>14.0</v>
      </c>
      <c r="M120" s="992">
        <v>3.0</v>
      </c>
      <c r="N120" s="992">
        <v>0.0</v>
      </c>
      <c r="O120" s="993" t="str">
        <f>HYPERLINK("https://www.strawpoll.me/19055341","Vote")</f>
        <v>Vote</v>
      </c>
    </row>
    <row r="121">
      <c r="A121" s="872"/>
      <c r="B121" s="353"/>
      <c r="C121" s="955" t="s">
        <v>1732</v>
      </c>
      <c r="D121" s="936" t="s">
        <v>22</v>
      </c>
      <c r="E121" s="855">
        <v>2.0</v>
      </c>
      <c r="F121" s="855">
        <v>3.0</v>
      </c>
      <c r="G121" s="855">
        <v>2.0</v>
      </c>
      <c r="H121" s="956" t="str">
        <f>HYPERLINK("https://d15f34w2p8l1cc.cloudfront.net/hearthstone/6481a51be26cef81202a2b8c9c50ff9b18e6806147b577b415531fb9fe29562e.png","Image")</f>
        <v>Image</v>
      </c>
      <c r="I121" s="991">
        <f t="shared" si="21"/>
        <v>2</v>
      </c>
      <c r="J121" s="991">
        <f t="shared" si="22"/>
        <v>1.896551724</v>
      </c>
      <c r="K121" s="992">
        <v>7.0</v>
      </c>
      <c r="L121" s="992">
        <v>18.0</v>
      </c>
      <c r="M121" s="992">
        <v>4.0</v>
      </c>
      <c r="N121" s="992">
        <v>0.0</v>
      </c>
      <c r="O121" s="993" t="str">
        <f>HYPERLINK("https://www.strawpoll.me/19055343","Vote")</f>
        <v>Vote</v>
      </c>
    </row>
    <row r="122">
      <c r="A122" s="872"/>
      <c r="B122" s="353"/>
      <c r="C122" s="957" t="s">
        <v>1733</v>
      </c>
      <c r="D122" s="938" t="s">
        <v>22</v>
      </c>
      <c r="E122" s="939">
        <v>4.0</v>
      </c>
      <c r="F122" s="939">
        <v>1.0</v>
      </c>
      <c r="G122" s="939">
        <v>3.0</v>
      </c>
      <c r="H122" s="958" t="str">
        <f>HYPERLINK("https://d15f34w2p8l1cc.cloudfront.net/hearthstone/018f70757abccb57493445c0c99bac61b028cd41cf14b2b3503939b5c1d93ae5.png","Image")</f>
        <v>Image</v>
      </c>
      <c r="I122" s="991">
        <f t="shared" si="21"/>
        <v>3</v>
      </c>
      <c r="J122" s="991">
        <f t="shared" si="22"/>
        <v>3.068965517</v>
      </c>
      <c r="K122" s="992">
        <v>0.0</v>
      </c>
      <c r="L122" s="992">
        <v>4.0</v>
      </c>
      <c r="M122" s="992">
        <v>19.0</v>
      </c>
      <c r="N122" s="992">
        <v>6.0</v>
      </c>
      <c r="O122" s="993" t="str">
        <f>HYPERLINK("https://www.strawpoll.me/19055345","Vote")</f>
        <v>Vote</v>
      </c>
    </row>
    <row r="123">
      <c r="A123" s="872"/>
      <c r="B123" s="961"/>
      <c r="C123" s="959" t="s">
        <v>1734</v>
      </c>
      <c r="D123" s="942" t="s">
        <v>1718</v>
      </c>
      <c r="E123" s="943"/>
      <c r="F123" s="943"/>
      <c r="G123" s="943">
        <v>1.0</v>
      </c>
      <c r="H123" s="960" t="str">
        <f>HYPERLINK("https://d15f34w2p8l1cc.cloudfront.net/hearthstone/5bddb8a4213c582af1af98e77b9aca1d3ddf51bd3c0cfcc6f5256b1df4ebbf22.png","Image")</f>
        <v>Image</v>
      </c>
      <c r="I123" s="991">
        <f t="shared" si="21"/>
        <v>1</v>
      </c>
      <c r="J123" s="991">
        <f t="shared" si="22"/>
        <v>1.35483871</v>
      </c>
      <c r="K123" s="992">
        <v>23.0</v>
      </c>
      <c r="L123" s="992">
        <v>5.0</v>
      </c>
      <c r="M123" s="992">
        <v>3.0</v>
      </c>
      <c r="N123" s="992">
        <v>0.0</v>
      </c>
      <c r="O123" s="993" t="str">
        <f>HYPERLINK("https://www.strawpoll.me/19055346","Vote")</f>
        <v>Vote</v>
      </c>
    </row>
    <row r="124">
      <c r="A124" s="872"/>
      <c r="B124" s="353"/>
      <c r="C124" s="957" t="s">
        <v>1735</v>
      </c>
      <c r="D124" s="938" t="s">
        <v>77</v>
      </c>
      <c r="E124" s="939">
        <v>3.0</v>
      </c>
      <c r="F124" s="939">
        <v>2.0</v>
      </c>
      <c r="G124" s="939">
        <v>3.0</v>
      </c>
      <c r="H124" s="958" t="str">
        <f>HYPERLINK("https://d15f34w2p8l1cc.cloudfront.net/hearthstone/cac10939c83442b9cfe06c9ea0e892edc027c0374ad701eeb2c7848604252804.png","Image")</f>
        <v>Image</v>
      </c>
      <c r="I124" s="991">
        <f t="shared" si="21"/>
        <v>2</v>
      </c>
      <c r="J124" s="991">
        <f t="shared" si="22"/>
        <v>2.466666667</v>
      </c>
      <c r="K124" s="992">
        <v>3.0</v>
      </c>
      <c r="L124" s="992">
        <v>13.0</v>
      </c>
      <c r="M124" s="992">
        <v>11.0</v>
      </c>
      <c r="N124" s="992">
        <v>3.0</v>
      </c>
      <c r="O124" s="993" t="str">
        <f>HYPERLINK("https://www.strawpoll.me/19055347","Vote")</f>
        <v>Vote</v>
      </c>
    </row>
    <row r="125">
      <c r="A125" s="872"/>
      <c r="B125" s="962"/>
      <c r="C125" s="959" t="s">
        <v>1736</v>
      </c>
      <c r="D125" s="942" t="s">
        <v>20</v>
      </c>
      <c r="E125" s="943">
        <v>3.0</v>
      </c>
      <c r="F125" s="943">
        <v>5.0</v>
      </c>
      <c r="G125" s="943">
        <v>4.0</v>
      </c>
      <c r="H125" s="960" t="str">
        <f>HYPERLINK("https://d15f34w2p8l1cc.cloudfront.net/hearthstone/0403ca5b66b9747cba2be26408b6443f4113b7a2c66c56888475c5b99437ace3.png","Image")</f>
        <v>Image</v>
      </c>
      <c r="I125" s="991">
        <f t="shared" si="21"/>
        <v>3</v>
      </c>
      <c r="J125" s="991">
        <f t="shared" si="22"/>
        <v>2.5</v>
      </c>
      <c r="K125" s="992">
        <v>5.0</v>
      </c>
      <c r="L125" s="992">
        <v>8.0</v>
      </c>
      <c r="M125" s="992">
        <v>17.0</v>
      </c>
      <c r="N125" s="992">
        <v>2.0</v>
      </c>
      <c r="O125" s="993" t="str">
        <f>HYPERLINK("https://www.strawpoll.me/19055348","Vote")</f>
        <v>Vote</v>
      </c>
    </row>
    <row r="126">
      <c r="A126" s="872"/>
      <c r="B126" s="355"/>
      <c r="C126" s="963" t="s">
        <v>1737</v>
      </c>
      <c r="D126" s="964" t="s">
        <v>43</v>
      </c>
      <c r="E126" s="859">
        <v>7.0</v>
      </c>
      <c r="F126" s="965">
        <v>6.0</v>
      </c>
      <c r="G126" s="859">
        <v>6.0</v>
      </c>
      <c r="H126" s="966" t="str">
        <f>HYPERLINK("https://d15f34w2p8l1cc.cloudfront.net/hearthstone/9d18289973254b3bc66b5ecc46d8e9a965067b799d2af4aa9628ac5c1e17acdf.png","Image")</f>
        <v>Image</v>
      </c>
      <c r="I126" s="992">
        <v>3.0</v>
      </c>
      <c r="J126" s="991">
        <f t="shared" si="22"/>
        <v>2.424242424</v>
      </c>
      <c r="K126" s="992">
        <v>5.0</v>
      </c>
      <c r="L126" s="992">
        <v>10.0</v>
      </c>
      <c r="M126" s="992">
        <v>17.0</v>
      </c>
      <c r="N126" s="992">
        <v>1.0</v>
      </c>
      <c r="O126" s="993" t="str">
        <f>HYPERLINK("https://www.strawpoll.me/19055350","Vote")</f>
        <v>Vote</v>
      </c>
    </row>
    <row r="127">
      <c r="A127" s="883"/>
      <c r="B127" s="824"/>
      <c r="C127" s="195" t="s">
        <v>158</v>
      </c>
      <c r="D127" s="82"/>
      <c r="E127" s="82"/>
      <c r="F127" s="82"/>
      <c r="G127" s="82"/>
      <c r="H127" s="96"/>
      <c r="I127" s="1011"/>
      <c r="J127" s="1011"/>
      <c r="K127" s="1012"/>
      <c r="L127" s="1012"/>
      <c r="M127" s="1012"/>
      <c r="N127" s="1012"/>
      <c r="O127" s="307"/>
    </row>
    <row r="128" ht="15.75" customHeight="1">
      <c r="A128" s="872"/>
      <c r="B128" s="636"/>
      <c r="C128" s="830"/>
      <c r="D128" s="831"/>
      <c r="E128" s="832"/>
      <c r="F128" s="832"/>
      <c r="G128" s="832"/>
      <c r="H128" s="1013"/>
      <c r="I128" s="1014" t="s">
        <v>1620</v>
      </c>
      <c r="J128" s="1014" t="s">
        <v>204</v>
      </c>
      <c r="K128" s="999"/>
      <c r="L128" s="999"/>
      <c r="M128" s="999"/>
      <c r="N128" s="999"/>
      <c r="O128" s="781"/>
    </row>
    <row r="129">
      <c r="A129" s="872"/>
      <c r="B129" s="950"/>
      <c r="C129" s="705" t="s">
        <v>1738</v>
      </c>
      <c r="D129" s="934" t="s">
        <v>71</v>
      </c>
      <c r="E129" s="185"/>
      <c r="F129" s="185"/>
      <c r="G129" s="185">
        <v>0.0</v>
      </c>
      <c r="H129" s="954" t="str">
        <f>HYPERLINK("https://d15f34w2p8l1cc.cloudfront.net/hearthstone/2f1136cbd502ea1e4f4bf63bb2a20d54555a13e9704fde93184c6a536c1ad283.png","Image")</f>
        <v>Image</v>
      </c>
      <c r="I129" s="991">
        <f t="shared" ref="I129:I134" si="23">ROUND(J129,0)</f>
        <v>2</v>
      </c>
      <c r="J129" s="991">
        <f t="shared" ref="J129:J139" si="24">(K129*K$4+L129*L$4+M129*M$4+N129*N$4)/(K129+L129+M129+N129)</f>
        <v>1.838709677</v>
      </c>
      <c r="K129" s="992">
        <v>10.0</v>
      </c>
      <c r="L129" s="992">
        <v>16.0</v>
      </c>
      <c r="M129" s="992">
        <v>5.0</v>
      </c>
      <c r="N129" s="992">
        <v>0.0</v>
      </c>
      <c r="O129" s="993" t="str">
        <f>HYPERLINK("https://www.strawpoll.me/19055351","Vote")</f>
        <v>Vote</v>
      </c>
    </row>
    <row r="130">
      <c r="A130" s="872"/>
      <c r="B130" s="353"/>
      <c r="C130" s="935" t="s">
        <v>1739</v>
      </c>
      <c r="D130" s="936" t="s">
        <v>1638</v>
      </c>
      <c r="E130" s="855">
        <v>1.0</v>
      </c>
      <c r="F130" s="855">
        <v>2.0</v>
      </c>
      <c r="G130" s="855">
        <v>1.0</v>
      </c>
      <c r="H130" s="956" t="str">
        <f>HYPERLINK("https://d15f34w2p8l1cc.cloudfront.net/hearthstone/9abbaba51efdabe8b75abe336f1e318c887ad15242b0998f95f005aa12a32b3b.png","Image")</f>
        <v>Image</v>
      </c>
      <c r="I130" s="991">
        <f t="shared" si="23"/>
        <v>3</v>
      </c>
      <c r="J130" s="991">
        <f t="shared" si="24"/>
        <v>2.866666667</v>
      </c>
      <c r="K130" s="992">
        <v>0.0</v>
      </c>
      <c r="L130" s="992">
        <v>4.0</v>
      </c>
      <c r="M130" s="992">
        <v>26.0</v>
      </c>
      <c r="N130" s="992">
        <v>0.0</v>
      </c>
      <c r="O130" s="993" t="str">
        <f>HYPERLINK("https://www.strawpoll.me/19055352","Vote")</f>
        <v>Vote</v>
      </c>
    </row>
    <row r="131">
      <c r="A131" s="872"/>
      <c r="B131" s="632"/>
      <c r="C131" s="937" t="s">
        <v>1740</v>
      </c>
      <c r="D131" s="938" t="s">
        <v>71</v>
      </c>
      <c r="E131" s="939"/>
      <c r="F131" s="939"/>
      <c r="G131" s="939">
        <v>4.0</v>
      </c>
      <c r="H131" s="958" t="str">
        <f>HYPERLINK("https://d15f34w2p8l1cc.cloudfront.net/hearthstone/872a4aacf679f7248aadd84e4e7b1b934c952b1b37a0ed993b1b95047a62ddf4.png","Image")</f>
        <v>Image</v>
      </c>
      <c r="I131" s="991">
        <f t="shared" si="23"/>
        <v>2</v>
      </c>
      <c r="J131" s="991">
        <f t="shared" si="24"/>
        <v>1.96875</v>
      </c>
      <c r="K131" s="992">
        <v>10.0</v>
      </c>
      <c r="L131" s="992">
        <v>14.0</v>
      </c>
      <c r="M131" s="992">
        <v>7.0</v>
      </c>
      <c r="N131" s="992">
        <v>1.0</v>
      </c>
      <c r="O131" s="993" t="str">
        <f>HYPERLINK("https://www.strawpoll.me/19055353","Vote")</f>
        <v>Vote</v>
      </c>
    </row>
    <row r="132">
      <c r="A132" s="872"/>
      <c r="B132" s="639"/>
      <c r="C132" s="941" t="s">
        <v>1741</v>
      </c>
      <c r="D132" s="942" t="s">
        <v>1673</v>
      </c>
      <c r="E132" s="943"/>
      <c r="F132" s="943"/>
      <c r="G132" s="943">
        <v>5.0</v>
      </c>
      <c r="H132" s="960" t="str">
        <f>HYPERLINK("https://d15f34w2p8l1cc.cloudfront.net/hearthstone/b9161ae30a07ee3fbcbe4e1363cebc9117a1246ed86bb82dc2b6e24e98c196ac.png","Image")</f>
        <v>Image</v>
      </c>
      <c r="I132" s="991">
        <f t="shared" si="23"/>
        <v>3</v>
      </c>
      <c r="J132" s="991">
        <f t="shared" si="24"/>
        <v>2.794117647</v>
      </c>
      <c r="K132" s="992">
        <v>0.0</v>
      </c>
      <c r="L132" s="992">
        <v>9.0</v>
      </c>
      <c r="M132" s="992">
        <v>23.0</v>
      </c>
      <c r="N132" s="992">
        <v>2.0</v>
      </c>
      <c r="O132" s="993" t="str">
        <f>HYPERLINK("https://www.strawpoll.me/19055355","Vote")</f>
        <v>Vote</v>
      </c>
    </row>
    <row r="133">
      <c r="A133" s="872"/>
      <c r="B133" s="353"/>
      <c r="C133" s="935" t="s">
        <v>1742</v>
      </c>
      <c r="D133" s="936" t="s">
        <v>43</v>
      </c>
      <c r="E133" s="855">
        <v>4.0</v>
      </c>
      <c r="F133" s="855">
        <v>5.0</v>
      </c>
      <c r="G133" s="855">
        <v>5.0</v>
      </c>
      <c r="H133" s="956" t="str">
        <f>HYPERLINK("https://d15f34w2p8l1cc.cloudfront.net/hearthstone/ec77f82d5570f7013361893d8963aa89f662a42d7db2d2cbc188f89737c8e6f5.png","Image")</f>
        <v>Image</v>
      </c>
      <c r="I133" s="991">
        <f t="shared" si="23"/>
        <v>2</v>
      </c>
      <c r="J133" s="991">
        <f t="shared" si="24"/>
        <v>2.054054054</v>
      </c>
      <c r="K133" s="992">
        <v>11.0</v>
      </c>
      <c r="L133" s="992">
        <v>16.0</v>
      </c>
      <c r="M133" s="992">
        <v>7.0</v>
      </c>
      <c r="N133" s="992">
        <v>3.0</v>
      </c>
      <c r="O133" s="993" t="str">
        <f>HYPERLINK("https://www.strawpoll.me/19055357","Vote")</f>
        <v>Vote</v>
      </c>
    </row>
    <row r="134">
      <c r="A134" s="872"/>
      <c r="B134" s="632"/>
      <c r="C134" s="937" t="s">
        <v>1743</v>
      </c>
      <c r="D134" s="938" t="s">
        <v>71</v>
      </c>
      <c r="E134" s="939"/>
      <c r="F134" s="939"/>
      <c r="G134" s="939">
        <v>3.0</v>
      </c>
      <c r="H134" s="958" t="str">
        <f>HYPERLINK("https://d15f34w2p8l1cc.cloudfront.net/hearthstone/7402f26c94982ea5b68cef84b0aec02ad11fcb95bf21825ff3675e7b4c3be31a.png","Image")</f>
        <v>Image</v>
      </c>
      <c r="I134" s="991">
        <f t="shared" si="23"/>
        <v>3</v>
      </c>
      <c r="J134" s="991">
        <f t="shared" si="24"/>
        <v>2.914285714</v>
      </c>
      <c r="K134" s="992">
        <v>0.0</v>
      </c>
      <c r="L134" s="992">
        <v>7.0</v>
      </c>
      <c r="M134" s="992">
        <v>24.0</v>
      </c>
      <c r="N134" s="992">
        <v>4.0</v>
      </c>
      <c r="O134" s="993" t="str">
        <f>HYPERLINK("https://www.strawpoll.me/19055359","Vote")</f>
        <v>Vote</v>
      </c>
    </row>
    <row r="135">
      <c r="A135" s="872"/>
      <c r="B135" s="793"/>
      <c r="C135" s="941" t="s">
        <v>1744</v>
      </c>
      <c r="D135" s="942"/>
      <c r="E135" s="943">
        <v>2.0</v>
      </c>
      <c r="F135" s="943">
        <v>2.0</v>
      </c>
      <c r="G135" s="943">
        <v>2.0</v>
      </c>
      <c r="H135" s="960" t="str">
        <f>HYPERLINK("https://d15f34w2p8l1cc.cloudfront.net/hearthstone/f90e2ff30fe7f9002408a51a1e57e3c9856649df2836472af0e36d61674a11be.png","Image")</f>
        <v>Image</v>
      </c>
      <c r="I135" s="992">
        <v>1.0</v>
      </c>
      <c r="J135" s="991">
        <f t="shared" si="24"/>
        <v>1.527777778</v>
      </c>
      <c r="K135" s="992">
        <v>21.0</v>
      </c>
      <c r="L135" s="992">
        <v>11.0</v>
      </c>
      <c r="M135" s="992">
        <v>4.0</v>
      </c>
      <c r="N135" s="992">
        <v>0.0</v>
      </c>
      <c r="O135" s="993" t="str">
        <f>HYPERLINK("https://www.strawpoll.me/19055360","Vote")</f>
        <v>Vote</v>
      </c>
    </row>
    <row r="136">
      <c r="A136" s="872"/>
      <c r="B136" s="632"/>
      <c r="C136" s="937" t="s">
        <v>1745</v>
      </c>
      <c r="D136" s="938" t="s">
        <v>43</v>
      </c>
      <c r="E136" s="939">
        <v>3.0</v>
      </c>
      <c r="F136" s="939">
        <v>6.0</v>
      </c>
      <c r="G136" s="939">
        <v>4.0</v>
      </c>
      <c r="H136" s="958" t="str">
        <f>HYPERLINK("https://d15f34w2p8l1cc.cloudfront.net/hearthstone/e3de5665a2458ca67ac73ac43a3f116b848afb60c8438f7518ea4bb8564b36c1.png","Image")</f>
        <v>Image</v>
      </c>
      <c r="I136" s="991">
        <f t="shared" ref="I136:I138" si="25">ROUND(J136,0)</f>
        <v>3</v>
      </c>
      <c r="J136" s="991">
        <f t="shared" si="24"/>
        <v>3.305555556</v>
      </c>
      <c r="K136" s="992">
        <v>0.0</v>
      </c>
      <c r="L136" s="992">
        <v>1.0</v>
      </c>
      <c r="M136" s="992">
        <v>23.0</v>
      </c>
      <c r="N136" s="992">
        <v>12.0</v>
      </c>
      <c r="O136" s="993" t="str">
        <f>HYPERLINK("https://www.strawpoll.me/19055361","Vote")</f>
        <v>Vote</v>
      </c>
    </row>
    <row r="137">
      <c r="A137" s="872"/>
      <c r="B137" s="794"/>
      <c r="C137" s="941" t="s">
        <v>1771</v>
      </c>
      <c r="D137" s="942"/>
      <c r="E137" s="943">
        <v>3.0</v>
      </c>
      <c r="F137" s="943">
        <v>3.0</v>
      </c>
      <c r="G137" s="943">
        <v>3.0</v>
      </c>
      <c r="H137" s="960" t="str">
        <f>HYPERLINK("https://d15f34w2p8l1cc.cloudfront.net/hearthstone/7e94c72739ecf3142ff839b189aee6abea8f405337f4bfeb30acd4bcb8a182e1.png","Image")</f>
        <v>Image</v>
      </c>
      <c r="I137" s="991">
        <f t="shared" si="25"/>
        <v>3</v>
      </c>
      <c r="J137" s="991">
        <f t="shared" si="24"/>
        <v>2.6</v>
      </c>
      <c r="K137" s="992">
        <v>5.0</v>
      </c>
      <c r="L137" s="992">
        <v>12.0</v>
      </c>
      <c r="M137" s="992">
        <v>17.0</v>
      </c>
      <c r="N137" s="992">
        <v>6.0</v>
      </c>
      <c r="O137" s="993" t="str">
        <f>HYPERLINK("https://www.strawpoll.me/19055363","Vote")</f>
        <v>Vote</v>
      </c>
    </row>
    <row r="138">
      <c r="A138" s="872"/>
      <c r="B138" s="353"/>
      <c r="C138" s="945" t="s">
        <v>1747</v>
      </c>
      <c r="D138" s="946" t="s">
        <v>1682</v>
      </c>
      <c r="E138" s="947"/>
      <c r="F138" s="948"/>
      <c r="G138" s="947">
        <v>7.0</v>
      </c>
      <c r="H138" s="1015" t="str">
        <f>HYPERLINK("https://d15f34w2p8l1cc.cloudfront.net/hearthstone/3af893d0cd57e8dc159f6be3a73e08ed9a8b8b6665f0de39e61a477195ef8f07.png","Image")</f>
        <v>Image</v>
      </c>
      <c r="I138" s="991">
        <f t="shared" si="25"/>
        <v>4</v>
      </c>
      <c r="J138" s="991">
        <f t="shared" si="24"/>
        <v>3.547619048</v>
      </c>
      <c r="K138" s="992">
        <v>0.0</v>
      </c>
      <c r="L138" s="992">
        <v>4.0</v>
      </c>
      <c r="M138" s="992">
        <v>11.0</v>
      </c>
      <c r="N138" s="992">
        <v>27.0</v>
      </c>
      <c r="O138" s="993" t="str">
        <f>HYPERLINK("https://www.strawpoll.me/19055365","Vote")</f>
        <v>Vote</v>
      </c>
    </row>
    <row r="139">
      <c r="A139" s="872"/>
      <c r="B139" s="355"/>
      <c r="C139" s="864" t="s">
        <v>1748</v>
      </c>
      <c r="D139" s="865" t="s">
        <v>43</v>
      </c>
      <c r="E139" s="859">
        <v>8.0</v>
      </c>
      <c r="F139" s="859">
        <v>8.0</v>
      </c>
      <c r="G139" s="859">
        <v>8.0</v>
      </c>
      <c r="H139" s="966" t="str">
        <f>HYPERLINK("https://d15f34w2p8l1cc.cloudfront.net/hearthstone/b4fe7ff7d3fa162dfbf4f49205fa833e7b83e2c712c2f55a520a88d58085f0b4.png","Image")</f>
        <v>Image</v>
      </c>
      <c r="I139" s="992">
        <v>4.0</v>
      </c>
      <c r="J139" s="991">
        <f t="shared" si="24"/>
        <v>3.320754717</v>
      </c>
      <c r="K139" s="992">
        <v>2.0</v>
      </c>
      <c r="L139" s="992">
        <v>5.0</v>
      </c>
      <c r="M139" s="992">
        <v>20.0</v>
      </c>
      <c r="N139" s="992">
        <v>26.0</v>
      </c>
      <c r="O139" s="993" t="str">
        <f>HYPERLINK("https://www.strawpoll.me/19055368","Vote")</f>
        <v>Vote</v>
      </c>
    </row>
    <row r="140">
      <c r="A140" s="883"/>
      <c r="B140" s="824"/>
      <c r="C140" s="195" t="s">
        <v>170</v>
      </c>
      <c r="D140" s="82"/>
      <c r="E140" s="82"/>
      <c r="F140" s="82"/>
      <c r="G140" s="82"/>
      <c r="H140" s="96"/>
      <c r="I140" s="1011"/>
      <c r="J140" s="1011"/>
      <c r="K140" s="1012"/>
      <c r="L140" s="1012"/>
      <c r="M140" s="1012"/>
      <c r="N140" s="1012"/>
      <c r="O140" s="307"/>
    </row>
    <row r="141" ht="15.75" customHeight="1">
      <c r="A141" s="872"/>
      <c r="B141" s="636"/>
      <c r="C141" s="830"/>
      <c r="D141" s="831"/>
      <c r="E141" s="832"/>
      <c r="F141" s="832"/>
      <c r="G141" s="832"/>
      <c r="H141" s="1013"/>
      <c r="I141" s="1014" t="s">
        <v>1620</v>
      </c>
      <c r="J141" s="1014" t="s">
        <v>204</v>
      </c>
      <c r="K141" s="999"/>
      <c r="L141" s="999"/>
      <c r="M141" s="999"/>
      <c r="N141" s="999"/>
      <c r="O141" s="781"/>
    </row>
    <row r="142">
      <c r="A142" s="872"/>
      <c r="B142" s="950"/>
      <c r="C142" s="953" t="s">
        <v>1749</v>
      </c>
      <c r="D142" s="934" t="s">
        <v>27</v>
      </c>
      <c r="E142" s="185">
        <v>1.0</v>
      </c>
      <c r="F142" s="185">
        <v>1.0</v>
      </c>
      <c r="G142" s="185">
        <v>1.0</v>
      </c>
      <c r="H142" s="954" t="str">
        <f>HYPERLINK("https://d15f34w2p8l1cc.cloudfront.net/hearthstone/ac3c75c6118a72e105250f4525aa62417f0e0e66a5b3af0c64d074825fe38e70.png","Image")</f>
        <v>Image</v>
      </c>
      <c r="I142" s="991">
        <f>ROUND(J142,0)</f>
        <v>3</v>
      </c>
      <c r="J142" s="991">
        <f t="shared" ref="J142:J151" si="26">(K142*K$4+L142*L$4+M142*M$4+N142*N$4)/(K142+L142+M142+N142)</f>
        <v>2.810810811</v>
      </c>
      <c r="K142" s="992">
        <v>2.0</v>
      </c>
      <c r="L142" s="992">
        <v>6.0</v>
      </c>
      <c r="M142" s="992">
        <v>26.0</v>
      </c>
      <c r="N142" s="992">
        <v>3.0</v>
      </c>
      <c r="O142" s="993" t="str">
        <f>HYPERLINK("https://www.strawpoll.me/19055369","Vote")</f>
        <v>Vote</v>
      </c>
    </row>
    <row r="143">
      <c r="A143" s="872"/>
      <c r="B143" s="353"/>
      <c r="C143" s="955" t="s">
        <v>1750</v>
      </c>
      <c r="D143" s="936" t="s">
        <v>1718</v>
      </c>
      <c r="E143" s="855"/>
      <c r="F143" s="855"/>
      <c r="G143" s="855">
        <v>1.0</v>
      </c>
      <c r="H143" s="956" t="str">
        <f>HYPERLINK("https://d15f34w2p8l1cc.cloudfront.net/hearthstone/3b1170d1f29f2ef97ad601c3082a9c240df02e089710d9357f335ebf11a59a14.png","Image")</f>
        <v>Image</v>
      </c>
      <c r="I143" s="992">
        <v>1.0</v>
      </c>
      <c r="J143" s="991">
        <f t="shared" si="26"/>
        <v>1.529411765</v>
      </c>
      <c r="K143" s="992">
        <v>21.0</v>
      </c>
      <c r="L143" s="992">
        <v>8.0</v>
      </c>
      <c r="M143" s="992">
        <v>5.0</v>
      </c>
      <c r="N143" s="992">
        <v>0.0</v>
      </c>
      <c r="O143" s="993" t="str">
        <f>HYPERLINK("https://www.strawpoll.me/19055370","Vote")</f>
        <v>Vote</v>
      </c>
    </row>
    <row r="144">
      <c r="A144" s="872"/>
      <c r="B144" s="353"/>
      <c r="C144" s="957" t="s">
        <v>1751</v>
      </c>
      <c r="D144" s="938" t="s">
        <v>43</v>
      </c>
      <c r="E144" s="939">
        <v>2.0</v>
      </c>
      <c r="F144" s="939">
        <v>3.0</v>
      </c>
      <c r="G144" s="939">
        <v>4.0</v>
      </c>
      <c r="H144" s="958" t="str">
        <f>HYPERLINK("https://d15f34w2p8l1cc.cloudfront.net/hearthstone/f2389ace72a6af4e9760a9a0eb9f7312817bbb5845e7a5eb87b22c961d69a1ff.png","Image")</f>
        <v>Image</v>
      </c>
      <c r="I144" s="991">
        <f t="shared" ref="I144:I151" si="27">ROUND(J144,0)</f>
        <v>2</v>
      </c>
      <c r="J144" s="991">
        <f t="shared" si="26"/>
        <v>1.735294118</v>
      </c>
      <c r="K144" s="992">
        <v>13.0</v>
      </c>
      <c r="L144" s="992">
        <v>17.0</v>
      </c>
      <c r="M144" s="992">
        <v>4.0</v>
      </c>
      <c r="N144" s="992">
        <v>0.0</v>
      </c>
      <c r="O144" s="993" t="str">
        <f>HYPERLINK("https://www.strawpoll.me/19055371","Vote")</f>
        <v>Vote</v>
      </c>
    </row>
    <row r="145">
      <c r="A145" s="872"/>
      <c r="B145" s="637"/>
      <c r="C145" s="959" t="s">
        <v>1752</v>
      </c>
      <c r="D145" s="942" t="s">
        <v>1718</v>
      </c>
      <c r="E145" s="943"/>
      <c r="F145" s="943"/>
      <c r="G145" s="943">
        <v>1.0</v>
      </c>
      <c r="H145" s="960" t="str">
        <f>HYPERLINK("https://d15f34w2p8l1cc.cloudfront.net/hearthstone/5c73cb313079ca20f4512d33d181300177b95b34e0e3e247dc6f43549c2cb95d.png","Image")</f>
        <v>Image</v>
      </c>
      <c r="I145" s="991">
        <f t="shared" si="27"/>
        <v>2</v>
      </c>
      <c r="J145" s="991">
        <f t="shared" si="26"/>
        <v>2.40625</v>
      </c>
      <c r="K145" s="992">
        <v>4.0</v>
      </c>
      <c r="L145" s="992">
        <v>14.0</v>
      </c>
      <c r="M145" s="992">
        <v>11.0</v>
      </c>
      <c r="N145" s="992">
        <v>3.0</v>
      </c>
      <c r="O145" s="993" t="str">
        <f>HYPERLINK("https://www.strawpoll.me/19055373","Vote")</f>
        <v>Vote</v>
      </c>
    </row>
    <row r="146">
      <c r="A146" s="872"/>
      <c r="B146" s="353"/>
      <c r="C146" s="955" t="s">
        <v>1753</v>
      </c>
      <c r="D146" s="936" t="s">
        <v>71</v>
      </c>
      <c r="E146" s="855"/>
      <c r="F146" s="855"/>
      <c r="G146" s="855">
        <v>1.0</v>
      </c>
      <c r="H146" s="956" t="str">
        <f>HYPERLINK("https://d15f34w2p8l1cc.cloudfront.net/hearthstone/bd94fe768544e479d8601825285d87ccc609aefe23abacec5864b580b35c982d.png","Image")</f>
        <v>Image</v>
      </c>
      <c r="I146" s="991">
        <f t="shared" si="27"/>
        <v>3</v>
      </c>
      <c r="J146" s="991">
        <f t="shared" si="26"/>
        <v>2.870967742</v>
      </c>
      <c r="K146" s="992">
        <v>0.0</v>
      </c>
      <c r="L146" s="992">
        <v>6.0</v>
      </c>
      <c r="M146" s="992">
        <v>23.0</v>
      </c>
      <c r="N146" s="992">
        <v>2.0</v>
      </c>
      <c r="O146" s="993" t="str">
        <f>HYPERLINK("https://www.strawpoll.me/19055374","Vote")</f>
        <v>Vote</v>
      </c>
    </row>
    <row r="147">
      <c r="A147" s="872"/>
      <c r="B147" s="353"/>
      <c r="C147" s="957" t="s">
        <v>1754</v>
      </c>
      <c r="D147" s="938"/>
      <c r="E147" s="939">
        <v>4.0</v>
      </c>
      <c r="F147" s="939">
        <v>4.0</v>
      </c>
      <c r="G147" s="939">
        <v>6.0</v>
      </c>
      <c r="H147" s="958" t="str">
        <f>HYPERLINK("https://d15f34w2p8l1cc.cloudfront.net/hearthstone/0ace8eb2a451ac68fbe265381b2769c3d81dc4e069b464d9af81d636642b8a07.png","Image")</f>
        <v>Image</v>
      </c>
      <c r="I147" s="991">
        <f t="shared" si="27"/>
        <v>3</v>
      </c>
      <c r="J147" s="991">
        <f t="shared" si="26"/>
        <v>3.033333333</v>
      </c>
      <c r="K147" s="992">
        <v>0.0</v>
      </c>
      <c r="L147" s="992">
        <v>5.0</v>
      </c>
      <c r="M147" s="992">
        <v>19.0</v>
      </c>
      <c r="N147" s="992">
        <v>6.0</v>
      </c>
      <c r="O147" s="993" t="str">
        <f>HYPERLINK("https://www.strawpoll.me/19055376","Vote")</f>
        <v>Vote</v>
      </c>
    </row>
    <row r="148">
      <c r="A148" s="872"/>
      <c r="B148" s="961"/>
      <c r="C148" s="959" t="s">
        <v>1755</v>
      </c>
      <c r="D148" s="942" t="s">
        <v>71</v>
      </c>
      <c r="E148" s="943"/>
      <c r="F148" s="943"/>
      <c r="G148" s="943">
        <v>5.0</v>
      </c>
      <c r="H148" s="960" t="str">
        <f>HYPERLINK("https://d15f34w2p8l1cc.cloudfront.net/hearthstone/f592c1caa538cacd84d274979d5a25a6aaf13efd89288198e6e5b4ae6e94d14b.png","Image")</f>
        <v>Image</v>
      </c>
      <c r="I148" s="991">
        <f t="shared" si="27"/>
        <v>2</v>
      </c>
      <c r="J148" s="991">
        <f t="shared" si="26"/>
        <v>2.322580645</v>
      </c>
      <c r="K148" s="992">
        <v>2.0</v>
      </c>
      <c r="L148" s="992">
        <v>18.0</v>
      </c>
      <c r="M148" s="992">
        <v>10.0</v>
      </c>
      <c r="N148" s="992">
        <v>1.0</v>
      </c>
      <c r="O148" s="993" t="str">
        <f>HYPERLINK("https://www.strawpoll.me/19055378","Vote")</f>
        <v>Vote</v>
      </c>
    </row>
    <row r="149">
      <c r="A149" s="872"/>
      <c r="B149" s="353"/>
      <c r="C149" s="957" t="s">
        <v>1756</v>
      </c>
      <c r="D149" s="938" t="s">
        <v>27</v>
      </c>
      <c r="E149" s="939">
        <v>8.0</v>
      </c>
      <c r="F149" s="939">
        <v>8.0</v>
      </c>
      <c r="G149" s="939">
        <v>8.0</v>
      </c>
      <c r="H149" s="958" t="str">
        <f>HYPERLINK("https://d15f34w2p8l1cc.cloudfront.net/hearthstone/a15b196d5cb2c3125bf9767213f4dacb4a4ef66cb75a6191cd5717a68ed55134.png","Image")</f>
        <v>Image</v>
      </c>
      <c r="I149" s="991">
        <f t="shared" si="27"/>
        <v>4</v>
      </c>
      <c r="J149" s="991">
        <f t="shared" si="26"/>
        <v>3.657142857</v>
      </c>
      <c r="K149" s="992">
        <v>0.0</v>
      </c>
      <c r="L149" s="992">
        <v>1.0</v>
      </c>
      <c r="M149" s="992">
        <v>10.0</v>
      </c>
      <c r="N149" s="992">
        <v>24.0</v>
      </c>
      <c r="O149" s="993" t="str">
        <f>HYPERLINK("https://www.strawpoll.me/19055379","Vote")</f>
        <v>Vote</v>
      </c>
    </row>
    <row r="150">
      <c r="A150" s="872"/>
      <c r="B150" s="962"/>
      <c r="C150" s="959" t="s">
        <v>1757</v>
      </c>
      <c r="D150" s="942" t="s">
        <v>27</v>
      </c>
      <c r="E150" s="943">
        <v>2.0</v>
      </c>
      <c r="F150" s="943">
        <v>5.0</v>
      </c>
      <c r="G150" s="943">
        <v>3.0</v>
      </c>
      <c r="H150" s="960" t="str">
        <f>HYPERLINK("https://d15f34w2p8l1cc.cloudfront.net/hearthstone/bc484da8861056aebc9721c5c32d4c6359720c7809dff4d2f9f4d572ea129106.png","Image")</f>
        <v>Image</v>
      </c>
      <c r="I150" s="991">
        <f t="shared" si="27"/>
        <v>3</v>
      </c>
      <c r="J150" s="991">
        <f t="shared" si="26"/>
        <v>2.868421053</v>
      </c>
      <c r="K150" s="992">
        <v>4.0</v>
      </c>
      <c r="L150" s="992">
        <v>5.0</v>
      </c>
      <c r="M150" s="992">
        <v>21.0</v>
      </c>
      <c r="N150" s="992">
        <v>8.0</v>
      </c>
      <c r="O150" s="993" t="str">
        <f>HYPERLINK("https://www.strawpoll.me/19055381","Vote")</f>
        <v>Vote</v>
      </c>
    </row>
    <row r="151">
      <c r="A151" s="872"/>
      <c r="B151" s="355"/>
      <c r="C151" s="963" t="s">
        <v>1758</v>
      </c>
      <c r="D151" s="964" t="s">
        <v>43</v>
      </c>
      <c r="E151" s="859">
        <v>2.0</v>
      </c>
      <c r="F151" s="965">
        <v>8.0</v>
      </c>
      <c r="G151" s="859">
        <v>5.0</v>
      </c>
      <c r="H151" s="966" t="str">
        <f>HYPERLINK("https://d15f34w2p8l1cc.cloudfront.net/hearthstone/8f903fd22f140d3f345b2375d7496ddcd86d7d043a37b78d5dfbaa3e6e10c245.png","Image")</f>
        <v>Image</v>
      </c>
      <c r="I151" s="991">
        <f t="shared" si="27"/>
        <v>4</v>
      </c>
      <c r="J151" s="991">
        <f t="shared" si="26"/>
        <v>3.552631579</v>
      </c>
      <c r="K151" s="992">
        <v>0.0</v>
      </c>
      <c r="L151" s="992">
        <v>3.0</v>
      </c>
      <c r="M151" s="992">
        <v>11.0</v>
      </c>
      <c r="N151" s="992">
        <v>24.0</v>
      </c>
      <c r="O151" s="993" t="str">
        <f>HYPERLINK("https://www.strawpoll.me/19055382","Vote")</f>
        <v>Vote</v>
      </c>
    </row>
    <row r="152">
      <c r="A152" s="883"/>
      <c r="B152" s="824"/>
      <c r="C152" s="195" t="s">
        <v>182</v>
      </c>
      <c r="D152" s="82"/>
      <c r="E152" s="82"/>
      <c r="F152" s="82"/>
      <c r="G152" s="82"/>
      <c r="H152" s="96"/>
      <c r="I152" s="1011"/>
      <c r="J152" s="1011"/>
      <c r="K152" s="1012"/>
      <c r="L152" s="1012"/>
      <c r="M152" s="1012"/>
      <c r="N152" s="1012"/>
      <c r="O152" s="307"/>
    </row>
    <row r="153" ht="15.75" customHeight="1">
      <c r="A153" s="872"/>
      <c r="B153" s="636"/>
      <c r="C153" s="830"/>
      <c r="D153" s="831"/>
      <c r="E153" s="832"/>
      <c r="F153" s="832"/>
      <c r="G153" s="832"/>
      <c r="H153" s="1013"/>
      <c r="I153" s="1014" t="s">
        <v>1620</v>
      </c>
      <c r="J153" s="1014" t="s">
        <v>204</v>
      </c>
      <c r="K153" s="999"/>
      <c r="L153" s="999"/>
      <c r="M153" s="999"/>
      <c r="N153" s="999"/>
      <c r="O153" s="781"/>
    </row>
    <row r="154">
      <c r="A154" s="872"/>
      <c r="B154" s="950"/>
      <c r="C154" s="953" t="s">
        <v>1759</v>
      </c>
      <c r="D154" s="934" t="s">
        <v>71</v>
      </c>
      <c r="E154" s="185"/>
      <c r="F154" s="185"/>
      <c r="G154" s="185">
        <v>1.0</v>
      </c>
      <c r="H154" s="954" t="str">
        <f>HYPERLINK("https://d15f34w2p8l1cc.cloudfront.net/hearthstone/e8c4a497bd3224498f021bdbefa4c1a33c25f2ff01190d6fd5baa706e7f1fc47.png","Image")</f>
        <v>Image</v>
      </c>
      <c r="I154" s="991">
        <f t="shared" ref="I154:I156" si="28">ROUND(J154,0)</f>
        <v>2</v>
      </c>
      <c r="J154" s="991">
        <f t="shared" ref="J154:J163" si="29">(K154*K$4+L154*L$4+M154*M$4+N154*N$4)/(K154+L154+M154+N154)</f>
        <v>1.84375</v>
      </c>
      <c r="K154" s="992">
        <v>9.0</v>
      </c>
      <c r="L154" s="992">
        <v>19.0</v>
      </c>
      <c r="M154" s="992">
        <v>4.0</v>
      </c>
      <c r="N154" s="992">
        <v>0.0</v>
      </c>
      <c r="O154" s="993" t="str">
        <f>HYPERLINK("https://www.strawpoll.me/19055384","Vote")</f>
        <v>Vote</v>
      </c>
    </row>
    <row r="155">
      <c r="A155" s="872"/>
      <c r="B155" s="353"/>
      <c r="C155" s="955" t="s">
        <v>1760</v>
      </c>
      <c r="D155" s="936" t="s">
        <v>43</v>
      </c>
      <c r="E155" s="855">
        <v>2.0</v>
      </c>
      <c r="F155" s="855">
        <v>3.0</v>
      </c>
      <c r="G155" s="855">
        <v>3.0</v>
      </c>
      <c r="H155" s="956" t="str">
        <f>HYPERLINK("https://d15f34w2p8l1cc.cloudfront.net/hearthstone/747a52f5ae7dc4b352d431342042e497202eebd1e6d1ef872109092b0a6b2266.png","Image")</f>
        <v>Image</v>
      </c>
      <c r="I155" s="991">
        <f t="shared" si="28"/>
        <v>2</v>
      </c>
      <c r="J155" s="991">
        <f t="shared" si="29"/>
        <v>2.1875</v>
      </c>
      <c r="K155" s="992">
        <v>6.0</v>
      </c>
      <c r="L155" s="992">
        <v>14.0</v>
      </c>
      <c r="M155" s="992">
        <v>12.0</v>
      </c>
      <c r="N155" s="992">
        <v>0.0</v>
      </c>
      <c r="O155" s="993" t="str">
        <f>HYPERLINK("https://www.strawpoll.me/19055387","Vote")</f>
        <v>Vote</v>
      </c>
    </row>
    <row r="156">
      <c r="A156" s="872"/>
      <c r="B156" s="353"/>
      <c r="C156" s="957" t="s">
        <v>1761</v>
      </c>
      <c r="D156" s="938" t="s">
        <v>43</v>
      </c>
      <c r="E156" s="939">
        <v>4.0</v>
      </c>
      <c r="F156" s="939">
        <v>6.0</v>
      </c>
      <c r="G156" s="939">
        <v>5.0</v>
      </c>
      <c r="H156" s="958" t="str">
        <f>HYPERLINK("https://d15f34w2p8l1cc.cloudfront.net/hearthstone/c1124c9277f422acaeb02127fe77155e24b87480e88addc38ba04d2cdd7d5c03.png","Image")</f>
        <v>Image</v>
      </c>
      <c r="I156" s="991">
        <f t="shared" si="28"/>
        <v>3</v>
      </c>
      <c r="J156" s="991">
        <f t="shared" si="29"/>
        <v>3.433333333</v>
      </c>
      <c r="K156" s="992">
        <v>0.0</v>
      </c>
      <c r="L156" s="992">
        <v>1.0</v>
      </c>
      <c r="M156" s="992">
        <v>15.0</v>
      </c>
      <c r="N156" s="992">
        <v>14.0</v>
      </c>
      <c r="O156" s="993" t="str">
        <f>HYPERLINK("https://www.strawpoll.me/19055388","Vote")</f>
        <v>Vote</v>
      </c>
    </row>
    <row r="157">
      <c r="A157" s="872"/>
      <c r="B157" s="637"/>
      <c r="C157" s="959" t="s">
        <v>1762</v>
      </c>
      <c r="D157" s="942" t="s">
        <v>1718</v>
      </c>
      <c r="E157" s="943"/>
      <c r="F157" s="943"/>
      <c r="G157" s="943">
        <v>1.0</v>
      </c>
      <c r="H157" s="960" t="str">
        <f>HYPERLINK("https://d15f34w2p8l1cc.cloudfront.net/hearthstone/28bdb67d48a7f9c3f03fac7a6c5c3fe592583d09b4a94561c4c5b26c0be5321e.png","Image")</f>
        <v>Image</v>
      </c>
      <c r="I157" s="992">
        <v>1.0</v>
      </c>
      <c r="J157" s="991">
        <f t="shared" si="29"/>
        <v>1.666666667</v>
      </c>
      <c r="K157" s="992">
        <v>15.0</v>
      </c>
      <c r="L157" s="992">
        <v>14.0</v>
      </c>
      <c r="M157" s="992">
        <v>4.0</v>
      </c>
      <c r="N157" s="992">
        <v>0.0</v>
      </c>
      <c r="O157" s="993" t="str">
        <f>HYPERLINK("https://www.strawpoll.me/19055389","Vote")</f>
        <v>Vote</v>
      </c>
    </row>
    <row r="158">
      <c r="A158" s="872"/>
      <c r="B158" s="353"/>
      <c r="C158" s="955" t="s">
        <v>1763</v>
      </c>
      <c r="D158" s="936" t="s">
        <v>20</v>
      </c>
      <c r="E158" s="855">
        <v>1.0</v>
      </c>
      <c r="F158" s="855">
        <v>2.0</v>
      </c>
      <c r="G158" s="855">
        <v>3.0</v>
      </c>
      <c r="H158" s="956" t="str">
        <f>HYPERLINK("https://d15f34w2p8l1cc.cloudfront.net/hearthstone/fcf33b37bc7cb62aaba90a89b026a8f917df411087761239ddae8fd8877fd302.png","Image")</f>
        <v>Image</v>
      </c>
      <c r="I158" s="991">
        <f t="shared" ref="I158:I159" si="30">ROUND(J158,0)</f>
        <v>3</v>
      </c>
      <c r="J158" s="991">
        <f t="shared" si="29"/>
        <v>2.533333333</v>
      </c>
      <c r="K158" s="992">
        <v>2.0</v>
      </c>
      <c r="L158" s="992">
        <v>12.0</v>
      </c>
      <c r="M158" s="992">
        <v>14.0</v>
      </c>
      <c r="N158" s="992">
        <v>2.0</v>
      </c>
      <c r="O158" s="993" t="str">
        <f>HYPERLINK("https://www.strawpoll.me/19055390","Vote")</f>
        <v>Vote</v>
      </c>
    </row>
    <row r="159">
      <c r="A159" s="872"/>
      <c r="B159" s="353"/>
      <c r="C159" s="957" t="s">
        <v>1764</v>
      </c>
      <c r="D159" s="938"/>
      <c r="E159" s="939">
        <v>4.0</v>
      </c>
      <c r="F159" s="939">
        <v>2.0</v>
      </c>
      <c r="G159" s="939">
        <v>4.0</v>
      </c>
      <c r="H159" s="958" t="str">
        <f>HYPERLINK("https://d15f34w2p8l1cc.cloudfront.net/hearthstone/6c41687ca13975bca72e986b593bc9a28a07cb6065a98940dee704a73fb9d39f.png","Image")</f>
        <v>Image</v>
      </c>
      <c r="I159" s="991">
        <f t="shared" si="30"/>
        <v>2</v>
      </c>
      <c r="J159" s="991">
        <f t="shared" si="29"/>
        <v>1.794117647</v>
      </c>
      <c r="K159" s="992">
        <v>14.0</v>
      </c>
      <c r="L159" s="992">
        <v>14.0</v>
      </c>
      <c r="M159" s="992">
        <v>5.0</v>
      </c>
      <c r="N159" s="992">
        <v>1.0</v>
      </c>
      <c r="O159" s="993" t="str">
        <f>HYPERLINK("https://www.strawpoll.me/19055392","Vote")</f>
        <v>Vote</v>
      </c>
    </row>
    <row r="160">
      <c r="A160" s="872"/>
      <c r="B160" s="961"/>
      <c r="C160" s="959" t="s">
        <v>1765</v>
      </c>
      <c r="D160" s="942" t="s">
        <v>1718</v>
      </c>
      <c r="E160" s="943"/>
      <c r="F160" s="943"/>
      <c r="G160" s="943">
        <v>2.0</v>
      </c>
      <c r="H160" s="960" t="str">
        <f>HYPERLINK("https://d15f34w2p8l1cc.cloudfront.net/hearthstone/c6e97f18a24da60a23b22a6879e2a44bfef43353f1b638f117671b2818ffe889.png","Image")</f>
        <v>Image</v>
      </c>
      <c r="I160" s="992">
        <v>1.0</v>
      </c>
      <c r="J160" s="991">
        <f t="shared" si="29"/>
        <v>1.625</v>
      </c>
      <c r="K160" s="992">
        <v>17.0</v>
      </c>
      <c r="L160" s="992">
        <v>10.0</v>
      </c>
      <c r="M160" s="992">
        <v>5.0</v>
      </c>
      <c r="N160" s="992">
        <v>0.0</v>
      </c>
      <c r="O160" s="993" t="str">
        <f>HYPERLINK("https://www.strawpoll.me/19055393","Vote")</f>
        <v>Vote</v>
      </c>
    </row>
    <row r="161">
      <c r="A161" s="872"/>
      <c r="B161" s="353"/>
      <c r="C161" s="957" t="s">
        <v>1766</v>
      </c>
      <c r="D161" s="938"/>
      <c r="E161" s="939">
        <v>7.0</v>
      </c>
      <c r="F161" s="939">
        <v>7.0</v>
      </c>
      <c r="G161" s="939">
        <v>7.0</v>
      </c>
      <c r="H161" s="958" t="str">
        <f>HYPERLINK("https://d15f34w2p8l1cc.cloudfront.net/hearthstone/aa3b73b1771fd80f474dd49ec497c8cfb452b75a12012e88a03f717da7bcfd8e.png","Image")</f>
        <v>Image</v>
      </c>
      <c r="I161" s="991">
        <f t="shared" ref="I161:I162" si="31">ROUND(J161,0)</f>
        <v>2</v>
      </c>
      <c r="J161" s="991">
        <f t="shared" si="29"/>
        <v>1.942857143</v>
      </c>
      <c r="K161" s="992">
        <v>13.0</v>
      </c>
      <c r="L161" s="992">
        <v>14.0</v>
      </c>
      <c r="M161" s="992">
        <v>5.0</v>
      </c>
      <c r="N161" s="992">
        <v>3.0</v>
      </c>
      <c r="O161" s="993" t="str">
        <f>HYPERLINK("https://www.strawpoll.me/19055395","Vote")</f>
        <v>Vote</v>
      </c>
    </row>
    <row r="162">
      <c r="A162" s="872"/>
      <c r="B162" s="962"/>
      <c r="C162" s="959" t="s">
        <v>1767</v>
      </c>
      <c r="D162" s="942"/>
      <c r="E162" s="943">
        <v>3.0</v>
      </c>
      <c r="F162" s="943">
        <v>3.0</v>
      </c>
      <c r="G162" s="943">
        <v>3.0</v>
      </c>
      <c r="H162" s="960" t="str">
        <f>HYPERLINK("https://d15f34w2p8l1cc.cloudfront.net/hearthstone/7d02e006e371523fa18675e61359ac93692149b894a14e11ae96f8575671be38.png","Image")</f>
        <v>Image</v>
      </c>
      <c r="I162" s="991">
        <f t="shared" si="31"/>
        <v>3</v>
      </c>
      <c r="J162" s="991">
        <f t="shared" si="29"/>
        <v>2.837837838</v>
      </c>
      <c r="K162" s="992">
        <v>2.0</v>
      </c>
      <c r="L162" s="992">
        <v>10.0</v>
      </c>
      <c r="M162" s="992">
        <v>17.0</v>
      </c>
      <c r="N162" s="992">
        <v>8.0</v>
      </c>
      <c r="O162" s="993" t="str">
        <f>HYPERLINK("https://www.strawpoll.me/19055397","Vote")</f>
        <v>Vote</v>
      </c>
    </row>
    <row r="163">
      <c r="A163" s="872"/>
      <c r="B163" s="355"/>
      <c r="C163" s="963" t="s">
        <v>1768</v>
      </c>
      <c r="D163" s="964" t="s">
        <v>43</v>
      </c>
      <c r="E163" s="859">
        <v>8.0</v>
      </c>
      <c r="F163" s="965">
        <v>8.0</v>
      </c>
      <c r="G163" s="859">
        <v>4.0</v>
      </c>
      <c r="H163" s="966" t="str">
        <f>HYPERLINK("https://d15f34w2p8l1cc.cloudfront.net/hearthstone/3525ec0b6f265f297ee473ae8728bf5c709520422e4c2f9cb02e13acefc9605b.png","Image")</f>
        <v>Image</v>
      </c>
      <c r="I163" s="992">
        <v>1.0</v>
      </c>
      <c r="J163" s="991">
        <f t="shared" si="29"/>
        <v>2.022727273</v>
      </c>
      <c r="K163" s="992">
        <v>17.0</v>
      </c>
      <c r="L163" s="992">
        <v>15.0</v>
      </c>
      <c r="M163" s="992">
        <v>6.0</v>
      </c>
      <c r="N163" s="992">
        <v>6.0</v>
      </c>
      <c r="O163" s="993" t="str">
        <f>HYPERLINK("https://www.strawpoll.me/19055400","Vote")</f>
        <v>Vote</v>
      </c>
    </row>
    <row r="164" ht="15.75" customHeight="1">
      <c r="A164" s="300"/>
      <c r="B164" s="967"/>
      <c r="C164" s="967"/>
      <c r="D164" s="967"/>
      <c r="E164" s="968"/>
      <c r="F164" s="968"/>
      <c r="G164" s="968"/>
      <c r="H164" s="969"/>
      <c r="I164" s="1016"/>
      <c r="J164" s="1016"/>
      <c r="K164" s="1016"/>
      <c r="L164" s="1016"/>
      <c r="M164" s="1016"/>
      <c r="N164" s="1016"/>
      <c r="O164" s="781"/>
    </row>
  </sheetData>
  <mergeCells count="54">
    <mergeCell ref="B160:B161"/>
    <mergeCell ref="B162:B163"/>
    <mergeCell ref="B137:B139"/>
    <mergeCell ref="B142:B144"/>
    <mergeCell ref="B145:B147"/>
    <mergeCell ref="B148:B149"/>
    <mergeCell ref="B150:B151"/>
    <mergeCell ref="B154:B156"/>
    <mergeCell ref="B157:B159"/>
    <mergeCell ref="C1:D1"/>
    <mergeCell ref="I1:J2"/>
    <mergeCell ref="C2:G2"/>
    <mergeCell ref="C3:H3"/>
    <mergeCell ref="I3:I4"/>
    <mergeCell ref="B5:B26"/>
    <mergeCell ref="B28:B36"/>
    <mergeCell ref="B37:B45"/>
    <mergeCell ref="B46:B50"/>
    <mergeCell ref="C51:H51"/>
    <mergeCell ref="B53:B55"/>
    <mergeCell ref="B56:B58"/>
    <mergeCell ref="B59:B60"/>
    <mergeCell ref="C64:H64"/>
    <mergeCell ref="C77:H77"/>
    <mergeCell ref="B85:B86"/>
    <mergeCell ref="B87:B89"/>
    <mergeCell ref="C90:H90"/>
    <mergeCell ref="B92:B94"/>
    <mergeCell ref="B95:B97"/>
    <mergeCell ref="B98:B99"/>
    <mergeCell ref="B100:B102"/>
    <mergeCell ref="C103:H103"/>
    <mergeCell ref="B61:B63"/>
    <mergeCell ref="B66:B68"/>
    <mergeCell ref="B69:B71"/>
    <mergeCell ref="B72:B73"/>
    <mergeCell ref="B74:B76"/>
    <mergeCell ref="B79:B81"/>
    <mergeCell ref="B82:B84"/>
    <mergeCell ref="B105:B107"/>
    <mergeCell ref="B108:B110"/>
    <mergeCell ref="B111:B112"/>
    <mergeCell ref="B113:B114"/>
    <mergeCell ref="C115:H115"/>
    <mergeCell ref="B117:B119"/>
    <mergeCell ref="B120:B122"/>
    <mergeCell ref="B123:B124"/>
    <mergeCell ref="B125:B126"/>
    <mergeCell ref="C127:H127"/>
    <mergeCell ref="B129:B131"/>
    <mergeCell ref="B132:B134"/>
    <mergeCell ref="B135:B136"/>
    <mergeCell ref="C140:H140"/>
    <mergeCell ref="C152:H152"/>
  </mergeCells>
  <conditionalFormatting sqref="I5:J163">
    <cfRule type="cellIs" dxfId="0" priority="1" operator="equal">
      <formula>1</formula>
    </cfRule>
  </conditionalFormatting>
  <conditionalFormatting sqref="I5:J163">
    <cfRule type="cellIs" dxfId="6" priority="2" operator="equal">
      <formula>3</formula>
    </cfRule>
  </conditionalFormatting>
  <conditionalFormatting sqref="I5:J163">
    <cfRule type="cellIs" dxfId="0" priority="3" operator="equal">
      <formula>4</formula>
    </cfRule>
  </conditionalFormatting>
  <conditionalFormatting sqref="I5:J163">
    <cfRule type="cellIs" dxfId="3" priority="4" operator="equal">
      <formula>2</formula>
    </cfRule>
  </conditionalFormatting>
  <conditionalFormatting sqref="J1:J164">
    <cfRule type="notContainsBlanks" dxfId="5" priority="5">
      <formula>LEN(TRIM(J1))&gt;0</formula>
    </cfRule>
  </conditionalFormatting>
  <hyperlinks>
    <hyperlink r:id="rId1" ref="C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27.75"/>
    <col customWidth="1" min="4" max="4" width="13.5"/>
    <col customWidth="1" min="5" max="7" width="5.13"/>
    <col customWidth="1" min="8" max="8" width="7.0"/>
    <col customWidth="1" min="9" max="16" width="11.38"/>
    <col customWidth="1" min="17" max="17" width="14.75"/>
  </cols>
  <sheetData>
    <row r="1" ht="15.75" customHeight="1">
      <c r="A1" s="300"/>
      <c r="B1" s="300"/>
      <c r="C1" s="777" t="s">
        <v>1616</v>
      </c>
      <c r="D1" s="766"/>
      <c r="E1" s="598"/>
      <c r="F1" s="693"/>
      <c r="G1" s="598"/>
      <c r="H1" s="599"/>
      <c r="I1" s="601" t="s">
        <v>2</v>
      </c>
      <c r="J1" s="601" t="s">
        <v>426</v>
      </c>
      <c r="K1" s="601" t="s">
        <v>1</v>
      </c>
      <c r="L1" s="601" t="s">
        <v>427</v>
      </c>
      <c r="M1" s="601" t="s">
        <v>208</v>
      </c>
      <c r="N1" s="601" t="s">
        <v>3</v>
      </c>
      <c r="O1" s="601" t="s">
        <v>4</v>
      </c>
      <c r="P1" s="817" t="s">
        <v>1772</v>
      </c>
      <c r="Q1" s="599"/>
    </row>
    <row r="2">
      <c r="A2" s="300"/>
      <c r="B2" s="480"/>
      <c r="C2" s="821" t="s">
        <v>1770</v>
      </c>
      <c r="D2" s="348"/>
      <c r="E2" s="348"/>
      <c r="F2" s="348"/>
      <c r="G2" s="349"/>
      <c r="H2" s="822"/>
      <c r="I2" s="286"/>
      <c r="J2" s="286"/>
      <c r="K2" s="286"/>
      <c r="L2" s="286"/>
      <c r="M2" s="286"/>
      <c r="N2" s="286"/>
      <c r="O2" s="286"/>
      <c r="P2" s="604"/>
      <c r="Q2" s="599"/>
    </row>
    <row r="3">
      <c r="A3" s="823"/>
      <c r="B3" s="824"/>
      <c r="C3" s="981" t="s">
        <v>11</v>
      </c>
      <c r="D3" s="759"/>
      <c r="E3" s="759"/>
      <c r="F3" s="759"/>
      <c r="G3" s="759"/>
      <c r="H3" s="9"/>
      <c r="I3" s="1017"/>
      <c r="J3" s="1017"/>
      <c r="K3" s="1017"/>
      <c r="L3" s="1017"/>
      <c r="M3" s="1017"/>
      <c r="N3" s="1017"/>
      <c r="O3" s="1017"/>
      <c r="P3" s="1017"/>
      <c r="Q3" s="307"/>
    </row>
    <row r="4" ht="15.75" customHeight="1">
      <c r="A4" s="829"/>
      <c r="B4" s="636"/>
      <c r="C4" s="984"/>
      <c r="D4" s="985"/>
      <c r="E4" s="986"/>
      <c r="F4" s="986"/>
      <c r="G4" s="986"/>
      <c r="H4" s="1018"/>
      <c r="I4" s="1019" t="s">
        <v>1773</v>
      </c>
      <c r="J4" s="1020"/>
      <c r="K4" s="1020"/>
      <c r="L4" s="1020"/>
      <c r="M4" s="1020"/>
      <c r="N4" s="1020"/>
      <c r="O4" s="1020"/>
      <c r="P4" s="1021"/>
      <c r="Q4" s="781"/>
    </row>
    <row r="5">
      <c r="A5" s="829"/>
      <c r="B5" s="837" t="s">
        <v>1623</v>
      </c>
      <c r="C5" s="838" t="s">
        <v>1624</v>
      </c>
      <c r="D5" s="839"/>
      <c r="E5" s="185">
        <v>2.0</v>
      </c>
      <c r="F5" s="185">
        <v>2.0</v>
      </c>
      <c r="G5" s="185">
        <v>1.0</v>
      </c>
      <c r="H5" s="840" t="str">
        <f>HYPERLINK("https://d15f34w2p8l1cc.cloudfront.net/hearthstone/b477682621ff12b16070a427a4ec1162326b985c27ccfaf844df1a9aac7f8817.png","Image")</f>
        <v>Image</v>
      </c>
      <c r="I5" s="709">
        <v>2.0</v>
      </c>
      <c r="J5" s="1022"/>
      <c r="K5" s="1022"/>
      <c r="L5" s="1022"/>
      <c r="M5" s="709">
        <v>2.0</v>
      </c>
      <c r="N5" s="709">
        <v>1.0</v>
      </c>
      <c r="O5" s="1022"/>
      <c r="P5" s="1023"/>
      <c r="Q5" s="993" t="str">
        <f>HYPERLINK("https://www.strawpoll.me/19055165","Vote")</f>
        <v>Vote</v>
      </c>
    </row>
    <row r="6">
      <c r="A6" s="829"/>
      <c r="B6" s="353"/>
      <c r="C6" s="845" t="s">
        <v>1625</v>
      </c>
      <c r="D6" s="846" t="s">
        <v>20</v>
      </c>
      <c r="E6" s="119">
        <v>1.0</v>
      </c>
      <c r="F6" s="119">
        <v>2.0</v>
      </c>
      <c r="G6" s="119">
        <v>1.0</v>
      </c>
      <c r="H6" s="847" t="str">
        <f>HYPERLINK("https://d15f34w2p8l1cc.cloudfront.net/hearthstone/fe8b794cff2f6e89e48c3e7172df4373db983650d869521991d8aef077e70c95.png","Image")</f>
        <v>Image</v>
      </c>
      <c r="I6" s="714">
        <v>1.0</v>
      </c>
      <c r="J6" s="1024"/>
      <c r="K6" s="1024"/>
      <c r="L6" s="1024"/>
      <c r="M6" s="714">
        <v>3.0</v>
      </c>
      <c r="N6" s="714">
        <v>1.0</v>
      </c>
      <c r="O6" s="1024"/>
      <c r="P6" s="1025"/>
      <c r="Q6" s="993" t="str">
        <f>HYPERLINK("https://www.strawpoll.me/19055176","Vote")</f>
        <v>Vote</v>
      </c>
    </row>
    <row r="7">
      <c r="A7" s="829"/>
      <c r="B7" s="353"/>
      <c r="C7" s="838" t="s">
        <v>1626</v>
      </c>
      <c r="D7" s="852" t="s">
        <v>60</v>
      </c>
      <c r="E7" s="185">
        <v>2.0</v>
      </c>
      <c r="F7" s="185">
        <v>2.0</v>
      </c>
      <c r="G7" s="185">
        <v>2.0</v>
      </c>
      <c r="H7" s="840" t="str">
        <f>HYPERLINK("https://d15f34w2p8l1cc.cloudfront.net/hearthstone/ed5bde179b9003b49f93da347dec0527f94d7dda710b784255f48b52a207ee15.png","Image")</f>
        <v>Image</v>
      </c>
      <c r="I7" s="714">
        <v>3.0</v>
      </c>
      <c r="J7" s="1024"/>
      <c r="K7" s="1024"/>
      <c r="L7" s="1024"/>
      <c r="M7" s="714">
        <v>3.0</v>
      </c>
      <c r="N7" s="714">
        <v>2.0</v>
      </c>
      <c r="O7" s="1024"/>
      <c r="P7" s="1025"/>
      <c r="Q7" s="993" t="str">
        <f>HYPERLINK("https://www.strawpoll.me/19055178","Vote")</f>
        <v>Vote</v>
      </c>
    </row>
    <row r="8">
      <c r="A8" s="829"/>
      <c r="B8" s="353"/>
      <c r="C8" s="853" t="s">
        <v>1627</v>
      </c>
      <c r="D8" s="854" t="s">
        <v>22</v>
      </c>
      <c r="E8" s="855">
        <v>2.0</v>
      </c>
      <c r="F8" s="855">
        <v>1.0</v>
      </c>
      <c r="G8" s="855">
        <v>2.0</v>
      </c>
      <c r="H8" s="856" t="str">
        <f>HYPERLINK("https://d15f34w2p8l1cc.cloudfront.net/hearthstone/a2aef4dd7d8abfa42694db3d374326186c526013a928f4faaa1bc54ab6734133.png","Image")</f>
        <v>Image</v>
      </c>
      <c r="I8" s="714">
        <v>1.0</v>
      </c>
      <c r="J8" s="1024"/>
      <c r="K8" s="1024"/>
      <c r="L8" s="1024"/>
      <c r="M8" s="714">
        <v>1.0</v>
      </c>
      <c r="N8" s="714">
        <v>1.0</v>
      </c>
      <c r="O8" s="1024"/>
      <c r="P8" s="1025"/>
      <c r="Q8" s="993" t="str">
        <f>HYPERLINK("https://www.strawpoll.me/19055179","Vote")</f>
        <v>Vote</v>
      </c>
    </row>
    <row r="9">
      <c r="A9" s="829"/>
      <c r="B9" s="353"/>
      <c r="C9" s="857" t="s">
        <v>1628</v>
      </c>
      <c r="D9" s="858" t="s">
        <v>51</v>
      </c>
      <c r="E9" s="859">
        <v>2.0</v>
      </c>
      <c r="F9" s="859">
        <v>2.0</v>
      </c>
      <c r="G9" s="859">
        <v>2.0</v>
      </c>
      <c r="H9" s="860" t="str">
        <f>HYPERLINK("https://d15f34w2p8l1cc.cloudfront.net/hearthstone/2bc325052adc4f12270e6f4c8bba11bc8b7cd394235eb2136c68c00b860908bb.png","Image")</f>
        <v>Image</v>
      </c>
      <c r="I9" s="714">
        <v>1.0</v>
      </c>
      <c r="J9" s="1024"/>
      <c r="K9" s="1024"/>
      <c r="L9" s="1024"/>
      <c r="M9" s="714">
        <v>3.0</v>
      </c>
      <c r="N9" s="714">
        <v>2.0</v>
      </c>
      <c r="O9" s="1024"/>
      <c r="P9" s="1025"/>
      <c r="Q9" s="993" t="str">
        <f>HYPERLINK("https://www.strawpoll.me/19055180","Vote")</f>
        <v>Vote</v>
      </c>
    </row>
    <row r="10">
      <c r="A10" s="829"/>
      <c r="B10" s="353"/>
      <c r="C10" s="838" t="s">
        <v>1629</v>
      </c>
      <c r="D10" s="839"/>
      <c r="E10" s="185">
        <v>3.0</v>
      </c>
      <c r="F10" s="185">
        <v>3.0</v>
      </c>
      <c r="G10" s="185">
        <v>3.0</v>
      </c>
      <c r="H10" s="840" t="str">
        <f>HYPERLINK("https://d15f34w2p8l1cc.cloudfront.net/hearthstone/a3733ea13b0e98346c020211f6ea267fc06ffb88b3495818f7427ee1419e7c65.png","Image")</f>
        <v>Image</v>
      </c>
      <c r="I10" s="714">
        <v>3.0</v>
      </c>
      <c r="J10" s="1024"/>
      <c r="K10" s="1024"/>
      <c r="L10" s="1024"/>
      <c r="M10" s="714">
        <v>3.0</v>
      </c>
      <c r="N10" s="714">
        <v>3.0</v>
      </c>
      <c r="O10" s="1024"/>
      <c r="P10" s="1025"/>
      <c r="Q10" s="993" t="str">
        <f>HYPERLINK("https://www.strawpoll.me/19055181","Vote")</f>
        <v>Vote</v>
      </c>
    </row>
    <row r="11">
      <c r="A11" s="829"/>
      <c r="B11" s="353"/>
      <c r="C11" s="710" t="s">
        <v>1630</v>
      </c>
      <c r="D11" s="861" t="s">
        <v>27</v>
      </c>
      <c r="E11" s="176">
        <v>1.0</v>
      </c>
      <c r="F11" s="176">
        <v>3.0</v>
      </c>
      <c r="G11" s="176">
        <v>3.0</v>
      </c>
      <c r="H11" s="791" t="str">
        <f>HYPERLINK("https://d15f34w2p8l1cc.cloudfront.net/hearthstone/0f7f762ba943cc297c497661b232a1803215051b212486fb4c6bec66383f11e1.png","Image")</f>
        <v>Image</v>
      </c>
      <c r="I11" s="714">
        <v>1.0</v>
      </c>
      <c r="J11" s="1024"/>
      <c r="K11" s="1024"/>
      <c r="L11" s="1024"/>
      <c r="M11" s="714">
        <v>1.0</v>
      </c>
      <c r="N11" s="714">
        <v>1.0</v>
      </c>
      <c r="O11" s="1024"/>
      <c r="P11" s="1025"/>
      <c r="Q11" s="993" t="str">
        <f>HYPERLINK("https://www.strawpoll.me/19055185","Vote")</f>
        <v>Vote</v>
      </c>
    </row>
    <row r="12">
      <c r="A12" s="829"/>
      <c r="B12" s="353"/>
      <c r="C12" s="853" t="s">
        <v>1631</v>
      </c>
      <c r="D12" s="854" t="s">
        <v>27</v>
      </c>
      <c r="E12" s="855">
        <v>3.0</v>
      </c>
      <c r="F12" s="855">
        <v>4.0</v>
      </c>
      <c r="G12" s="855">
        <v>3.0</v>
      </c>
      <c r="H12" s="856" t="str">
        <f>HYPERLINK("https://d15f34w2p8l1cc.cloudfront.net/hearthstone/75241ae18478c0343cf8f28c888adca190a26cd132f36a2fa070afcfa0a96ddb.png","Image")</f>
        <v>Image</v>
      </c>
      <c r="I12" s="714">
        <v>1.0</v>
      </c>
      <c r="J12" s="1024"/>
      <c r="K12" s="1024"/>
      <c r="L12" s="1024"/>
      <c r="M12" s="714">
        <v>1.0</v>
      </c>
      <c r="N12" s="714">
        <v>2.0</v>
      </c>
      <c r="O12" s="1024"/>
      <c r="P12" s="1025"/>
      <c r="Q12" s="993" t="str">
        <f>HYPERLINK("https://www.strawpoll.me/19055186","Vote")</f>
        <v>Vote</v>
      </c>
    </row>
    <row r="13">
      <c r="A13" s="829"/>
      <c r="B13" s="353"/>
      <c r="C13" s="857" t="s">
        <v>1632</v>
      </c>
      <c r="D13" s="862"/>
      <c r="E13" s="859">
        <v>3.0</v>
      </c>
      <c r="F13" s="859">
        <v>3.0</v>
      </c>
      <c r="G13" s="859">
        <v>3.0</v>
      </c>
      <c r="H13" s="860" t="str">
        <f>HYPERLINK("https://d15f34w2p8l1cc.cloudfront.net/hearthstone/d663f3a156b8e3fffe29448c83c1fcde94934b6039d0935d9576730b1b73406a.png","Image")</f>
        <v>Image</v>
      </c>
      <c r="I13" s="714">
        <v>2.0</v>
      </c>
      <c r="J13" s="1024"/>
      <c r="K13" s="1024"/>
      <c r="L13" s="1024"/>
      <c r="M13" s="714">
        <v>2.0</v>
      </c>
      <c r="N13" s="714">
        <v>3.0</v>
      </c>
      <c r="O13" s="1024"/>
      <c r="P13" s="1025"/>
      <c r="Q13" s="993" t="str">
        <f>HYPERLINK("https://www.strawpoll.me/19055187","Vote")</f>
        <v>Vote</v>
      </c>
    </row>
    <row r="14">
      <c r="A14" s="829"/>
      <c r="B14" s="353"/>
      <c r="C14" s="838" t="s">
        <v>1633</v>
      </c>
      <c r="D14" s="852" t="s">
        <v>43</v>
      </c>
      <c r="E14" s="185">
        <v>5.0</v>
      </c>
      <c r="F14" s="185">
        <v>4.0</v>
      </c>
      <c r="G14" s="185">
        <v>4.0</v>
      </c>
      <c r="H14" s="840" t="str">
        <f>HYPERLINK("https://d15f34w2p8l1cc.cloudfront.net/hearthstone/c33e8ccea783a88d1d2f39b1d5f1924e68c3375d178a8af1c5573710b1cb053a.png","Image")</f>
        <v>Image</v>
      </c>
      <c r="I14" s="714">
        <v>1.0</v>
      </c>
      <c r="J14" s="1024"/>
      <c r="K14" s="1024"/>
      <c r="L14" s="1024"/>
      <c r="M14" s="714">
        <v>3.0</v>
      </c>
      <c r="N14" s="714">
        <v>2.0</v>
      </c>
      <c r="O14" s="1024"/>
      <c r="P14" s="1025"/>
      <c r="Q14" s="993" t="str">
        <f>HYPERLINK("https://www.strawpoll.me/19055188","Vote")</f>
        <v>Vote</v>
      </c>
    </row>
    <row r="15">
      <c r="A15" s="829"/>
      <c r="B15" s="353"/>
      <c r="C15" s="853" t="s">
        <v>1634</v>
      </c>
      <c r="D15" s="863"/>
      <c r="E15" s="855">
        <v>2.0</v>
      </c>
      <c r="F15" s="855">
        <v>5.0</v>
      </c>
      <c r="G15" s="855">
        <v>4.0</v>
      </c>
      <c r="H15" s="856" t="str">
        <f>HYPERLINK("https://d15f34w2p8l1cc.cloudfront.net/hearthstone/4aea7e1a9fbe32141c8bdd2aa07d38e3bc617cd5501d099914567841f48308d3.png","Image")</f>
        <v>Image</v>
      </c>
      <c r="I15" s="714">
        <v>1.0</v>
      </c>
      <c r="J15" s="1024"/>
      <c r="K15" s="1024"/>
      <c r="L15" s="1024"/>
      <c r="M15" s="714">
        <v>1.0</v>
      </c>
      <c r="N15" s="714">
        <v>2.0</v>
      </c>
      <c r="O15" s="1024"/>
      <c r="P15" s="1025"/>
      <c r="Q15" s="993" t="str">
        <f>HYPERLINK("https://www.strawpoll.me/19055189","Vote")</f>
        <v>Vote</v>
      </c>
    </row>
    <row r="16">
      <c r="A16" s="829"/>
      <c r="B16" s="353"/>
      <c r="C16" s="853" t="s">
        <v>1635</v>
      </c>
      <c r="D16" s="863"/>
      <c r="E16" s="855">
        <v>3.0</v>
      </c>
      <c r="F16" s="855">
        <v>3.0</v>
      </c>
      <c r="G16" s="855">
        <v>4.0</v>
      </c>
      <c r="H16" s="856" t="str">
        <f>HYPERLINK("https://d15f34w2p8l1cc.cloudfront.net/hearthstone/e104a8a9c8c568b5a7a0a41efc69f0371d4e7689127aaf28671449975c6c8847.png","Image")</f>
        <v>Image</v>
      </c>
      <c r="I16" s="714">
        <v>1.0</v>
      </c>
      <c r="J16" s="1024"/>
      <c r="K16" s="1024"/>
      <c r="L16" s="1024"/>
      <c r="M16" s="714">
        <v>2.0</v>
      </c>
      <c r="N16" s="714">
        <v>3.0</v>
      </c>
      <c r="O16" s="1024"/>
      <c r="P16" s="1025"/>
      <c r="Q16" s="993" t="str">
        <f>HYPERLINK("https://www.strawpoll.me/19055191","Vote")</f>
        <v>Vote</v>
      </c>
    </row>
    <row r="17">
      <c r="A17" s="829"/>
      <c r="B17" s="353"/>
      <c r="C17" s="853" t="s">
        <v>1636</v>
      </c>
      <c r="D17" s="863" t="s">
        <v>22</v>
      </c>
      <c r="E17" s="855">
        <v>2.0</v>
      </c>
      <c r="F17" s="855">
        <v>6.0</v>
      </c>
      <c r="G17" s="855">
        <v>4.0</v>
      </c>
      <c r="H17" s="856" t="str">
        <f>HYPERLINK("https://d15f34w2p8l1cc.cloudfront.net/hearthstone/2a5a89befa4902988c98587138b74fa2b71657afce3e7c979e025c31ae2b0597.png","Image")</f>
        <v>Image</v>
      </c>
      <c r="I17" s="714">
        <v>1.0</v>
      </c>
      <c r="J17" s="1024"/>
      <c r="K17" s="1024"/>
      <c r="L17" s="1024"/>
      <c r="M17" s="714">
        <v>1.0</v>
      </c>
      <c r="N17" s="714">
        <v>1.0</v>
      </c>
      <c r="O17" s="1024"/>
      <c r="P17" s="1025"/>
      <c r="Q17" s="993" t="str">
        <f>HYPERLINK("https://www.strawpoll.me/19055192","Vote")</f>
        <v>Vote</v>
      </c>
    </row>
    <row r="18">
      <c r="A18" s="829"/>
      <c r="B18" s="353"/>
      <c r="C18" s="864" t="s">
        <v>1637</v>
      </c>
      <c r="D18" s="865" t="s">
        <v>1638</v>
      </c>
      <c r="E18" s="859">
        <v>2.0</v>
      </c>
      <c r="F18" s="859">
        <v>2.0</v>
      </c>
      <c r="G18" s="859">
        <v>4.0</v>
      </c>
      <c r="H18" s="860" t="str">
        <f>HYPERLINK("https://d15f34w2p8l1cc.cloudfront.net/hearthstone/5fac13e098b7528f46558b1eaad8596d3ceb72271c9c829f8cd72dd15ab6ec73.png","Image")</f>
        <v>Image</v>
      </c>
      <c r="I18" s="714">
        <v>1.0</v>
      </c>
      <c r="J18" s="1024"/>
      <c r="K18" s="1024"/>
      <c r="L18" s="1024"/>
      <c r="M18" s="714">
        <v>2.0</v>
      </c>
      <c r="N18" s="714">
        <v>1.0</v>
      </c>
      <c r="O18" s="1024"/>
      <c r="P18" s="1025"/>
      <c r="Q18" s="993" t="str">
        <f>HYPERLINK("https://www.strawpoll.me/19055193","Vote")</f>
        <v>Vote</v>
      </c>
    </row>
    <row r="19">
      <c r="A19" s="829"/>
      <c r="B19" s="353"/>
      <c r="C19" s="866" t="s">
        <v>1639</v>
      </c>
      <c r="D19" s="867" t="s">
        <v>43</v>
      </c>
      <c r="E19" s="868">
        <v>5.0</v>
      </c>
      <c r="F19" s="868">
        <v>5.0</v>
      </c>
      <c r="G19" s="868">
        <v>5.0</v>
      </c>
      <c r="H19" s="869" t="str">
        <f>HYPERLINK("https://d15f34w2p8l1cc.cloudfront.net/hearthstone/eaa4b92eec09656b619585e8a4a9f6fc18f9fa0279d64733b009e047c10de793.png","Image")</f>
        <v>Image</v>
      </c>
      <c r="I19" s="714">
        <v>3.0</v>
      </c>
      <c r="J19" s="1024"/>
      <c r="K19" s="1024"/>
      <c r="L19" s="1024"/>
      <c r="M19" s="714">
        <v>3.0</v>
      </c>
      <c r="N19" s="714">
        <v>3.0</v>
      </c>
      <c r="O19" s="1024"/>
      <c r="P19" s="1025"/>
      <c r="Q19" s="993" t="str">
        <f>HYPERLINK("https://www.strawpoll.me/19055195","Vote")</f>
        <v>Vote</v>
      </c>
    </row>
    <row r="20">
      <c r="A20" s="829"/>
      <c r="B20" s="353"/>
      <c r="C20" s="853" t="s">
        <v>1640</v>
      </c>
      <c r="D20" s="854" t="s">
        <v>1638</v>
      </c>
      <c r="E20" s="855">
        <v>4.0</v>
      </c>
      <c r="F20" s="855">
        <v>5.0</v>
      </c>
      <c r="G20" s="855">
        <v>5.0</v>
      </c>
      <c r="H20" s="856" t="str">
        <f>HYPERLINK("https://d15f34w2p8l1cc.cloudfront.net/hearthstone/be087d697092da272684956cc1e9e4a9a210df2674001fb15699c8755513cbca.png","Image")</f>
        <v>Image</v>
      </c>
      <c r="I20" s="714">
        <v>2.0</v>
      </c>
      <c r="J20" s="1024"/>
      <c r="K20" s="1024"/>
      <c r="L20" s="1024"/>
      <c r="M20" s="714">
        <v>2.0</v>
      </c>
      <c r="N20" s="714">
        <v>3.0</v>
      </c>
      <c r="O20" s="1024"/>
      <c r="P20" s="1025"/>
      <c r="Q20" s="993" t="str">
        <f>HYPERLINK("https://www.strawpoll.me/19055196","Vote")</f>
        <v>Vote</v>
      </c>
    </row>
    <row r="21">
      <c r="A21" s="829"/>
      <c r="B21" s="353"/>
      <c r="C21" s="864" t="s">
        <v>1641</v>
      </c>
      <c r="D21" s="865"/>
      <c r="E21" s="859">
        <v>5.0</v>
      </c>
      <c r="F21" s="859">
        <v>5.0</v>
      </c>
      <c r="G21" s="859">
        <v>5.0</v>
      </c>
      <c r="H21" s="860" t="str">
        <f>HYPERLINK("https://d15f34w2p8l1cc.cloudfront.net/hearthstone/925d3e5dc70cc425e968f4d8b41ea9c5d5ff62ad463e2006310a6f30a5939950.png","Image")</f>
        <v>Image</v>
      </c>
      <c r="I21" s="714">
        <v>1.0</v>
      </c>
      <c r="J21" s="1024"/>
      <c r="K21" s="1024"/>
      <c r="L21" s="1024"/>
      <c r="M21" s="714">
        <v>1.0</v>
      </c>
      <c r="N21" s="714">
        <v>2.0</v>
      </c>
      <c r="O21" s="1024"/>
      <c r="P21" s="1025"/>
      <c r="Q21" s="993" t="str">
        <f>HYPERLINK("https://www.strawpoll.me/19055199","Vote")</f>
        <v>Vote</v>
      </c>
    </row>
    <row r="22">
      <c r="A22" s="829"/>
      <c r="B22" s="353"/>
      <c r="C22" s="838" t="s">
        <v>1642</v>
      </c>
      <c r="D22" s="852" t="s">
        <v>20</v>
      </c>
      <c r="E22" s="185">
        <v>6.0</v>
      </c>
      <c r="F22" s="185">
        <v>6.0</v>
      </c>
      <c r="G22" s="185">
        <v>6.0</v>
      </c>
      <c r="H22" s="840" t="str">
        <f>HYPERLINK("https://d15f34w2p8l1cc.cloudfront.net/hearthstone/3b53ecb792bf7956e71640b368aed3dc2eb8fd91031c319b254de0e12a043377.png","Image")</f>
        <v>Image</v>
      </c>
      <c r="I22" s="714">
        <v>1.0</v>
      </c>
      <c r="J22" s="1024"/>
      <c r="K22" s="1024"/>
      <c r="L22" s="1024"/>
      <c r="M22" s="714">
        <v>1.0</v>
      </c>
      <c r="N22" s="714">
        <v>2.0</v>
      </c>
      <c r="O22" s="1024"/>
      <c r="P22" s="1025"/>
      <c r="Q22" s="993" t="str">
        <f>HYPERLINK("https://www.strawpoll.me/19055200","Vote")</f>
        <v>Vote</v>
      </c>
    </row>
    <row r="23">
      <c r="A23" s="829"/>
      <c r="B23" s="353"/>
      <c r="C23" s="853" t="s">
        <v>1643</v>
      </c>
      <c r="D23" s="863" t="s">
        <v>20</v>
      </c>
      <c r="E23" s="855">
        <v>4.0</v>
      </c>
      <c r="F23" s="855">
        <v>5.0</v>
      </c>
      <c r="G23" s="855">
        <v>6.0</v>
      </c>
      <c r="H23" s="856" t="str">
        <f>HYPERLINK("https://d15f34w2p8l1cc.cloudfront.net/hearthstone/c9b81b760ced55e97b768fa10c37e821c246b5b6f495d63602b26ac1aa2d3da2.png","Image")</f>
        <v>Image</v>
      </c>
      <c r="I23" s="714">
        <v>1.0</v>
      </c>
      <c r="J23" s="1024"/>
      <c r="K23" s="1024"/>
      <c r="L23" s="1024"/>
      <c r="M23" s="714">
        <v>1.0</v>
      </c>
      <c r="N23" s="714">
        <v>2.0</v>
      </c>
      <c r="O23" s="1024"/>
      <c r="P23" s="1025"/>
      <c r="Q23" s="993" t="str">
        <f>HYPERLINK("https://www.strawpoll.me/19055201","Vote")</f>
        <v>Vote</v>
      </c>
    </row>
    <row r="24">
      <c r="A24" s="829"/>
      <c r="B24" s="353"/>
      <c r="C24" s="864" t="s">
        <v>1644</v>
      </c>
      <c r="D24" s="865" t="s">
        <v>43</v>
      </c>
      <c r="E24" s="859">
        <v>5.0</v>
      </c>
      <c r="F24" s="859">
        <v>3.0</v>
      </c>
      <c r="G24" s="859">
        <v>6.0</v>
      </c>
      <c r="H24" s="860" t="str">
        <f>HYPERLINK("https://d15f34w2p8l1cc.cloudfront.net/hearthstone/4025b7f0bf24c1cdbd1a75006eced26232bb30045695c5ccc3b17cf84a41bbed.png","Image")</f>
        <v>Image</v>
      </c>
      <c r="I24" s="714">
        <v>2.0</v>
      </c>
      <c r="J24" s="1024"/>
      <c r="K24" s="1024"/>
      <c r="L24" s="1024"/>
      <c r="M24" s="714">
        <v>2.0</v>
      </c>
      <c r="N24" s="714">
        <v>3.0</v>
      </c>
      <c r="O24" s="1024"/>
      <c r="P24" s="1025"/>
      <c r="Q24" s="993" t="str">
        <f>HYPERLINK("https://www.strawpoll.me/19055202","Vote")</f>
        <v>Vote</v>
      </c>
    </row>
    <row r="25">
      <c r="A25" s="872"/>
      <c r="B25" s="353"/>
      <c r="C25" s="873" t="s">
        <v>1645</v>
      </c>
      <c r="D25" s="874" t="s">
        <v>43</v>
      </c>
      <c r="E25" s="176">
        <v>7.0</v>
      </c>
      <c r="F25" s="176">
        <v>7.0</v>
      </c>
      <c r="G25" s="176">
        <v>7.0</v>
      </c>
      <c r="H25" s="791" t="str">
        <f>HYPERLINK("https://d15f34w2p8l1cc.cloudfront.net/hearthstone/57a781385891a38295816f58b4f14f6065ff3174f0cf3f445b9e21b95946cdc6.png","Image")</f>
        <v>Image</v>
      </c>
      <c r="I25" s="714">
        <v>2.0</v>
      </c>
      <c r="J25" s="1024"/>
      <c r="K25" s="1024"/>
      <c r="L25" s="1024"/>
      <c r="M25" s="714">
        <v>2.0</v>
      </c>
      <c r="N25" s="714">
        <v>2.0</v>
      </c>
      <c r="O25" s="1024"/>
      <c r="P25" s="1025"/>
      <c r="Q25" s="993" t="str">
        <f>HYPERLINK("https://www.strawpoll.me/19055203","Vote")</f>
        <v>Vote</v>
      </c>
    </row>
    <row r="26" ht="17.25" customHeight="1">
      <c r="A26" s="829"/>
      <c r="B26" s="355"/>
      <c r="C26" s="875" t="s">
        <v>1646</v>
      </c>
      <c r="D26" s="876" t="s">
        <v>43</v>
      </c>
      <c r="E26" s="877">
        <v>4.0</v>
      </c>
      <c r="F26" s="877">
        <v>10.0</v>
      </c>
      <c r="G26" s="877">
        <v>8.0</v>
      </c>
      <c r="H26" s="878" t="str">
        <f>HYPERLINK("https://d15f34w2p8l1cc.cloudfront.net/hearthstone/e207bae988eef3e4ab4d989a1086ae5ec4c82b1a770c1e828affb8a0da139d49.png","Image")</f>
        <v>Image</v>
      </c>
      <c r="I26" s="774">
        <v>1.0</v>
      </c>
      <c r="J26" s="1026"/>
      <c r="K26" s="1026"/>
      <c r="L26" s="1026"/>
      <c r="M26" s="774">
        <v>2.0</v>
      </c>
      <c r="N26" s="774">
        <v>2.0</v>
      </c>
      <c r="O26" s="1026"/>
      <c r="P26" s="1027"/>
      <c r="Q26" s="993" t="str">
        <f>HYPERLINK("https://www.strawpoll.me/19055205","Vote")</f>
        <v>Vote</v>
      </c>
    </row>
    <row r="27" ht="15.75" customHeight="1">
      <c r="A27" s="883"/>
      <c r="B27" s="884"/>
      <c r="C27" s="740"/>
      <c r="D27" s="885"/>
      <c r="E27" s="743"/>
      <c r="F27" s="743"/>
      <c r="G27" s="743"/>
      <c r="H27" s="886"/>
      <c r="I27" s="1028" t="s">
        <v>2</v>
      </c>
      <c r="J27" s="1028" t="s">
        <v>426</v>
      </c>
      <c r="K27" s="1028" t="s">
        <v>1</v>
      </c>
      <c r="L27" s="1028" t="s">
        <v>427</v>
      </c>
      <c r="M27" s="1028" t="s">
        <v>208</v>
      </c>
      <c r="N27" s="1028" t="s">
        <v>3</v>
      </c>
      <c r="O27" s="1028" t="s">
        <v>4</v>
      </c>
      <c r="P27" s="1028" t="s">
        <v>1772</v>
      </c>
      <c r="Q27" s="307"/>
    </row>
    <row r="28">
      <c r="A28" s="829"/>
      <c r="B28" s="889" t="s">
        <v>734</v>
      </c>
      <c r="C28" s="890" t="s">
        <v>1647</v>
      </c>
      <c r="D28" s="891"/>
      <c r="E28" s="892">
        <v>0.0</v>
      </c>
      <c r="F28" s="892">
        <v>5.0</v>
      </c>
      <c r="G28" s="892">
        <v>1.0</v>
      </c>
      <c r="H28" s="893" t="str">
        <f>HYPERLINK("https://d15f34w2p8l1cc.cloudfront.net/hearthstone/2893838e459524f0a547a63c320097055b843ee9c3e6c7ef8c526dc9d3a40978.png","Image")</f>
        <v>Image</v>
      </c>
      <c r="I28" s="709">
        <v>1.0</v>
      </c>
      <c r="J28" s="1022"/>
      <c r="K28" s="1022"/>
      <c r="L28" s="1022"/>
      <c r="M28" s="709">
        <v>1.0</v>
      </c>
      <c r="N28" s="709">
        <v>3.0</v>
      </c>
      <c r="O28" s="1022"/>
      <c r="P28" s="1023"/>
      <c r="Q28" s="993" t="str">
        <f>HYPERLINK("https://www.strawpoll.me/19055206","Vote")</f>
        <v>Vote</v>
      </c>
    </row>
    <row r="29">
      <c r="A29" s="829"/>
      <c r="B29" s="353"/>
      <c r="C29" s="896" t="s">
        <v>1648</v>
      </c>
      <c r="D29" s="897"/>
      <c r="E29" s="898">
        <v>2.0</v>
      </c>
      <c r="F29" s="898">
        <v>3.0</v>
      </c>
      <c r="G29" s="898">
        <v>2.0</v>
      </c>
      <c r="H29" s="899" t="str">
        <f>HYPERLINK("https://d15f34w2p8l1cc.cloudfront.net/hearthstone/2c116ec91bf64eb84485425c0249980f62c6bfd8ffe3bacc40de780d96f8dfbe.png","Image")</f>
        <v>Image</v>
      </c>
      <c r="I29" s="714">
        <v>2.0</v>
      </c>
      <c r="J29" s="1024"/>
      <c r="K29" s="1024"/>
      <c r="L29" s="1024"/>
      <c r="M29" s="714">
        <v>2.0</v>
      </c>
      <c r="N29" s="714">
        <v>2.0</v>
      </c>
      <c r="O29" s="1024"/>
      <c r="P29" s="1025"/>
      <c r="Q29" s="993" t="str">
        <f>HYPERLINK("https://www.strawpoll.me/19055210","Vote")</f>
        <v>Vote</v>
      </c>
    </row>
    <row r="30">
      <c r="A30" s="829"/>
      <c r="B30" s="353"/>
      <c r="C30" s="900" t="s">
        <v>1649</v>
      </c>
      <c r="D30" s="901" t="s">
        <v>22</v>
      </c>
      <c r="E30" s="902">
        <v>4.0</v>
      </c>
      <c r="F30" s="902">
        <v>3.0</v>
      </c>
      <c r="G30" s="902">
        <v>3.0</v>
      </c>
      <c r="H30" s="903" t="str">
        <f>HYPERLINK("https://d15f34w2p8l1cc.cloudfront.net/hearthstone/874b43e029702979dd6fc6ee1664c1dd9a88682b183f73f44943d8aa7d93c0be.png","Image")</f>
        <v>Image</v>
      </c>
      <c r="I30" s="714">
        <v>1.0</v>
      </c>
      <c r="J30" s="1024"/>
      <c r="K30" s="1024"/>
      <c r="L30" s="1024"/>
      <c r="M30" s="714">
        <v>2.0</v>
      </c>
      <c r="N30" s="714">
        <v>2.0</v>
      </c>
      <c r="O30" s="1024"/>
      <c r="P30" s="1025"/>
      <c r="Q30" s="993" t="str">
        <f>HYPERLINK("https://www.strawpoll.me/19055212","Vote")</f>
        <v>Vote</v>
      </c>
    </row>
    <row r="31">
      <c r="A31" s="829"/>
      <c r="B31" s="353"/>
      <c r="C31" s="890" t="s">
        <v>1650</v>
      </c>
      <c r="D31" s="904"/>
      <c r="E31" s="905">
        <v>4.0</v>
      </c>
      <c r="F31" s="905">
        <v>4.0</v>
      </c>
      <c r="G31" s="905">
        <v>4.0</v>
      </c>
      <c r="H31" s="893" t="str">
        <f>HYPERLINK("https://d15f34w2p8l1cc.cloudfront.net/hearthstone/961f15f18574d1dbebe851a0ccdb8b4d7c6300e9556d3267b003b37bfe10d8d9.png","Image")</f>
        <v>Image</v>
      </c>
      <c r="I31" s="714">
        <v>2.0</v>
      </c>
      <c r="J31" s="1024"/>
      <c r="K31" s="1024"/>
      <c r="L31" s="1024"/>
      <c r="M31" s="714">
        <v>4.0</v>
      </c>
      <c r="N31" s="714">
        <v>4.0</v>
      </c>
      <c r="O31" s="1024"/>
      <c r="P31" s="1025"/>
      <c r="Q31" s="993" t="str">
        <f>HYPERLINK("https://www.strawpoll.me/19055214","Vote")</f>
        <v>Vote</v>
      </c>
    </row>
    <row r="32">
      <c r="A32" s="829"/>
      <c r="B32" s="353"/>
      <c r="C32" s="720" t="s">
        <v>1651</v>
      </c>
      <c r="D32" s="906" t="s">
        <v>60</v>
      </c>
      <c r="E32" s="508">
        <v>4.0</v>
      </c>
      <c r="F32" s="508">
        <v>2.0</v>
      </c>
      <c r="G32" s="508">
        <v>4.0</v>
      </c>
      <c r="H32" s="899" t="str">
        <f>HYPERLINK("https://d15f34w2p8l1cc.cloudfront.net/hearthstone/98fd22b7711f42ce2a0a252758caee29bb3996b058dd1c3af60a24b00e5fdff1.png","Image")</f>
        <v>Image</v>
      </c>
      <c r="I32" s="714">
        <v>2.0</v>
      </c>
      <c r="J32" s="1024"/>
      <c r="K32" s="1024"/>
      <c r="L32" s="1024"/>
      <c r="M32" s="714">
        <v>3.0</v>
      </c>
      <c r="N32" s="714">
        <v>3.0</v>
      </c>
      <c r="O32" s="1024"/>
      <c r="P32" s="1025"/>
      <c r="Q32" s="993" t="str">
        <f>HYPERLINK("https://www.strawpoll.me/19055215","Vote")</f>
        <v>Vote</v>
      </c>
    </row>
    <row r="33">
      <c r="A33" s="829"/>
      <c r="B33" s="353"/>
      <c r="C33" s="907" t="s">
        <v>1652</v>
      </c>
      <c r="D33" s="908"/>
      <c r="E33" s="909">
        <v>3.0</v>
      </c>
      <c r="F33" s="909">
        <v>9.0</v>
      </c>
      <c r="G33" s="909">
        <v>4.0</v>
      </c>
      <c r="H33" s="910" t="str">
        <f>HYPERLINK("https://d15f34w2p8l1cc.cloudfront.net/hearthstone/14617b8b27bc155a90376b930e6f95b209137be71cc6bb4f80b0ceb767614a1c.png","Image")</f>
        <v>Image</v>
      </c>
      <c r="I33" s="714">
        <v>1.0</v>
      </c>
      <c r="J33" s="1024"/>
      <c r="K33" s="1024"/>
      <c r="L33" s="1024"/>
      <c r="M33" s="714">
        <v>1.0</v>
      </c>
      <c r="N33" s="714">
        <v>1.0</v>
      </c>
      <c r="O33" s="1024"/>
      <c r="P33" s="1025"/>
      <c r="Q33" s="993" t="str">
        <f>HYPERLINK("https://www.strawpoll.me/19055216","Vote")</f>
        <v>Vote</v>
      </c>
    </row>
    <row r="34">
      <c r="A34" s="872"/>
      <c r="B34" s="353"/>
      <c r="C34" s="890" t="s">
        <v>1653</v>
      </c>
      <c r="D34" s="891"/>
      <c r="E34" s="892">
        <v>5.0</v>
      </c>
      <c r="F34" s="892">
        <v>4.0</v>
      </c>
      <c r="G34" s="892">
        <v>5.0</v>
      </c>
      <c r="H34" s="911" t="str">
        <f>HYPERLINK("https://d15f34w2p8l1cc.cloudfront.net/hearthstone/4f270048f530eba4ff1cd5a49a5e605d3690bd1a7da9a8efc86d9c7ee2b276b9.png","Image")</f>
        <v>Image</v>
      </c>
      <c r="I34" s="714">
        <v>4.0</v>
      </c>
      <c r="J34" s="1024"/>
      <c r="K34" s="1024"/>
      <c r="L34" s="1024"/>
      <c r="M34" s="714">
        <v>4.0</v>
      </c>
      <c r="N34" s="714">
        <v>4.0</v>
      </c>
      <c r="O34" s="1024"/>
      <c r="P34" s="1025"/>
      <c r="Q34" s="993" t="str">
        <f>HYPERLINK("https://www.strawpoll.me/19055218","Vote")</f>
        <v>Vote</v>
      </c>
    </row>
    <row r="35" ht="17.25" customHeight="1">
      <c r="A35" s="829"/>
      <c r="B35" s="353"/>
      <c r="C35" s="720" t="s">
        <v>1654</v>
      </c>
      <c r="D35" s="912" t="s">
        <v>43</v>
      </c>
      <c r="E35" s="508">
        <v>3.0</v>
      </c>
      <c r="F35" s="508">
        <v>5.0</v>
      </c>
      <c r="G35" s="508">
        <v>5.0</v>
      </c>
      <c r="H35" s="899" t="str">
        <f>HYPERLINK("https://d15f34w2p8l1cc.cloudfront.net/hearthstone/4cb2876632d961c7417fc7906f7557469308c4d94949328b8113a34adeb55db2.png","Image")</f>
        <v>Image</v>
      </c>
      <c r="I35" s="714">
        <v>2.0</v>
      </c>
      <c r="J35" s="1024"/>
      <c r="K35" s="1024"/>
      <c r="L35" s="1024"/>
      <c r="M35" s="714">
        <v>3.0</v>
      </c>
      <c r="N35" s="714">
        <v>3.0</v>
      </c>
      <c r="O35" s="1024"/>
      <c r="P35" s="1025"/>
      <c r="Q35" s="993" t="str">
        <f>HYPERLINK("https://www.strawpoll.me/19055219","Vote")</f>
        <v>Vote</v>
      </c>
    </row>
    <row r="36">
      <c r="A36" s="872"/>
      <c r="B36" s="353"/>
      <c r="C36" s="913" t="s">
        <v>1655</v>
      </c>
      <c r="D36" s="914"/>
      <c r="E36" s="915">
        <v>5.0</v>
      </c>
      <c r="F36" s="915">
        <v>5.0</v>
      </c>
      <c r="G36" s="915">
        <v>6.0</v>
      </c>
      <c r="H36" s="916" t="str">
        <f>HYPERLINK("https://d15f34w2p8l1cc.cloudfront.net/hearthstone/8e8d839939b3b095202f967f4c38b462262ce9223fb6b7c82b852af7711428eb.png","Image")</f>
        <v>Image</v>
      </c>
      <c r="I36" s="714">
        <v>1.0</v>
      </c>
      <c r="J36" s="1024"/>
      <c r="K36" s="1024"/>
      <c r="L36" s="1024"/>
      <c r="M36" s="714">
        <v>1.0</v>
      </c>
      <c r="N36" s="714">
        <v>2.0</v>
      </c>
      <c r="O36" s="1024"/>
      <c r="P36" s="1025"/>
      <c r="Q36" s="993" t="str">
        <f>HYPERLINK("https://www.strawpoll.me/19055221","Vote")</f>
        <v>Vote</v>
      </c>
    </row>
    <row r="37">
      <c r="A37" s="829"/>
      <c r="B37" s="626" t="s">
        <v>740</v>
      </c>
      <c r="C37" s="917" t="s">
        <v>1656</v>
      </c>
      <c r="D37" s="918"/>
      <c r="E37" s="905">
        <v>3.0</v>
      </c>
      <c r="F37" s="905">
        <v>2.0</v>
      </c>
      <c r="G37" s="905">
        <v>2.0</v>
      </c>
      <c r="H37" s="893" t="str">
        <f>HYPERLINK("https://d15f34w2p8l1cc.cloudfront.net/hearthstone/d0226b466fd69287cc73fdf651ca73e7b5a9c4bf189840413b9db8041769ed9a.png","Image")</f>
        <v>Image</v>
      </c>
      <c r="I37" s="714">
        <v>1.0</v>
      </c>
      <c r="J37" s="1024"/>
      <c r="K37" s="1024"/>
      <c r="L37" s="1024"/>
      <c r="M37" s="714">
        <v>1.0</v>
      </c>
      <c r="N37" s="714">
        <v>2.0</v>
      </c>
      <c r="O37" s="1024"/>
      <c r="P37" s="1025"/>
      <c r="Q37" s="993" t="str">
        <f>HYPERLINK("https://www.strawpoll.me/19055224","Vote")</f>
        <v>Vote</v>
      </c>
    </row>
    <row r="38">
      <c r="A38" s="829"/>
      <c r="B38" s="353"/>
      <c r="C38" s="720" t="s">
        <v>1657</v>
      </c>
      <c r="D38" s="906"/>
      <c r="E38" s="898">
        <v>3.0</v>
      </c>
      <c r="F38" s="898">
        <v>2.0</v>
      </c>
      <c r="G38" s="898">
        <v>2.0</v>
      </c>
      <c r="H38" s="899" t="str">
        <f>HYPERLINK("https://d15f34w2p8l1cc.cloudfront.net/hearthstone/99363c3c36210405f15f3f3449cb0555f15ae82e23f9591f4d98e5064cddf538.png","Image")</f>
        <v>Image</v>
      </c>
      <c r="I38" s="714">
        <v>1.0</v>
      </c>
      <c r="J38" s="1024"/>
      <c r="K38" s="1024"/>
      <c r="L38" s="1024"/>
      <c r="M38" s="714">
        <v>1.0</v>
      </c>
      <c r="N38" s="714">
        <v>1.0</v>
      </c>
      <c r="O38" s="1024"/>
      <c r="P38" s="1025"/>
      <c r="Q38" s="993" t="str">
        <f>HYPERLINK("https://www.strawpoll.me/19055225","Vote")</f>
        <v>Vote</v>
      </c>
    </row>
    <row r="39">
      <c r="A39" s="829"/>
      <c r="B39" s="353"/>
      <c r="C39" s="919" t="s">
        <v>1658</v>
      </c>
      <c r="D39" s="920"/>
      <c r="E39" s="921">
        <v>2.0</v>
      </c>
      <c r="F39" s="921">
        <v>3.0</v>
      </c>
      <c r="G39" s="921">
        <v>2.0</v>
      </c>
      <c r="H39" s="922" t="str">
        <f>HYPERLINK("https://d15f34w2p8l1cc.cloudfront.net/hearthstone/475f72dcd53dad6488178482e9721181861d688d659a48be65ca444e5cdde577.png","Image")</f>
        <v>Image</v>
      </c>
      <c r="I39" s="714">
        <v>1.0</v>
      </c>
      <c r="J39" s="1024"/>
      <c r="K39" s="1024"/>
      <c r="L39" s="1024"/>
      <c r="M39" s="714">
        <v>1.0</v>
      </c>
      <c r="N39" s="714">
        <v>1.0</v>
      </c>
      <c r="O39" s="1024"/>
      <c r="P39" s="1025"/>
      <c r="Q39" s="993" t="str">
        <f>HYPERLINK("https://www.strawpoll.me/19055226","Vote")</f>
        <v>Vote</v>
      </c>
    </row>
    <row r="40">
      <c r="A40" s="829"/>
      <c r="B40" s="353"/>
      <c r="C40" s="890" t="s">
        <v>1659</v>
      </c>
      <c r="D40" s="923" t="s">
        <v>22</v>
      </c>
      <c r="E40" s="905">
        <v>3.0</v>
      </c>
      <c r="F40" s="905">
        <v>4.0</v>
      </c>
      <c r="G40" s="905">
        <v>3.0</v>
      </c>
      <c r="H40" s="893" t="str">
        <f>HYPERLINK("https://d15f34w2p8l1cc.cloudfront.net/hearthstone/921bb1ba650528d1296ef03d5e2332ce6001962c2119393d3c187e267074718d.png","Image")</f>
        <v>Image</v>
      </c>
      <c r="I40" s="714">
        <v>1.0</v>
      </c>
      <c r="J40" s="1024"/>
      <c r="K40" s="1024"/>
      <c r="L40" s="1024"/>
      <c r="M40" s="714">
        <v>1.0</v>
      </c>
      <c r="N40" s="714">
        <v>1.0</v>
      </c>
      <c r="O40" s="1024"/>
      <c r="P40" s="1025"/>
      <c r="Q40" s="993" t="str">
        <f>HYPERLINK("https://www.strawpoll.me/19055227","Vote")</f>
        <v>Vote</v>
      </c>
    </row>
    <row r="41">
      <c r="A41" s="829"/>
      <c r="B41" s="353"/>
      <c r="C41" s="913" t="s">
        <v>1660</v>
      </c>
      <c r="D41" s="924"/>
      <c r="E41" s="921">
        <v>3.0</v>
      </c>
      <c r="F41" s="921">
        <v>4.0</v>
      </c>
      <c r="G41" s="921">
        <v>3.0</v>
      </c>
      <c r="H41" s="916" t="str">
        <f>HYPERLINK("https://d15f34w2p8l1cc.cloudfront.net/hearthstone/50fad6b6d8543d15c840610e6c27b9b1e5b4e228e2b09cd56a60b6cf91a7cadd.png","Image")</f>
        <v>Image</v>
      </c>
      <c r="I41" s="714">
        <v>1.0</v>
      </c>
      <c r="J41" s="1024"/>
      <c r="K41" s="1024"/>
      <c r="L41" s="1024"/>
      <c r="M41" s="714">
        <v>1.0</v>
      </c>
      <c r="N41" s="714">
        <v>1.0</v>
      </c>
      <c r="O41" s="1024"/>
      <c r="P41" s="1025"/>
      <c r="Q41" s="993" t="str">
        <f>HYPERLINK("https://www.strawpoll.me/19055230","Vote")</f>
        <v>Vote</v>
      </c>
    </row>
    <row r="42">
      <c r="A42" s="829"/>
      <c r="B42" s="353"/>
      <c r="C42" s="890" t="s">
        <v>1661</v>
      </c>
      <c r="D42" s="923" t="s">
        <v>60</v>
      </c>
      <c r="E42" s="892">
        <v>4.0</v>
      </c>
      <c r="F42" s="892">
        <v>4.0</v>
      </c>
      <c r="G42" s="892">
        <v>5.0</v>
      </c>
      <c r="H42" s="893" t="str">
        <f>HYPERLINK("https://d15f34w2p8l1cc.cloudfront.net/hearthstone/5cf720471b48003fd4a82410a4d12701f79774284c25f4d24371eae6013ef4fa.png","Image")</f>
        <v>Image</v>
      </c>
      <c r="I42" s="714">
        <v>2.0</v>
      </c>
      <c r="J42" s="1024"/>
      <c r="K42" s="1024"/>
      <c r="L42" s="1024"/>
      <c r="M42" s="714">
        <v>2.0</v>
      </c>
      <c r="N42" s="714">
        <v>1.0</v>
      </c>
      <c r="O42" s="1024"/>
      <c r="P42" s="1025"/>
      <c r="Q42" s="993" t="str">
        <f>HYPERLINK("https://www.strawpoll.me/19055233","Vote")</f>
        <v>Vote</v>
      </c>
    </row>
    <row r="43">
      <c r="A43" s="829"/>
      <c r="B43" s="353"/>
      <c r="C43" s="717" t="s">
        <v>1662</v>
      </c>
      <c r="D43" s="925"/>
      <c r="E43" s="503">
        <v>6.0</v>
      </c>
      <c r="F43" s="503">
        <v>5.0</v>
      </c>
      <c r="G43" s="503">
        <v>5.0</v>
      </c>
      <c r="H43" s="926" t="str">
        <f>HYPERLINK("https://d15f34w2p8l1cc.cloudfront.net/hearthstone/c0121f441cafc0214884cf39e209f6bb5bed524cc7c9075e885d518e2df09add.png","Image")</f>
        <v>Image</v>
      </c>
      <c r="I43" s="714">
        <v>1.0</v>
      </c>
      <c r="J43" s="1024"/>
      <c r="K43" s="1024"/>
      <c r="L43" s="1024"/>
      <c r="M43" s="714">
        <v>1.0</v>
      </c>
      <c r="N43" s="714">
        <v>1.0</v>
      </c>
      <c r="O43" s="1024"/>
      <c r="P43" s="1025"/>
      <c r="Q43" s="993" t="str">
        <f>HYPERLINK("https://www.strawpoll.me/19055234","Vote")</f>
        <v>Vote</v>
      </c>
    </row>
    <row r="44">
      <c r="A44" s="829"/>
      <c r="B44" s="353"/>
      <c r="C44" s="717" t="s">
        <v>1663</v>
      </c>
      <c r="D44" s="925" t="s">
        <v>51</v>
      </c>
      <c r="E44" s="503">
        <v>3.0</v>
      </c>
      <c r="F44" s="503">
        <v>3.0</v>
      </c>
      <c r="G44" s="503">
        <v>5.0</v>
      </c>
      <c r="H44" s="926" t="str">
        <f>HYPERLINK("https://d15f34w2p8l1cc.cloudfront.net/hearthstone/f429046676b7699bb30fb38e7e8345d3529685a8632be72a2a523e58109389ba.png","Image")</f>
        <v>Image</v>
      </c>
      <c r="I44" s="714">
        <v>1.0</v>
      </c>
      <c r="J44" s="1024"/>
      <c r="K44" s="1024"/>
      <c r="L44" s="1024"/>
      <c r="M44" s="714">
        <v>1.0</v>
      </c>
      <c r="N44" s="714">
        <v>1.0</v>
      </c>
      <c r="O44" s="1024"/>
      <c r="P44" s="1025"/>
      <c r="Q44" s="993" t="str">
        <f>HYPERLINK("https://www.strawpoll.me/19055235","Vote")</f>
        <v>Vote</v>
      </c>
    </row>
    <row r="45">
      <c r="A45" s="872"/>
      <c r="B45" s="355"/>
      <c r="C45" s="927" t="s">
        <v>1664</v>
      </c>
      <c r="D45" s="928"/>
      <c r="E45" s="915">
        <v>0.0</v>
      </c>
      <c r="F45" s="915">
        <v>3.0</v>
      </c>
      <c r="G45" s="915">
        <v>5.0</v>
      </c>
      <c r="H45" s="929" t="str">
        <f>HYPERLINK("https://d15f34w2p8l1cc.cloudfront.net/hearthstone/1cc56d817e7d1f89b3859904545a34b83c5c08f6415056aff5ee3c521e4f6ab9.png","Image")</f>
        <v>Image</v>
      </c>
      <c r="I45" s="714">
        <v>1.0</v>
      </c>
      <c r="J45" s="1024"/>
      <c r="K45" s="1024"/>
      <c r="L45" s="1024"/>
      <c r="M45" s="714">
        <v>1.0</v>
      </c>
      <c r="N45" s="714">
        <v>1.0</v>
      </c>
      <c r="O45" s="1024"/>
      <c r="P45" s="1025"/>
      <c r="Q45" s="993" t="str">
        <f>HYPERLINK("https://www.strawpoll.me/19055236","Vote")</f>
        <v>Vote</v>
      </c>
    </row>
    <row r="46" ht="17.25" customHeight="1">
      <c r="A46" s="829"/>
      <c r="B46" s="628" t="s">
        <v>1179</v>
      </c>
      <c r="C46" s="720" t="s">
        <v>1665</v>
      </c>
      <c r="D46" s="906"/>
      <c r="E46" s="508">
        <v>5.0</v>
      </c>
      <c r="F46" s="508">
        <v>4.0</v>
      </c>
      <c r="G46" s="508">
        <v>4.0</v>
      </c>
      <c r="H46" s="930" t="str">
        <f>HYPERLINK("https://d15f34w2p8l1cc.cloudfront.net/hearthstone/39e0d738a1a80c69b72f2b77b190db3a12a951fdca0870e9fe625cb762e81b4c.png","Image")</f>
        <v>Image</v>
      </c>
      <c r="I46" s="714">
        <v>3.0</v>
      </c>
      <c r="J46" s="1024"/>
      <c r="K46" s="1024"/>
      <c r="L46" s="1024"/>
      <c r="M46" s="714">
        <v>4.0</v>
      </c>
      <c r="N46" s="714">
        <v>4.0</v>
      </c>
      <c r="O46" s="1024"/>
      <c r="P46" s="1025"/>
      <c r="Q46" s="993" t="str">
        <f>HYPERLINK("https://www.strawpoll.me/19055238","Vote")</f>
        <v>Vote</v>
      </c>
    </row>
    <row r="47">
      <c r="A47" s="829"/>
      <c r="B47" s="353"/>
      <c r="C47" s="720" t="s">
        <v>1666</v>
      </c>
      <c r="D47" s="906"/>
      <c r="E47" s="508">
        <v>6.0</v>
      </c>
      <c r="F47" s="508">
        <v>6.0</v>
      </c>
      <c r="G47" s="508">
        <v>6.0</v>
      </c>
      <c r="H47" s="930" t="str">
        <f>HYPERLINK("https://d15f34w2p8l1cc.cloudfront.net/hearthstone/cc3e3678ff5127ddc6ef51e3e4aa70fbda6bd8eb97e98bafb5bdf54acfbecc3c.png","Image")</f>
        <v>Image</v>
      </c>
      <c r="I47" s="714">
        <v>4.0</v>
      </c>
      <c r="J47" s="1024"/>
      <c r="K47" s="1024"/>
      <c r="L47" s="1024"/>
      <c r="M47" s="714">
        <v>4.0</v>
      </c>
      <c r="N47" s="714">
        <v>4.0</v>
      </c>
      <c r="O47" s="1024"/>
      <c r="P47" s="1025"/>
      <c r="Q47" s="993" t="str">
        <f>HYPERLINK("https://www.strawpoll.me/19055240","Vote")</f>
        <v>Vote</v>
      </c>
    </row>
    <row r="48">
      <c r="A48" s="829"/>
      <c r="B48" s="353"/>
      <c r="C48" s="720" t="s">
        <v>1667</v>
      </c>
      <c r="D48" s="906"/>
      <c r="E48" s="508">
        <v>1.0</v>
      </c>
      <c r="F48" s="508">
        <v>7.0</v>
      </c>
      <c r="G48" s="508">
        <v>7.0</v>
      </c>
      <c r="H48" s="930" t="str">
        <f>HYPERLINK("https://d15f34w2p8l1cc.cloudfront.net/hearthstone/b65baf71030e4ed4c504060081e8ad42d04acb39e4787a6cfa8a12cc3b91b188.png","Image")</f>
        <v>Image</v>
      </c>
      <c r="I48" s="714">
        <v>2.0</v>
      </c>
      <c r="J48" s="1024"/>
      <c r="K48" s="1024"/>
      <c r="L48" s="1024"/>
      <c r="M48" s="714">
        <v>2.0</v>
      </c>
      <c r="N48" s="714">
        <v>3.0</v>
      </c>
      <c r="O48" s="1024"/>
      <c r="P48" s="1025"/>
      <c r="Q48" s="993" t="str">
        <f>HYPERLINK("https://www.strawpoll.me/19055242","Vote")</f>
        <v>Vote</v>
      </c>
    </row>
    <row r="49">
      <c r="A49" s="829"/>
      <c r="B49" s="353"/>
      <c r="C49" s="720" t="s">
        <v>1668</v>
      </c>
      <c r="D49" s="912" t="s">
        <v>43</v>
      </c>
      <c r="E49" s="508">
        <v>8.0</v>
      </c>
      <c r="F49" s="508">
        <v>8.0</v>
      </c>
      <c r="G49" s="508">
        <v>9.0</v>
      </c>
      <c r="H49" s="930" t="str">
        <f>HYPERLINK("https://d15f34w2p8l1cc.cloudfront.net/hearthstone/f1b779af311af36dbf47ec7bd709eac13f9d558a747fc4c8702a6219a80441d8.png","Image")</f>
        <v>Image</v>
      </c>
      <c r="I49" s="714">
        <v>4.0</v>
      </c>
      <c r="J49" s="1024"/>
      <c r="K49" s="1024"/>
      <c r="L49" s="1024"/>
      <c r="M49" s="714">
        <v>4.0</v>
      </c>
      <c r="N49" s="714">
        <v>4.0</v>
      </c>
      <c r="O49" s="1024"/>
      <c r="P49" s="1025"/>
      <c r="Q49" s="993" t="str">
        <f>HYPERLINK("https://www.strawpoll.me/19055243","Vote")</f>
        <v>Vote</v>
      </c>
    </row>
    <row r="50">
      <c r="A50" s="829"/>
      <c r="B50" s="355"/>
      <c r="C50" s="919" t="s">
        <v>1669</v>
      </c>
      <c r="D50" s="931" t="s">
        <v>97</v>
      </c>
      <c r="E50" s="921">
        <v>5.0</v>
      </c>
      <c r="F50" s="921">
        <v>5.0</v>
      </c>
      <c r="G50" s="921">
        <v>9.0</v>
      </c>
      <c r="H50" s="916" t="str">
        <f>HYPERLINK("https://d15f34w2p8l1cc.cloudfront.net/hearthstone/7617f337c1cf09dadc56523cb0c4ff7972a6dd840ec08e29e3111703c3a9d8e3.png","Image")</f>
        <v>Image</v>
      </c>
      <c r="I50" s="714">
        <v>2.0</v>
      </c>
      <c r="J50" s="1024"/>
      <c r="K50" s="1024"/>
      <c r="L50" s="1024"/>
      <c r="M50" s="714">
        <v>3.0</v>
      </c>
      <c r="N50" s="714">
        <v>2.0</v>
      </c>
      <c r="O50" s="1024"/>
      <c r="P50" s="1025"/>
      <c r="Q50" s="993" t="str">
        <f>HYPERLINK("https://www.strawpoll.me/19055245","Vote")</f>
        <v>Vote</v>
      </c>
    </row>
    <row r="51">
      <c r="A51" s="823"/>
      <c r="B51" s="824"/>
      <c r="C51" s="195" t="s">
        <v>83</v>
      </c>
      <c r="D51" s="82"/>
      <c r="E51" s="82"/>
      <c r="F51" s="82"/>
      <c r="G51" s="82"/>
      <c r="H51" s="96"/>
      <c r="I51" s="1029"/>
      <c r="J51" s="1029"/>
      <c r="K51" s="1029"/>
      <c r="L51" s="1029"/>
      <c r="M51" s="1029"/>
      <c r="N51" s="1029"/>
      <c r="O51" s="1029"/>
      <c r="P51" s="1029"/>
      <c r="Q51" s="307"/>
    </row>
    <row r="52" ht="15.75" customHeight="1">
      <c r="A52" s="872"/>
      <c r="B52" s="636"/>
      <c r="C52" s="830"/>
      <c r="D52" s="831"/>
      <c r="E52" s="832"/>
      <c r="F52" s="832"/>
      <c r="G52" s="832"/>
      <c r="H52" s="933"/>
      <c r="I52" s="1028" t="s">
        <v>2</v>
      </c>
      <c r="J52" s="1028" t="s">
        <v>426</v>
      </c>
      <c r="K52" s="1028" t="s">
        <v>1</v>
      </c>
      <c r="L52" s="1028" t="s">
        <v>427</v>
      </c>
      <c r="M52" s="1028" t="s">
        <v>208</v>
      </c>
      <c r="N52" s="1028" t="s">
        <v>3</v>
      </c>
      <c r="O52" s="1028" t="s">
        <v>4</v>
      </c>
      <c r="P52" s="1028" t="s">
        <v>1772</v>
      </c>
      <c r="Q52" s="781"/>
    </row>
    <row r="53" ht="17.25" customHeight="1">
      <c r="A53" s="829"/>
      <c r="B53" s="631" t="s">
        <v>64</v>
      </c>
      <c r="C53" s="705" t="s">
        <v>1670</v>
      </c>
      <c r="D53" s="934" t="s">
        <v>60</v>
      </c>
      <c r="E53" s="185">
        <v>1.0</v>
      </c>
      <c r="F53" s="185">
        <v>2.0</v>
      </c>
      <c r="G53" s="185">
        <v>1.0</v>
      </c>
      <c r="H53" s="840" t="str">
        <f>HYPERLINK("https://d15f34w2p8l1cc.cloudfront.net/hearthstone/7a4b23bc002a8a37b7948d851ccf4b61f1e82e872a131d57a6f581dea0df41f4.png","Image")</f>
        <v>Image</v>
      </c>
      <c r="I53" s="709">
        <v>3.0</v>
      </c>
      <c r="J53" s="1022"/>
      <c r="K53" s="1022"/>
      <c r="L53" s="1022"/>
      <c r="M53" s="709">
        <v>3.0</v>
      </c>
      <c r="N53" s="709">
        <v>4.0</v>
      </c>
      <c r="O53" s="1022"/>
      <c r="P53" s="1023"/>
      <c r="Q53" s="993" t="str">
        <f>HYPERLINK("https://www.strawpoll.me/19055247","Vote")</f>
        <v>Vote</v>
      </c>
    </row>
    <row r="54">
      <c r="A54" s="872"/>
      <c r="B54" s="353"/>
      <c r="C54" s="935" t="s">
        <v>1671</v>
      </c>
      <c r="D54" s="936"/>
      <c r="E54" s="855">
        <v>2.0</v>
      </c>
      <c r="F54" s="855">
        <v>3.0</v>
      </c>
      <c r="G54" s="855">
        <v>3.0</v>
      </c>
      <c r="H54" s="856" t="str">
        <f>HYPERLINK("https://d15f34w2p8l1cc.cloudfront.net/hearthstone/3e97f67829e2ab393e4bed7d50f4e08371430a89e1906d32dc3361f3fbf42577.png","Image")</f>
        <v>Image</v>
      </c>
      <c r="I54" s="714">
        <v>1.0</v>
      </c>
      <c r="J54" s="1024"/>
      <c r="K54" s="1024"/>
      <c r="L54" s="1024"/>
      <c r="M54" s="714">
        <v>1.0</v>
      </c>
      <c r="N54" s="714">
        <v>2.0</v>
      </c>
      <c r="O54" s="1024"/>
      <c r="P54" s="1025"/>
      <c r="Q54" s="993" t="str">
        <f>HYPERLINK("https://www.strawpoll.me/19055248","Vote")</f>
        <v>Vote</v>
      </c>
    </row>
    <row r="55">
      <c r="A55" s="829"/>
      <c r="B55" s="632"/>
      <c r="C55" s="937" t="s">
        <v>1672</v>
      </c>
      <c r="D55" s="938" t="s">
        <v>1673</v>
      </c>
      <c r="E55" s="939"/>
      <c r="F55" s="939"/>
      <c r="G55" s="939">
        <v>3.0</v>
      </c>
      <c r="H55" s="940" t="str">
        <f>HYPERLINK("https://d15f34w2p8l1cc.cloudfront.net/hearthstone/ff8bbbf81ab31c3bb686999016ad523f8dbb246a268b3dc5b599f2362dc8ab15.png","Image")</f>
        <v>Image</v>
      </c>
      <c r="I55" s="714">
        <v>2.0</v>
      </c>
      <c r="J55" s="1024"/>
      <c r="K55" s="1024"/>
      <c r="L55" s="1024"/>
      <c r="M55" s="714">
        <v>2.0</v>
      </c>
      <c r="N55" s="714">
        <v>3.0</v>
      </c>
      <c r="O55" s="1024"/>
      <c r="P55" s="1025"/>
      <c r="Q55" s="993" t="str">
        <f>HYPERLINK("https://www.strawpoll.me/19055249","Vote")</f>
        <v>Vote</v>
      </c>
    </row>
    <row r="56">
      <c r="A56" s="829"/>
      <c r="B56" s="639"/>
      <c r="C56" s="941" t="s">
        <v>1674</v>
      </c>
      <c r="D56" s="942" t="s">
        <v>1675</v>
      </c>
      <c r="E56" s="943">
        <v>1.0</v>
      </c>
      <c r="F56" s="943">
        <v>2.0</v>
      </c>
      <c r="G56" s="943">
        <v>2.0</v>
      </c>
      <c r="H56" s="944" t="str">
        <f>HYPERLINK("https://d15f34w2p8l1cc.cloudfront.net/hearthstone/571e9b8a030f5db67fad697f86994bf7017beefe0894d7d1ccb5bc1b96b9197c.png","Image")</f>
        <v>Image</v>
      </c>
      <c r="I56" s="714">
        <v>2.0</v>
      </c>
      <c r="J56" s="1024"/>
      <c r="K56" s="1024"/>
      <c r="L56" s="1024"/>
      <c r="M56" s="714">
        <v>2.0</v>
      </c>
      <c r="N56" s="714">
        <v>2.0</v>
      </c>
      <c r="O56" s="1024"/>
      <c r="P56" s="1025"/>
      <c r="Q56" s="993" t="str">
        <f>HYPERLINK("https://www.strawpoll.me/19055252","Vote")</f>
        <v>Vote</v>
      </c>
    </row>
    <row r="57">
      <c r="A57" s="829"/>
      <c r="B57" s="353"/>
      <c r="C57" s="935" t="s">
        <v>1676</v>
      </c>
      <c r="D57" s="936" t="s">
        <v>20</v>
      </c>
      <c r="E57" s="855">
        <v>2.0</v>
      </c>
      <c r="F57" s="855">
        <v>5.0</v>
      </c>
      <c r="G57" s="855">
        <v>3.0</v>
      </c>
      <c r="H57" s="856" t="str">
        <f>HYPERLINK("https://d15f34w2p8l1cc.cloudfront.net/hearthstone/8b3daceec08911eaec198eeeee5d46acbae6047062dace7990bf842262eeb06a.png","Image")</f>
        <v>Image</v>
      </c>
      <c r="I57" s="714">
        <v>3.0</v>
      </c>
      <c r="J57" s="1024"/>
      <c r="K57" s="1024"/>
      <c r="L57" s="1024"/>
      <c r="M57" s="714">
        <v>3.0</v>
      </c>
      <c r="N57" s="714">
        <v>4.0</v>
      </c>
      <c r="O57" s="1024"/>
      <c r="P57" s="1025"/>
      <c r="Q57" s="993" t="str">
        <f>HYPERLINK("https://www.strawpoll.me/19055253","Vote")</f>
        <v>Vote</v>
      </c>
    </row>
    <row r="58">
      <c r="A58" s="829"/>
      <c r="B58" s="632"/>
      <c r="C58" s="937" t="s">
        <v>1677</v>
      </c>
      <c r="D58" s="938" t="s">
        <v>71</v>
      </c>
      <c r="E58" s="939"/>
      <c r="F58" s="939"/>
      <c r="G58" s="939">
        <v>4.0</v>
      </c>
      <c r="H58" s="940" t="str">
        <f>HYPERLINK("https://d15f34w2p8l1cc.cloudfront.net/hearthstone/4767826ee0e4fb70d3fd1d9d669b943d2ce0e364503829f3f4a5d44d2e8df0ba.png","Image")</f>
        <v>Image</v>
      </c>
      <c r="I58" s="714">
        <v>2.0</v>
      </c>
      <c r="J58" s="1024"/>
      <c r="K58" s="1024"/>
      <c r="L58" s="1024"/>
      <c r="M58" s="714">
        <v>2.0</v>
      </c>
      <c r="N58" s="714">
        <v>2.0</v>
      </c>
      <c r="O58" s="1024"/>
      <c r="P58" s="1025"/>
      <c r="Q58" s="993" t="str">
        <f>HYPERLINK("https://www.strawpoll.me/19055255","Vote")</f>
        <v>Vote</v>
      </c>
    </row>
    <row r="59">
      <c r="A59" s="829"/>
      <c r="B59" s="793"/>
      <c r="C59" s="941" t="s">
        <v>1678</v>
      </c>
      <c r="D59" s="942" t="s">
        <v>43</v>
      </c>
      <c r="E59" s="943">
        <v>3.0</v>
      </c>
      <c r="F59" s="943">
        <v>2.0</v>
      </c>
      <c r="G59" s="943">
        <v>3.0</v>
      </c>
      <c r="H59" s="944" t="str">
        <f>HYPERLINK("https://d15f34w2p8l1cc.cloudfront.net/hearthstone/95d918d6ff09592a1e84666d8f90db944f9007501d99a755b2844d0f05a9fdec.png","Image")</f>
        <v>Image</v>
      </c>
      <c r="I59" s="714">
        <v>3.0</v>
      </c>
      <c r="J59" s="1024"/>
      <c r="K59" s="1024"/>
      <c r="L59" s="1024"/>
      <c r="M59" s="714">
        <v>3.0</v>
      </c>
      <c r="N59" s="714">
        <v>4.0</v>
      </c>
      <c r="O59" s="1024"/>
      <c r="P59" s="1025"/>
      <c r="Q59" s="993" t="str">
        <f>HYPERLINK("https://www.strawpoll.me/19055256","Vote")</f>
        <v>Vote</v>
      </c>
    </row>
    <row r="60">
      <c r="A60" s="829"/>
      <c r="B60" s="632"/>
      <c r="C60" s="937" t="s">
        <v>1679</v>
      </c>
      <c r="D60" s="938" t="s">
        <v>71</v>
      </c>
      <c r="E60" s="939"/>
      <c r="F60" s="939"/>
      <c r="G60" s="939">
        <v>3.0</v>
      </c>
      <c r="H60" s="940" t="str">
        <f>HYPERLINK("https://d15f34w2p8l1cc.cloudfront.net/hearthstone/a8575e8997ab73770abdfdcb949edf3d407f7e95cc62d485ee4ca35e19c7fc6c.png","Image")</f>
        <v>Image</v>
      </c>
      <c r="I60" s="714">
        <v>1.0</v>
      </c>
      <c r="J60" s="1024"/>
      <c r="K60" s="1024"/>
      <c r="L60" s="1024"/>
      <c r="M60" s="714">
        <v>1.0</v>
      </c>
      <c r="N60" s="714">
        <v>2.0</v>
      </c>
      <c r="O60" s="1024"/>
      <c r="P60" s="1025"/>
      <c r="Q60" s="993" t="str">
        <f>HYPERLINK("https://www.strawpoll.me/19055257","Vote")</f>
        <v>Vote</v>
      </c>
    </row>
    <row r="61">
      <c r="A61" s="829"/>
      <c r="B61" s="794"/>
      <c r="C61" s="941" t="s">
        <v>1680</v>
      </c>
      <c r="D61" s="942" t="s">
        <v>77</v>
      </c>
      <c r="E61" s="943">
        <v>2.0</v>
      </c>
      <c r="F61" s="943">
        <v>3.0</v>
      </c>
      <c r="G61" s="943">
        <v>3.0</v>
      </c>
      <c r="H61" s="944" t="str">
        <f>HYPERLINK("https://d15f34w2p8l1cc.cloudfront.net/hearthstone/6da80ac83b03e7fce8e209af7a3c689aa4653a527b708c1ab62c0a69268c1526.png","Image")</f>
        <v>Image</v>
      </c>
      <c r="I61" s="714">
        <v>4.0</v>
      </c>
      <c r="J61" s="1024"/>
      <c r="K61" s="1024"/>
      <c r="L61" s="1024"/>
      <c r="M61" s="714">
        <v>4.0</v>
      </c>
      <c r="N61" s="714">
        <v>3.0</v>
      </c>
      <c r="O61" s="1024"/>
      <c r="P61" s="1025"/>
      <c r="Q61" s="993" t="str">
        <f>HYPERLINK("https://www.strawpoll.me/19055259","Vote")</f>
        <v>Vote</v>
      </c>
    </row>
    <row r="62">
      <c r="A62" s="829"/>
      <c r="B62" s="353"/>
      <c r="C62" s="945" t="s">
        <v>1681</v>
      </c>
      <c r="D62" s="946" t="s">
        <v>1682</v>
      </c>
      <c r="E62" s="947"/>
      <c r="F62" s="948"/>
      <c r="G62" s="947">
        <v>7.0</v>
      </c>
      <c r="H62" s="949" t="str">
        <f>HYPERLINK("https://d15f34w2p8l1cc.cloudfront.net/hearthstone/e42d260eedab2875bfda78e089a2f74cadcec1e79d394e80895d4c66888bf3d2.png","Image")</f>
        <v>Image</v>
      </c>
      <c r="I62" s="714">
        <v>3.0</v>
      </c>
      <c r="J62" s="1024"/>
      <c r="K62" s="1024"/>
      <c r="L62" s="1024"/>
      <c r="M62" s="714">
        <v>3.0</v>
      </c>
      <c r="N62" s="714">
        <v>2.0</v>
      </c>
      <c r="O62" s="1024"/>
      <c r="P62" s="1025"/>
      <c r="Q62" s="993" t="str">
        <f>HYPERLINK("https://www.strawpoll.me/19055260","Vote")</f>
        <v>Vote</v>
      </c>
    </row>
    <row r="63">
      <c r="A63" s="829"/>
      <c r="B63" s="355"/>
      <c r="C63" s="864" t="s">
        <v>1683</v>
      </c>
      <c r="D63" s="865" t="s">
        <v>43</v>
      </c>
      <c r="E63" s="859">
        <v>12.0</v>
      </c>
      <c r="F63" s="859">
        <v>12.0</v>
      </c>
      <c r="G63" s="859">
        <v>8.0</v>
      </c>
      <c r="H63" s="860" t="str">
        <f>HYPERLINK("https://d15f34w2p8l1cc.cloudfront.net/hearthstone/aef185438c4c3f838dd6d58ff94e8d51dbae53e2e0a60b46666753b3342814c8.png","Image")</f>
        <v>Image</v>
      </c>
      <c r="I63" s="774">
        <v>2.0</v>
      </c>
      <c r="J63" s="1026"/>
      <c r="K63" s="1026"/>
      <c r="L63" s="1026"/>
      <c r="M63" s="774">
        <v>3.0</v>
      </c>
      <c r="N63" s="774">
        <v>3.0</v>
      </c>
      <c r="O63" s="1026"/>
      <c r="P63" s="1027"/>
      <c r="Q63" s="993" t="str">
        <f>HYPERLINK("https://www.strawpoll.me/19055261","Vote")</f>
        <v>Vote</v>
      </c>
    </row>
    <row r="64">
      <c r="A64" s="883"/>
      <c r="B64" s="605"/>
      <c r="C64" s="195" t="s">
        <v>95</v>
      </c>
      <c r="D64" s="82"/>
      <c r="E64" s="82"/>
      <c r="F64" s="82"/>
      <c r="G64" s="82"/>
      <c r="H64" s="96"/>
      <c r="I64" s="1029"/>
      <c r="J64" s="1029"/>
      <c r="K64" s="1029"/>
      <c r="L64" s="1029"/>
      <c r="M64" s="1029"/>
      <c r="N64" s="1029"/>
      <c r="O64" s="1029"/>
      <c r="P64" s="1029"/>
      <c r="Q64" s="307"/>
    </row>
    <row r="65" ht="15.75" customHeight="1">
      <c r="A65" s="829"/>
      <c r="B65" s="636"/>
      <c r="C65" s="830"/>
      <c r="D65" s="831"/>
      <c r="E65" s="832"/>
      <c r="F65" s="832"/>
      <c r="G65" s="832"/>
      <c r="H65" s="933"/>
      <c r="I65" s="1028" t="s">
        <v>2</v>
      </c>
      <c r="J65" s="1028" t="s">
        <v>426</v>
      </c>
      <c r="K65" s="1028" t="s">
        <v>1</v>
      </c>
      <c r="L65" s="1028" t="s">
        <v>427</v>
      </c>
      <c r="M65" s="1028" t="s">
        <v>208</v>
      </c>
      <c r="N65" s="1028" t="s">
        <v>3</v>
      </c>
      <c r="O65" s="1028" t="s">
        <v>4</v>
      </c>
      <c r="P65" s="1028" t="s">
        <v>1772</v>
      </c>
      <c r="Q65" s="781"/>
    </row>
    <row r="66">
      <c r="A66" s="872"/>
      <c r="B66" s="950"/>
      <c r="C66" s="705" t="s">
        <v>1684</v>
      </c>
      <c r="D66" s="934" t="s">
        <v>71</v>
      </c>
      <c r="E66" s="185"/>
      <c r="F66" s="185"/>
      <c r="G66" s="185">
        <v>1.0</v>
      </c>
      <c r="H66" s="840" t="str">
        <f>HYPERLINK("https://d15f34w2p8l1cc.cloudfront.net/hearthstone/a53940f5d1a08062baaa81533ad009244d83290a30ca37ef890530afc89d9b62.png","Image")</f>
        <v>Image</v>
      </c>
      <c r="I66" s="709">
        <v>1.0</v>
      </c>
      <c r="J66" s="1022"/>
      <c r="K66" s="1022"/>
      <c r="L66" s="1022"/>
      <c r="M66" s="1022"/>
      <c r="N66" s="709">
        <v>1.0</v>
      </c>
      <c r="O66" s="1022"/>
      <c r="P66" s="1023"/>
      <c r="Q66" s="993" t="str">
        <f>HYPERLINK("https://www.strawpoll.me/19055263","Vote")</f>
        <v>Vote</v>
      </c>
    </row>
    <row r="67">
      <c r="A67" s="829"/>
      <c r="B67" s="353"/>
      <c r="C67" s="935" t="s">
        <v>1685</v>
      </c>
      <c r="D67" s="936" t="s">
        <v>1673</v>
      </c>
      <c r="E67" s="855"/>
      <c r="F67" s="855"/>
      <c r="G67" s="855">
        <v>3.0</v>
      </c>
      <c r="H67" s="856" t="str">
        <f>HYPERLINK("https://d15f34w2p8l1cc.cloudfront.net/hearthstone/99816f418dba10ca96ae9d2acdae87c769d2542cefe65f1a474770a3b63451c9.png","Image")</f>
        <v>Image</v>
      </c>
      <c r="I67" s="714">
        <v>1.0</v>
      </c>
      <c r="J67" s="1024"/>
      <c r="K67" s="1024"/>
      <c r="L67" s="1024"/>
      <c r="M67" s="1024"/>
      <c r="N67" s="714">
        <v>2.0</v>
      </c>
      <c r="O67" s="1024"/>
      <c r="P67" s="1025"/>
      <c r="Q67" s="993" t="str">
        <f>HYPERLINK("https://www.strawpoll.me/19055264","Vote")</f>
        <v>Vote</v>
      </c>
    </row>
    <row r="68">
      <c r="A68" s="829"/>
      <c r="B68" s="632"/>
      <c r="C68" s="937" t="s">
        <v>1686</v>
      </c>
      <c r="D68" s="938"/>
      <c r="E68" s="939">
        <v>2.0</v>
      </c>
      <c r="F68" s="939">
        <v>2.0</v>
      </c>
      <c r="G68" s="939">
        <v>6.0</v>
      </c>
      <c r="H68" s="940" t="str">
        <f>HYPERLINK("https://d15f34w2p8l1cc.cloudfront.net/hearthstone/3e97ec2e24eb3dd19300134cc8208512a3169a60fa5ac3b5b3adec9cd00a2a15.png","Image")</f>
        <v>Image</v>
      </c>
      <c r="I68" s="714">
        <v>2.0</v>
      </c>
      <c r="J68" s="1024"/>
      <c r="K68" s="1024"/>
      <c r="L68" s="1024"/>
      <c r="M68" s="1024"/>
      <c r="N68" s="714">
        <v>2.0</v>
      </c>
      <c r="O68" s="1024"/>
      <c r="P68" s="1025"/>
      <c r="Q68" s="993" t="str">
        <f>HYPERLINK("https://www.strawpoll.me/19055265","Vote")</f>
        <v>Vote</v>
      </c>
    </row>
    <row r="69">
      <c r="A69" s="829"/>
      <c r="B69" s="639"/>
      <c r="C69" s="941" t="s">
        <v>1687</v>
      </c>
      <c r="D69" s="942" t="s">
        <v>71</v>
      </c>
      <c r="E69" s="943"/>
      <c r="F69" s="943"/>
      <c r="G69" s="943">
        <v>2.0</v>
      </c>
      <c r="H69" s="944" t="str">
        <f>HYPERLINK("https://d15f34w2p8l1cc.cloudfront.net/hearthstone/ad8dd6d06e1a94b637e7428ecc0fde81f14965b017566168b0927e2685be81b8.png","Image")</f>
        <v>Image</v>
      </c>
      <c r="I69" s="714">
        <v>3.0</v>
      </c>
      <c r="J69" s="1024"/>
      <c r="K69" s="1024"/>
      <c r="L69" s="1024"/>
      <c r="M69" s="1024"/>
      <c r="N69" s="714">
        <v>3.0</v>
      </c>
      <c r="O69" s="1024"/>
      <c r="P69" s="1025"/>
      <c r="Q69" s="993" t="str">
        <f>HYPERLINK("https://www.strawpoll.me/19055266","Vote")</f>
        <v>Vote</v>
      </c>
    </row>
    <row r="70">
      <c r="A70" s="829"/>
      <c r="B70" s="353"/>
      <c r="C70" s="935" t="s">
        <v>1688</v>
      </c>
      <c r="D70" s="936" t="s">
        <v>1638</v>
      </c>
      <c r="E70" s="855">
        <v>1.0</v>
      </c>
      <c r="F70" s="855">
        <v>1.0</v>
      </c>
      <c r="G70" s="855">
        <v>3.0</v>
      </c>
      <c r="H70" s="856" t="str">
        <f>HYPERLINK("https://d15f34w2p8l1cc.cloudfront.net/hearthstone/2309e27aa6e9f5cc7756d039428676c0d354511f95d689a207acd07ef77a1852.png","Image")</f>
        <v>Image</v>
      </c>
      <c r="I70" s="714">
        <v>1.0</v>
      </c>
      <c r="J70" s="1024"/>
      <c r="K70" s="1024"/>
      <c r="L70" s="1024"/>
      <c r="M70" s="1024"/>
      <c r="N70" s="714">
        <v>2.0</v>
      </c>
      <c r="O70" s="1024"/>
      <c r="P70" s="1025"/>
      <c r="Q70" s="993" t="str">
        <f>HYPERLINK("https://www.strawpoll.me/19055267","Vote")</f>
        <v>Vote</v>
      </c>
    </row>
    <row r="71">
      <c r="A71" s="829"/>
      <c r="B71" s="632"/>
      <c r="C71" s="937" t="s">
        <v>1689</v>
      </c>
      <c r="D71" s="938"/>
      <c r="E71" s="939">
        <v>5.0</v>
      </c>
      <c r="F71" s="939">
        <v>5.0</v>
      </c>
      <c r="G71" s="939">
        <v>5.0</v>
      </c>
      <c r="H71" s="940" t="str">
        <f>HYPERLINK("https://d15f34w2p8l1cc.cloudfront.net/hearthstone/0b474a322695b0ffe7ca93235a403955e1399b0d65edf899fa694e9a47f7d3de.png","Image")</f>
        <v>Image</v>
      </c>
      <c r="I71" s="714">
        <v>4.0</v>
      </c>
      <c r="J71" s="1024"/>
      <c r="K71" s="1024"/>
      <c r="L71" s="1024"/>
      <c r="M71" s="1024"/>
      <c r="N71" s="714">
        <v>4.0</v>
      </c>
      <c r="O71" s="1024"/>
      <c r="P71" s="1025"/>
      <c r="Q71" s="993" t="str">
        <f>HYPERLINK("https://www.strawpoll.me/19055268","Vote")</f>
        <v>Vote</v>
      </c>
    </row>
    <row r="72">
      <c r="A72" s="829"/>
      <c r="B72" s="793"/>
      <c r="C72" s="941" t="s">
        <v>1690</v>
      </c>
      <c r="D72" s="942" t="s">
        <v>71</v>
      </c>
      <c r="E72" s="943"/>
      <c r="F72" s="943"/>
      <c r="G72" s="943">
        <v>3.0</v>
      </c>
      <c r="H72" s="944" t="str">
        <f>HYPERLINK("https://d15f34w2p8l1cc.cloudfront.net/hearthstone/ed294f1573909e4fda05aa00f2eb5bb2b6781fc4e33a6caecbc1c5c7df9aa3f1.png","Image")</f>
        <v>Image</v>
      </c>
      <c r="I72" s="714">
        <v>1.0</v>
      </c>
      <c r="J72" s="1024"/>
      <c r="K72" s="1024"/>
      <c r="L72" s="1024"/>
      <c r="M72" s="1024"/>
      <c r="N72" s="714">
        <v>3.0</v>
      </c>
      <c r="O72" s="1024"/>
      <c r="P72" s="1025"/>
      <c r="Q72" s="993" t="str">
        <f>HYPERLINK("https://www.strawpoll.me/19055270","Vote")</f>
        <v>Vote</v>
      </c>
    </row>
    <row r="73">
      <c r="A73" s="872"/>
      <c r="B73" s="632"/>
      <c r="C73" s="937" t="s">
        <v>1691</v>
      </c>
      <c r="D73" s="938"/>
      <c r="E73" s="939">
        <v>5.0</v>
      </c>
      <c r="F73" s="939">
        <v>4.0</v>
      </c>
      <c r="G73" s="939">
        <v>4.0</v>
      </c>
      <c r="H73" s="940" t="str">
        <f>HYPERLINK("https://d15f34w2p8l1cc.cloudfront.net/hearthstone/60158e51f022fca818b5de1c6b1af6b63225a4ff2404dee58e3b0c6329676f5b.png","Image")</f>
        <v>Image</v>
      </c>
      <c r="I73" s="714">
        <v>1.0</v>
      </c>
      <c r="J73" s="1024"/>
      <c r="K73" s="1024"/>
      <c r="L73" s="1024"/>
      <c r="M73" s="1024"/>
      <c r="N73" s="714">
        <v>3.0</v>
      </c>
      <c r="O73" s="1024"/>
      <c r="P73" s="1025"/>
      <c r="Q73" s="993" t="str">
        <f>HYPERLINK("https://www.strawpoll.me/19055271","Vote")</f>
        <v>Vote</v>
      </c>
    </row>
    <row r="74" ht="17.25" customHeight="1">
      <c r="A74" s="829"/>
      <c r="B74" s="794"/>
      <c r="C74" s="941" t="s">
        <v>1692</v>
      </c>
      <c r="D74" s="942" t="s">
        <v>1682</v>
      </c>
      <c r="E74" s="943"/>
      <c r="F74" s="943"/>
      <c r="G74" s="943">
        <v>7.0</v>
      </c>
      <c r="H74" s="944" t="str">
        <f>HYPERLINK("https://d15f34w2p8l1cc.cloudfront.net/hearthstone/cc25b4e8382ac9ff9f8dcdaf490d5f89ac869003d39e4e7decee0e9e4b05ba8e.png","Image")</f>
        <v>Image</v>
      </c>
      <c r="I74" s="714">
        <v>1.0</v>
      </c>
      <c r="J74" s="1024"/>
      <c r="K74" s="1024"/>
      <c r="L74" s="1024"/>
      <c r="M74" s="1024"/>
      <c r="N74" s="714">
        <v>3.0</v>
      </c>
      <c r="O74" s="1024"/>
      <c r="P74" s="1025"/>
      <c r="Q74" s="993" t="str">
        <f>HYPERLINK("https://www.strawpoll.me/19055273","Vote")</f>
        <v>Vote</v>
      </c>
    </row>
    <row r="75">
      <c r="A75" s="872"/>
      <c r="B75" s="353"/>
      <c r="C75" s="945" t="s">
        <v>1693</v>
      </c>
      <c r="D75" s="946"/>
      <c r="E75" s="947">
        <v>4.0</v>
      </c>
      <c r="F75" s="948">
        <v>4.0</v>
      </c>
      <c r="G75" s="947">
        <v>7.0</v>
      </c>
      <c r="H75" s="949" t="str">
        <f>HYPERLINK("https://d15f34w2p8l1cc.cloudfront.net/hearthstone/e1997772db07b331aee6f87cd2694cbf3ceafb8cc1620b461c83b0065ea25a0c.png","Image")</f>
        <v>Image</v>
      </c>
      <c r="I75" s="714">
        <v>3.0</v>
      </c>
      <c r="J75" s="1024"/>
      <c r="K75" s="1024"/>
      <c r="L75" s="1024"/>
      <c r="M75" s="1024"/>
      <c r="N75" s="714">
        <v>4.0</v>
      </c>
      <c r="O75" s="1024"/>
      <c r="P75" s="1025"/>
      <c r="Q75" s="993" t="str">
        <f>HYPERLINK("https://www.strawpoll.me/19055274","Vote")</f>
        <v>Vote</v>
      </c>
    </row>
    <row r="76">
      <c r="A76" s="829"/>
      <c r="B76" s="355"/>
      <c r="C76" s="864" t="s">
        <v>1694</v>
      </c>
      <c r="D76" s="865" t="s">
        <v>43</v>
      </c>
      <c r="E76" s="859">
        <v>4.0</v>
      </c>
      <c r="F76" s="859">
        <v>12.0</v>
      </c>
      <c r="G76" s="859">
        <v>8.0</v>
      </c>
      <c r="H76" s="860" t="str">
        <f>HYPERLINK("https://d15f34w2p8l1cc.cloudfront.net/hearthstone/4276d5050bce672d3a3cc96315be8c6166ae17dc2e9868095018787763df5d86.png","Image")</f>
        <v>Image</v>
      </c>
      <c r="I76" s="774">
        <v>2.0</v>
      </c>
      <c r="J76" s="1026"/>
      <c r="K76" s="1026"/>
      <c r="L76" s="1026"/>
      <c r="M76" s="1026"/>
      <c r="N76" s="774">
        <v>2.0</v>
      </c>
      <c r="O76" s="1026"/>
      <c r="P76" s="1027"/>
      <c r="Q76" s="993" t="str">
        <f>HYPERLINK("https://www.strawpoll.me/19055275","Vote")</f>
        <v>Vote</v>
      </c>
    </row>
    <row r="77">
      <c r="A77" s="823"/>
      <c r="B77" s="605"/>
      <c r="C77" s="195" t="s">
        <v>109</v>
      </c>
      <c r="D77" s="82"/>
      <c r="E77" s="82"/>
      <c r="F77" s="82"/>
      <c r="G77" s="82"/>
      <c r="H77" s="96"/>
      <c r="I77" s="1029"/>
      <c r="J77" s="1029"/>
      <c r="K77" s="1029"/>
      <c r="L77" s="1029"/>
      <c r="M77" s="1029"/>
      <c r="N77" s="1029"/>
      <c r="O77" s="1029"/>
      <c r="P77" s="1029"/>
      <c r="Q77" s="307"/>
    </row>
    <row r="78" ht="15.75" customHeight="1">
      <c r="A78" s="829"/>
      <c r="B78" s="636"/>
      <c r="C78" s="830"/>
      <c r="D78" s="831"/>
      <c r="E78" s="832"/>
      <c r="F78" s="832"/>
      <c r="G78" s="832"/>
      <c r="H78" s="933"/>
      <c r="I78" s="1028" t="s">
        <v>2</v>
      </c>
      <c r="J78" s="1028" t="s">
        <v>426</v>
      </c>
      <c r="K78" s="1028" t="s">
        <v>1</v>
      </c>
      <c r="L78" s="1028" t="s">
        <v>427</v>
      </c>
      <c r="M78" s="1028" t="s">
        <v>208</v>
      </c>
      <c r="N78" s="1028" t="s">
        <v>3</v>
      </c>
      <c r="O78" s="1028" t="s">
        <v>4</v>
      </c>
      <c r="P78" s="1028" t="s">
        <v>1772</v>
      </c>
      <c r="Q78" s="781"/>
    </row>
    <row r="79">
      <c r="A79" s="829"/>
      <c r="B79" s="950"/>
      <c r="C79" s="705" t="s">
        <v>1695</v>
      </c>
      <c r="D79" s="934" t="s">
        <v>1673</v>
      </c>
      <c r="E79" s="185"/>
      <c r="F79" s="185"/>
      <c r="G79" s="185">
        <v>1.0</v>
      </c>
      <c r="H79" s="840" t="str">
        <f>HYPERLINK("https://d15f34w2p8l1cc.cloudfront.net/hearthstone/b28469246ff22e6cb4113ef5c97915aecea674c0c5a9ad8db198d42fc8e8ffbb.png","Image")</f>
        <v>Image</v>
      </c>
      <c r="I79" s="709">
        <v>3.0</v>
      </c>
      <c r="J79" s="1022"/>
      <c r="K79" s="1022"/>
      <c r="L79" s="1022"/>
      <c r="M79" s="1022"/>
      <c r="N79" s="709">
        <v>3.0</v>
      </c>
      <c r="O79" s="1022"/>
      <c r="P79" s="1023"/>
      <c r="Q79" s="993" t="str">
        <f>HYPERLINK("https://www.strawpoll.me/19055277","Vote")</f>
        <v>Vote</v>
      </c>
    </row>
    <row r="80">
      <c r="A80" s="829"/>
      <c r="B80" s="353"/>
      <c r="C80" s="935" t="s">
        <v>1696</v>
      </c>
      <c r="D80" s="936" t="s">
        <v>27</v>
      </c>
      <c r="E80" s="855">
        <v>1.0</v>
      </c>
      <c r="F80" s="855">
        <v>3.0</v>
      </c>
      <c r="G80" s="855">
        <v>1.0</v>
      </c>
      <c r="H80" s="856" t="str">
        <f>HYPERLINK("https://d15f34w2p8l1cc.cloudfront.net/hearthstone/6c9c36c941668947823de6539955581795b6d848f2894e3db52209f7c87039aa.png","Image")</f>
        <v>Image</v>
      </c>
      <c r="I80" s="714">
        <v>3.0</v>
      </c>
      <c r="J80" s="1024"/>
      <c r="K80" s="1024"/>
      <c r="L80" s="1024"/>
      <c r="M80" s="1024"/>
      <c r="N80" s="714">
        <v>3.0</v>
      </c>
      <c r="O80" s="1024"/>
      <c r="P80" s="1025"/>
      <c r="Q80" s="993" t="str">
        <f>HYPERLINK("https://www.strawpoll.me/19055279","Vote")</f>
        <v>Vote</v>
      </c>
    </row>
    <row r="81">
      <c r="A81" s="829"/>
      <c r="B81" s="632"/>
      <c r="C81" s="937" t="s">
        <v>1697</v>
      </c>
      <c r="D81" s="938" t="s">
        <v>43</v>
      </c>
      <c r="E81" s="939">
        <v>5.0</v>
      </c>
      <c r="F81" s="939">
        <v>7.0</v>
      </c>
      <c r="G81" s="939">
        <v>4.0</v>
      </c>
      <c r="H81" s="940" t="str">
        <f>HYPERLINK("https://d15f34w2p8l1cc.cloudfront.net/hearthstone/68fbc08cb3491460924d16b1dd9b7e1107345843ab7564c46323690e96a804dd.png","Image")</f>
        <v>Image</v>
      </c>
      <c r="I81" s="714">
        <v>3.0</v>
      </c>
      <c r="J81" s="1024"/>
      <c r="K81" s="1024"/>
      <c r="L81" s="1024"/>
      <c r="M81" s="1024"/>
      <c r="N81" s="714">
        <v>3.0</v>
      </c>
      <c r="O81" s="1024"/>
      <c r="P81" s="1025"/>
      <c r="Q81" s="993" t="str">
        <f>HYPERLINK("https://www.strawpoll.me/19055280","Vote")</f>
        <v>Vote</v>
      </c>
    </row>
    <row r="82">
      <c r="A82" s="829"/>
      <c r="B82" s="639"/>
      <c r="C82" s="941" t="s">
        <v>1698</v>
      </c>
      <c r="D82" s="942" t="s">
        <v>71</v>
      </c>
      <c r="E82" s="943"/>
      <c r="F82" s="943"/>
      <c r="G82" s="943">
        <v>1.0</v>
      </c>
      <c r="H82" s="944" t="str">
        <f>HYPERLINK("https://d15f34w2p8l1cc.cloudfront.net/hearthstone/810ca71e022653c83999b6e1601075198f17e1a09fdfe934b89ab0071b451a09.png","Image")</f>
        <v>Image</v>
      </c>
      <c r="I82" s="714">
        <v>3.0</v>
      </c>
      <c r="J82" s="1024"/>
      <c r="K82" s="1024"/>
      <c r="L82" s="1024"/>
      <c r="M82" s="1024"/>
      <c r="N82" s="714">
        <v>3.0</v>
      </c>
      <c r="O82" s="1024"/>
      <c r="P82" s="1025"/>
      <c r="Q82" s="993" t="str">
        <f>HYPERLINK("https://www.strawpoll.me/19055281","Vote")</f>
        <v>Vote</v>
      </c>
    </row>
    <row r="83">
      <c r="A83" s="829"/>
      <c r="B83" s="353"/>
      <c r="C83" s="935" t="s">
        <v>1699</v>
      </c>
      <c r="D83" s="936" t="s">
        <v>71</v>
      </c>
      <c r="E83" s="855"/>
      <c r="F83" s="855"/>
      <c r="G83" s="855">
        <v>3.0</v>
      </c>
      <c r="H83" s="856" t="str">
        <f>HYPERLINK("https://d15f34w2p8l1cc.cloudfront.net/hearthstone/b74212915bc923b0694fe2ba3c5596b636fe52d2958866da89a37758202e5e5f.png","Image")</f>
        <v>Image</v>
      </c>
      <c r="I83" s="714">
        <v>3.0</v>
      </c>
      <c r="J83" s="1024"/>
      <c r="K83" s="1024"/>
      <c r="L83" s="1024"/>
      <c r="M83" s="1024"/>
      <c r="N83" s="714">
        <v>3.0</v>
      </c>
      <c r="O83" s="1024"/>
      <c r="P83" s="1025"/>
      <c r="Q83" s="993" t="str">
        <f>HYPERLINK("https://www.strawpoll.me/19055282","Vote")</f>
        <v>Vote</v>
      </c>
    </row>
    <row r="84">
      <c r="A84" s="829"/>
      <c r="B84" s="632"/>
      <c r="C84" s="937" t="s">
        <v>1700</v>
      </c>
      <c r="D84" s="938" t="s">
        <v>1638</v>
      </c>
      <c r="E84" s="939">
        <v>3.0</v>
      </c>
      <c r="F84" s="939">
        <v>3.0</v>
      </c>
      <c r="G84" s="939">
        <v>5.0</v>
      </c>
      <c r="H84" s="940" t="str">
        <f>HYPERLINK("https://d15f34w2p8l1cc.cloudfront.net/hearthstone/6e9762d10f063d6941bdcb46b802c6775e06788cc0abedc2fd50dcb236982b0d.png","Image")</f>
        <v>Image</v>
      </c>
      <c r="I84" s="714">
        <v>3.0</v>
      </c>
      <c r="J84" s="1024"/>
      <c r="K84" s="1024"/>
      <c r="L84" s="1024"/>
      <c r="M84" s="1024"/>
      <c r="N84" s="714">
        <v>4.0</v>
      </c>
      <c r="O84" s="1024"/>
      <c r="P84" s="1025"/>
      <c r="Q84" s="993" t="str">
        <f>HYPERLINK("https://www.strawpoll.me/19055283","Vote")</f>
        <v>Vote</v>
      </c>
    </row>
    <row r="85">
      <c r="A85" s="872"/>
      <c r="B85" s="793"/>
      <c r="C85" s="941" t="s">
        <v>1701</v>
      </c>
      <c r="D85" s="942" t="s">
        <v>27</v>
      </c>
      <c r="E85" s="943">
        <v>5.0</v>
      </c>
      <c r="F85" s="943">
        <v>5.0</v>
      </c>
      <c r="G85" s="943">
        <v>5.0</v>
      </c>
      <c r="H85" s="944" t="str">
        <f>HYPERLINK("https://d15f34w2p8l1cc.cloudfront.net/hearthstone/3c0bd81760dccc3fcdabc646a5d84886eeaf6b0a49a80a9a9464a62cf8d0db04.png","Image")</f>
        <v>Image</v>
      </c>
      <c r="I85" s="714">
        <v>2.0</v>
      </c>
      <c r="J85" s="1024"/>
      <c r="K85" s="1024"/>
      <c r="L85" s="1024"/>
      <c r="M85" s="1024"/>
      <c r="N85" s="714">
        <v>3.0</v>
      </c>
      <c r="O85" s="1024"/>
      <c r="P85" s="1025"/>
      <c r="Q85" s="993" t="str">
        <f>HYPERLINK("https://www.strawpoll.me/19055284","Vote")</f>
        <v>Vote</v>
      </c>
    </row>
    <row r="86">
      <c r="A86" s="872"/>
      <c r="B86" s="632"/>
      <c r="C86" s="937" t="s">
        <v>1702</v>
      </c>
      <c r="D86" s="938" t="s">
        <v>71</v>
      </c>
      <c r="E86" s="939"/>
      <c r="F86" s="939"/>
      <c r="G86" s="939">
        <v>5.0</v>
      </c>
      <c r="H86" s="940" t="str">
        <f>HYPERLINK("https://d15f34w2p8l1cc.cloudfront.net/hearthstone/c07c6b4813de884e1bb49745404ef383fd02530554dee3b67c91fa6873a67662.png","Image")</f>
        <v>Image</v>
      </c>
      <c r="I86" s="714">
        <v>3.0</v>
      </c>
      <c r="J86" s="1024"/>
      <c r="K86" s="1024"/>
      <c r="L86" s="1024"/>
      <c r="M86" s="1024"/>
      <c r="N86" s="714">
        <v>3.0</v>
      </c>
      <c r="O86" s="1024"/>
      <c r="P86" s="1025"/>
      <c r="Q86" s="993" t="str">
        <f>HYPERLINK("https://www.strawpoll.me/19055285","Vote")</f>
        <v>Vote</v>
      </c>
    </row>
    <row r="87">
      <c r="A87" s="829"/>
      <c r="B87" s="794"/>
      <c r="C87" s="941" t="s">
        <v>1703</v>
      </c>
      <c r="D87" s="942"/>
      <c r="E87" s="943">
        <v>5.0</v>
      </c>
      <c r="F87" s="943">
        <v>5.0</v>
      </c>
      <c r="G87" s="943">
        <v>5.0</v>
      </c>
      <c r="H87" s="944" t="str">
        <f>HYPERLINK("https://d15f34w2p8l1cc.cloudfront.net/hearthstone/535021e229a2aec5cba71c28d62d49790f52e6b2374ca2d46b9648363039f144.png","Image")</f>
        <v>Image</v>
      </c>
      <c r="I87" s="714">
        <v>2.0</v>
      </c>
      <c r="J87" s="1024"/>
      <c r="K87" s="1024"/>
      <c r="L87" s="1024"/>
      <c r="M87" s="1024"/>
      <c r="N87" s="714">
        <v>2.0</v>
      </c>
      <c r="O87" s="1024"/>
      <c r="P87" s="1025"/>
      <c r="Q87" s="993" t="str">
        <f>HYPERLINK("https://www.strawpoll.me/19055286","Vote")</f>
        <v>Vote</v>
      </c>
    </row>
    <row r="88">
      <c r="A88" s="872"/>
      <c r="B88" s="353"/>
      <c r="C88" s="945" t="s">
        <v>1704</v>
      </c>
      <c r="D88" s="946" t="s">
        <v>43</v>
      </c>
      <c r="E88" s="947">
        <v>5.0</v>
      </c>
      <c r="F88" s="948">
        <v>5.0</v>
      </c>
      <c r="G88" s="947">
        <v>6.0</v>
      </c>
      <c r="H88" s="949" t="str">
        <f>HYPERLINK("https://d15f34w2p8l1cc.cloudfront.net/hearthstone/312b28e61c02c54051cae4b81e0b40bb4ae66c264ac6598baf449af9e4fb229c.png","Image")</f>
        <v>Image</v>
      </c>
      <c r="I88" s="714">
        <v>1.0</v>
      </c>
      <c r="J88" s="1024"/>
      <c r="K88" s="1024"/>
      <c r="L88" s="1024"/>
      <c r="M88" s="1024"/>
      <c r="N88" s="714">
        <v>2.0</v>
      </c>
      <c r="O88" s="1024"/>
      <c r="P88" s="1025"/>
      <c r="Q88" s="993" t="str">
        <f>HYPERLINK("https://www.strawpoll.me/19055287","Vote")</f>
        <v>Vote</v>
      </c>
    </row>
    <row r="89">
      <c r="A89" s="829"/>
      <c r="B89" s="355"/>
      <c r="C89" s="864" t="s">
        <v>1705</v>
      </c>
      <c r="D89" s="865" t="s">
        <v>1682</v>
      </c>
      <c r="E89" s="859"/>
      <c r="F89" s="859"/>
      <c r="G89" s="859">
        <v>7.0</v>
      </c>
      <c r="H89" s="860" t="str">
        <f>HYPERLINK("https://d15f34w2p8l1cc.cloudfront.net/hearthstone/8081ef339e9ac987800f5e7580275aeb6e4829238f8bc1ec13cd625d2e9161d6.png","Image")</f>
        <v>Image</v>
      </c>
      <c r="I89" s="774">
        <v>3.0</v>
      </c>
      <c r="J89" s="1026"/>
      <c r="K89" s="1026"/>
      <c r="L89" s="1026"/>
      <c r="M89" s="1026"/>
      <c r="N89" s="774">
        <v>4.0</v>
      </c>
      <c r="O89" s="1026"/>
      <c r="P89" s="1027"/>
      <c r="Q89" s="993" t="str">
        <f>HYPERLINK("https://www.strawpoll.me/19055288","Vote")</f>
        <v>Vote</v>
      </c>
    </row>
    <row r="90">
      <c r="A90" s="823"/>
      <c r="B90" s="605"/>
      <c r="C90" s="195" t="s">
        <v>123</v>
      </c>
      <c r="D90" s="82"/>
      <c r="E90" s="82"/>
      <c r="F90" s="82"/>
      <c r="G90" s="82"/>
      <c r="H90" s="96"/>
      <c r="I90" s="1029"/>
      <c r="J90" s="1029"/>
      <c r="K90" s="1029"/>
      <c r="L90" s="1029"/>
      <c r="M90" s="1029"/>
      <c r="N90" s="1029"/>
      <c r="O90" s="1029"/>
      <c r="P90" s="1029"/>
      <c r="Q90" s="307"/>
    </row>
    <row r="91" ht="15.75" customHeight="1">
      <c r="A91" s="829"/>
      <c r="B91" s="636"/>
      <c r="C91" s="830"/>
      <c r="D91" s="831"/>
      <c r="E91" s="832"/>
      <c r="F91" s="832"/>
      <c r="G91" s="832"/>
      <c r="H91" s="933"/>
      <c r="I91" s="1028" t="s">
        <v>2</v>
      </c>
      <c r="J91" s="1028" t="s">
        <v>426</v>
      </c>
      <c r="K91" s="1028" t="s">
        <v>1</v>
      </c>
      <c r="L91" s="1028" t="s">
        <v>427</v>
      </c>
      <c r="M91" s="1028" t="s">
        <v>208</v>
      </c>
      <c r="N91" s="1028" t="s">
        <v>3</v>
      </c>
      <c r="O91" s="1028" t="s">
        <v>4</v>
      </c>
      <c r="P91" s="1028" t="s">
        <v>1772</v>
      </c>
      <c r="Q91" s="781"/>
    </row>
    <row r="92">
      <c r="A92" s="829"/>
      <c r="B92" s="950"/>
      <c r="C92" s="705" t="s">
        <v>1706</v>
      </c>
      <c r="D92" s="934" t="s">
        <v>60</v>
      </c>
      <c r="E92" s="185">
        <v>1.0</v>
      </c>
      <c r="F92" s="185">
        <v>1.0</v>
      </c>
      <c r="G92" s="185">
        <v>1.0</v>
      </c>
      <c r="H92" s="840" t="str">
        <f>HYPERLINK("https://d15f34w2p8l1cc.cloudfront.net/hearthstone/b0e6bb6593037d6c6ce7e21952f7d02dd223e70d2f521d5b65a9a5ad38815619.png","Image")</f>
        <v>Image</v>
      </c>
      <c r="I92" s="709">
        <v>3.0</v>
      </c>
      <c r="J92" s="1022"/>
      <c r="K92" s="1022"/>
      <c r="L92" s="1022"/>
      <c r="M92" s="1022"/>
      <c r="N92" s="709">
        <v>2.0</v>
      </c>
      <c r="O92" s="1022"/>
      <c r="P92" s="1023"/>
      <c r="Q92" s="993" t="str">
        <f>HYPERLINK("https://www.strawpoll.me/19055298","Vote")</f>
        <v>Vote</v>
      </c>
    </row>
    <row r="93">
      <c r="A93" s="829"/>
      <c r="B93" s="353"/>
      <c r="C93" s="935" t="s">
        <v>1707</v>
      </c>
      <c r="D93" s="936" t="s">
        <v>1673</v>
      </c>
      <c r="E93" s="855"/>
      <c r="F93" s="855"/>
      <c r="G93" s="855">
        <v>1.0</v>
      </c>
      <c r="H93" s="856" t="str">
        <f>HYPERLINK("https://d15f34w2p8l1cc.cloudfront.net/hearthstone/41e2d8fb352962f05c7e06331b96ffde683a269a91773e3636693fb9832e72d3.png","Image")</f>
        <v>Image</v>
      </c>
      <c r="I93" s="714">
        <v>2.0</v>
      </c>
      <c r="J93" s="1024"/>
      <c r="K93" s="1024"/>
      <c r="L93" s="1024"/>
      <c r="M93" s="1024"/>
      <c r="N93" s="714">
        <v>2.0</v>
      </c>
      <c r="O93" s="1024"/>
      <c r="P93" s="1025"/>
      <c r="Q93" s="993" t="str">
        <f>HYPERLINK("https://www.strawpoll.me/19055302","Vote")</f>
        <v>Vote</v>
      </c>
    </row>
    <row r="94">
      <c r="A94" s="829"/>
      <c r="B94" s="632"/>
      <c r="C94" s="937" t="s">
        <v>1708</v>
      </c>
      <c r="D94" s="938" t="s">
        <v>71</v>
      </c>
      <c r="E94" s="939"/>
      <c r="F94" s="939"/>
      <c r="G94" s="939">
        <v>6.0</v>
      </c>
      <c r="H94" s="940" t="str">
        <f>HYPERLINK("https://d15f34w2p8l1cc.cloudfront.net/hearthstone/1c53e08125b01d67fb76adb3adb21e35cfbbfe74f677279c1ef120f8854ad338.png","Image")</f>
        <v>Image</v>
      </c>
      <c r="I94" s="714">
        <v>1.0</v>
      </c>
      <c r="J94" s="1024"/>
      <c r="K94" s="1024"/>
      <c r="L94" s="1024"/>
      <c r="M94" s="1024"/>
      <c r="N94" s="714">
        <v>2.0</v>
      </c>
      <c r="O94" s="1024"/>
      <c r="P94" s="1025"/>
      <c r="Q94" s="993" t="str">
        <f>HYPERLINK("https://www.strawpoll.me/19055303","Vote")</f>
        <v>Vote</v>
      </c>
    </row>
    <row r="95">
      <c r="A95" s="829"/>
      <c r="B95" s="639"/>
      <c r="C95" s="941" t="s">
        <v>1709</v>
      </c>
      <c r="D95" s="942" t="s">
        <v>71</v>
      </c>
      <c r="E95" s="943"/>
      <c r="F95" s="943"/>
      <c r="G95" s="943">
        <v>1.0</v>
      </c>
      <c r="H95" s="944" t="str">
        <f>HYPERLINK("https://d15f34w2p8l1cc.cloudfront.net/hearthstone/6342dc1b16cd9896621b61a304eb44e6c5cee23f605a59790ed14747d18fbff9.png","Image")</f>
        <v>Image</v>
      </c>
      <c r="I95" s="714">
        <v>1.0</v>
      </c>
      <c r="J95" s="1024"/>
      <c r="K95" s="1024"/>
      <c r="L95" s="1024"/>
      <c r="M95" s="1024"/>
      <c r="N95" s="714">
        <v>1.0</v>
      </c>
      <c r="O95" s="1024"/>
      <c r="P95" s="1025"/>
      <c r="Q95" s="993" t="str">
        <f>HYPERLINK("https://www.strawpoll.me/19055305","Vote")</f>
        <v>Vote</v>
      </c>
    </row>
    <row r="96">
      <c r="A96" s="829"/>
      <c r="B96" s="353"/>
      <c r="C96" s="935" t="s">
        <v>1710</v>
      </c>
      <c r="D96" s="936" t="s">
        <v>1673</v>
      </c>
      <c r="E96" s="855"/>
      <c r="F96" s="855"/>
      <c r="G96" s="855">
        <v>3.0</v>
      </c>
      <c r="H96" s="856" t="str">
        <f>HYPERLINK("https://d15f34w2p8l1cc.cloudfront.net/hearthstone/194fe34e1348242f9589aa0241ebe2037078c768cbde9ef7567e13481d000ac6.png","Image")</f>
        <v>Image</v>
      </c>
      <c r="I96" s="714">
        <v>2.0</v>
      </c>
      <c r="J96" s="1024"/>
      <c r="K96" s="1024"/>
      <c r="L96" s="1024"/>
      <c r="M96" s="1024"/>
      <c r="N96" s="714">
        <v>2.0</v>
      </c>
      <c r="O96" s="1024"/>
      <c r="P96" s="1025"/>
      <c r="Q96" s="993" t="str">
        <f>HYPERLINK("https://www.strawpoll.me/19055307","Vote")</f>
        <v>Vote</v>
      </c>
    </row>
    <row r="97">
      <c r="A97" s="872"/>
      <c r="B97" s="632"/>
      <c r="C97" s="937" t="s">
        <v>1711</v>
      </c>
      <c r="D97" s="938"/>
      <c r="E97" s="939">
        <v>4.0</v>
      </c>
      <c r="F97" s="939">
        <v>4.0</v>
      </c>
      <c r="G97" s="939">
        <v>5.0</v>
      </c>
      <c r="H97" s="940" t="str">
        <f>HYPERLINK("https://d15f34w2p8l1cc.cloudfront.net/hearthstone/42192938e02f0adb12336bb4b9aa17b3dfaeb2947e03efa146614320316aee61.png","Image")</f>
        <v>Image</v>
      </c>
      <c r="I97" s="714">
        <v>1.0</v>
      </c>
      <c r="J97" s="1024"/>
      <c r="K97" s="1024"/>
      <c r="L97" s="1024"/>
      <c r="M97" s="1024"/>
      <c r="N97" s="714">
        <v>3.0</v>
      </c>
      <c r="O97" s="1024"/>
      <c r="P97" s="1025"/>
      <c r="Q97" s="993" t="str">
        <f>HYPERLINK("https://www.strawpoll.me/19055309","Vote")</f>
        <v>Vote</v>
      </c>
    </row>
    <row r="98">
      <c r="A98" s="829"/>
      <c r="B98" s="793"/>
      <c r="C98" s="941" t="s">
        <v>1712</v>
      </c>
      <c r="D98" s="942"/>
      <c r="E98" s="943">
        <v>2.0</v>
      </c>
      <c r="F98" s="943">
        <v>5.0</v>
      </c>
      <c r="G98" s="943">
        <v>4.0</v>
      </c>
      <c r="H98" s="944" t="str">
        <f>HYPERLINK("https://d15f34w2p8l1cc.cloudfront.net/hearthstone/9accbde3a60a1afd91cd0cdc61b039d89543a58f38021b68a098bfa010f0ab0c.png","Image")</f>
        <v>Image</v>
      </c>
      <c r="I98" s="714">
        <v>2.0</v>
      </c>
      <c r="J98" s="1024"/>
      <c r="K98" s="1024"/>
      <c r="L98" s="1024"/>
      <c r="M98" s="1024"/>
      <c r="N98" s="714">
        <v>4.0</v>
      </c>
      <c r="O98" s="1024"/>
      <c r="P98" s="1025"/>
      <c r="Q98" s="993" t="str">
        <f>HYPERLINK("https://www.strawpoll.me/19055311","Vote")</f>
        <v>Vote</v>
      </c>
    </row>
    <row r="99">
      <c r="A99" s="829"/>
      <c r="B99" s="632"/>
      <c r="C99" s="937" t="s">
        <v>1713</v>
      </c>
      <c r="D99" s="938"/>
      <c r="E99" s="939">
        <v>3.0</v>
      </c>
      <c r="F99" s="939">
        <v>3.0</v>
      </c>
      <c r="G99" s="939">
        <v>4.0</v>
      </c>
      <c r="H99" s="940" t="str">
        <f>HYPERLINK("https://d15f34w2p8l1cc.cloudfront.net/hearthstone/0518dd7a2749babafbf626d5075e4be163a006d772b99a1681cbf95a33a95343.png","Image")</f>
        <v>Image</v>
      </c>
      <c r="I99" s="714">
        <v>2.0</v>
      </c>
      <c r="J99" s="1024"/>
      <c r="K99" s="1024"/>
      <c r="L99" s="1024"/>
      <c r="M99" s="1024"/>
      <c r="N99" s="714">
        <v>3.0</v>
      </c>
      <c r="O99" s="1024"/>
      <c r="P99" s="1025"/>
      <c r="Q99" s="993" t="str">
        <f>HYPERLINK("https://www.strawpoll.me/19055313","Vote")</f>
        <v>Vote</v>
      </c>
    </row>
    <row r="100">
      <c r="A100" s="829"/>
      <c r="B100" s="794"/>
      <c r="C100" s="941" t="s">
        <v>1714</v>
      </c>
      <c r="D100" s="942" t="s">
        <v>43</v>
      </c>
      <c r="E100" s="943">
        <v>7.0</v>
      </c>
      <c r="F100" s="943">
        <v>5.0</v>
      </c>
      <c r="G100" s="943">
        <v>5.0</v>
      </c>
      <c r="H100" s="944" t="str">
        <f>HYPERLINK("https://d15f34w2p8l1cc.cloudfront.net/hearthstone/dd355fb6e8c48be0f441f90ec246cb73a798afb1f3dd6951695f48792376e7ca.png","Image")</f>
        <v>Image</v>
      </c>
      <c r="I100" s="714">
        <v>1.0</v>
      </c>
      <c r="J100" s="1024"/>
      <c r="K100" s="1024"/>
      <c r="L100" s="1024"/>
      <c r="M100" s="1024"/>
      <c r="N100" s="714">
        <v>3.0</v>
      </c>
      <c r="O100" s="1024"/>
      <c r="P100" s="1025"/>
      <c r="Q100" s="993" t="str">
        <f>HYPERLINK("https://www.strawpoll.me/19055314","Vote")</f>
        <v>Vote</v>
      </c>
    </row>
    <row r="101">
      <c r="A101" s="829"/>
      <c r="B101" s="353"/>
      <c r="C101" s="945" t="s">
        <v>1715</v>
      </c>
      <c r="D101" s="946"/>
      <c r="E101" s="947">
        <v>4.0</v>
      </c>
      <c r="F101" s="948">
        <v>4.0</v>
      </c>
      <c r="G101" s="947">
        <v>6.0</v>
      </c>
      <c r="H101" s="949" t="str">
        <f>HYPERLINK("https://d15f34w2p8l1cc.cloudfront.net/hearthstone/afe616b2d28f7fe192c755ff880c1dc27431ef4c83b3ecfa969a587649ae9644.png","Image")</f>
        <v>Image</v>
      </c>
      <c r="I101" s="714">
        <v>3.0</v>
      </c>
      <c r="J101" s="1024"/>
      <c r="K101" s="1024"/>
      <c r="L101" s="1024"/>
      <c r="M101" s="1024"/>
      <c r="N101" s="714">
        <v>4.0</v>
      </c>
      <c r="O101" s="1024"/>
      <c r="P101" s="1025"/>
      <c r="Q101" s="993" t="str">
        <f>HYPERLINK("https://www.strawpoll.me/19055315","Vote")</f>
        <v>Vote</v>
      </c>
    </row>
    <row r="102">
      <c r="A102" s="829"/>
      <c r="B102" s="355"/>
      <c r="C102" s="864" t="s">
        <v>1716</v>
      </c>
      <c r="D102" s="865" t="s">
        <v>1682</v>
      </c>
      <c r="E102" s="859"/>
      <c r="F102" s="859"/>
      <c r="G102" s="859">
        <v>7.0</v>
      </c>
      <c r="H102" s="860" t="str">
        <f>HYPERLINK("https://d15f34w2p8l1cc.cloudfront.net/hearthstone/c475a2ac5dc4a3a6c8240ed8f10a1c25952d3736533eb532c539d75dca905e45.png","Image")</f>
        <v>Image</v>
      </c>
      <c r="I102" s="774">
        <v>2.0</v>
      </c>
      <c r="J102" s="1026"/>
      <c r="K102" s="1026"/>
      <c r="L102" s="1026"/>
      <c r="M102" s="1026"/>
      <c r="N102" s="774">
        <v>2.0</v>
      </c>
      <c r="O102" s="1026"/>
      <c r="P102" s="1027"/>
      <c r="Q102" s="993" t="str">
        <f>HYPERLINK("https://www.strawpoll.me/19055317","Vote")</f>
        <v>Vote</v>
      </c>
    </row>
    <row r="103">
      <c r="A103" s="823"/>
      <c r="B103" s="605"/>
      <c r="C103" s="195" t="s">
        <v>135</v>
      </c>
      <c r="D103" s="82"/>
      <c r="E103" s="82"/>
      <c r="F103" s="82"/>
      <c r="G103" s="82"/>
      <c r="H103" s="96"/>
      <c r="I103" s="1029"/>
      <c r="J103" s="1029"/>
      <c r="K103" s="1029"/>
      <c r="L103" s="1029"/>
      <c r="M103" s="1029"/>
      <c r="N103" s="1029"/>
      <c r="O103" s="1029"/>
      <c r="P103" s="1029"/>
      <c r="Q103" s="307"/>
    </row>
    <row r="104" ht="15.75" customHeight="1">
      <c r="A104" s="872"/>
      <c r="B104" s="636"/>
      <c r="C104" s="830"/>
      <c r="D104" s="831"/>
      <c r="E104" s="832"/>
      <c r="F104" s="832"/>
      <c r="G104" s="832"/>
      <c r="H104" s="933"/>
      <c r="I104" s="1030" t="s">
        <v>2</v>
      </c>
      <c r="J104" s="1030" t="s">
        <v>426</v>
      </c>
      <c r="K104" s="1030" t="s">
        <v>1</v>
      </c>
      <c r="L104" s="1030" t="s">
        <v>427</v>
      </c>
      <c r="M104" s="1030" t="s">
        <v>208</v>
      </c>
      <c r="N104" s="1030" t="s">
        <v>3</v>
      </c>
      <c r="O104" s="1030" t="s">
        <v>4</v>
      </c>
      <c r="P104" s="1030" t="s">
        <v>1772</v>
      </c>
      <c r="Q104" s="781"/>
    </row>
    <row r="105">
      <c r="A105" s="872"/>
      <c r="B105" s="950"/>
      <c r="C105" s="953" t="s">
        <v>1717</v>
      </c>
      <c r="D105" s="934" t="s">
        <v>1718</v>
      </c>
      <c r="E105" s="185"/>
      <c r="F105" s="185"/>
      <c r="G105" s="185">
        <v>1.0</v>
      </c>
      <c r="H105" s="954" t="str">
        <f>HYPERLINK("https://d15f34w2p8l1cc.cloudfront.net/hearthstone/8a94f59995c69c494ed9329e7ca96aa4148faa71d58082e5fb261fc0a1c80339.png","Image")</f>
        <v>Image</v>
      </c>
      <c r="I105" s="709">
        <v>1.0</v>
      </c>
      <c r="J105" s="1022"/>
      <c r="K105" s="1022"/>
      <c r="L105" s="1022"/>
      <c r="M105" s="1022"/>
      <c r="N105" s="709">
        <v>1.0</v>
      </c>
      <c r="O105" s="1022"/>
      <c r="P105" s="1023"/>
      <c r="Q105" s="993" t="str">
        <f>HYPERLINK("https://www.strawpoll.me/19055319","Vote")</f>
        <v>Vote</v>
      </c>
    </row>
    <row r="106">
      <c r="A106" s="829"/>
      <c r="B106" s="353"/>
      <c r="C106" s="955" t="s">
        <v>1719</v>
      </c>
      <c r="D106" s="936"/>
      <c r="E106" s="855">
        <v>1.0</v>
      </c>
      <c r="F106" s="855">
        <v>1.0</v>
      </c>
      <c r="G106" s="855">
        <v>2.0</v>
      </c>
      <c r="H106" s="956" t="str">
        <f>HYPERLINK("https://d15f34w2p8l1cc.cloudfront.net/hearthstone/e6e2f6589bcd60d1b5b9eb1c176bba66013bb50e14696ee8e7e4d4166533abbe.png","Image")</f>
        <v>Image</v>
      </c>
      <c r="I106" s="714">
        <v>2.0</v>
      </c>
      <c r="J106" s="1024"/>
      <c r="K106" s="1024"/>
      <c r="L106" s="1024"/>
      <c r="M106" s="1024"/>
      <c r="N106" s="714">
        <v>2.0</v>
      </c>
      <c r="O106" s="1024"/>
      <c r="P106" s="1025"/>
      <c r="Q106" s="993" t="str">
        <f>HYPERLINK("https://www.strawpoll.me/19055320","Vote")</f>
        <v>Vote</v>
      </c>
    </row>
    <row r="107">
      <c r="A107" s="872"/>
      <c r="B107" s="353"/>
      <c r="C107" s="957" t="s">
        <v>1720</v>
      </c>
      <c r="D107" s="938" t="s">
        <v>43</v>
      </c>
      <c r="E107" s="939">
        <v>4.0</v>
      </c>
      <c r="F107" s="939">
        <v>8.0</v>
      </c>
      <c r="G107" s="939">
        <v>6.0</v>
      </c>
      <c r="H107" s="958" t="str">
        <f>HYPERLINK("https://d15f34w2p8l1cc.cloudfront.net/hearthstone/a29fb5768833726adaf196f592c65926806c967fffe7a3e309289c4e7ee806a9.png","Image")</f>
        <v>Image</v>
      </c>
      <c r="I107" s="714">
        <v>2.0</v>
      </c>
      <c r="J107" s="1024"/>
      <c r="K107" s="1024"/>
      <c r="L107" s="1024"/>
      <c r="M107" s="1024"/>
      <c r="N107" s="714">
        <v>4.0</v>
      </c>
      <c r="O107" s="1024"/>
      <c r="P107" s="1025"/>
      <c r="Q107" s="993" t="str">
        <f>HYPERLINK("https://www.strawpoll.me/19055324","Vote")</f>
        <v>Vote</v>
      </c>
    </row>
    <row r="108">
      <c r="A108" s="829"/>
      <c r="B108" s="637"/>
      <c r="C108" s="959" t="s">
        <v>1721</v>
      </c>
      <c r="D108" s="942" t="s">
        <v>71</v>
      </c>
      <c r="E108" s="943"/>
      <c r="F108" s="943"/>
      <c r="G108" s="943">
        <v>1.0</v>
      </c>
      <c r="H108" s="960" t="str">
        <f>HYPERLINK("https://d15f34w2p8l1cc.cloudfront.net/hearthstone/1d1bb1f34f99f0a7f017d8b4f55a061e80c7b4e711166ee072cfc4528533ec93.png","Image")</f>
        <v>Image</v>
      </c>
      <c r="I108" s="714">
        <v>2.0</v>
      </c>
      <c r="J108" s="1024"/>
      <c r="K108" s="1024"/>
      <c r="L108" s="1024"/>
      <c r="M108" s="1024"/>
      <c r="N108" s="714">
        <v>3.0</v>
      </c>
      <c r="O108" s="1024"/>
      <c r="P108" s="1025"/>
      <c r="Q108" s="993" t="str">
        <f>HYPERLINK("https://www.strawpoll.me/19055326","Vote")</f>
        <v>Vote</v>
      </c>
    </row>
    <row r="109">
      <c r="A109" s="829"/>
      <c r="B109" s="353"/>
      <c r="C109" s="955" t="s">
        <v>1722</v>
      </c>
      <c r="D109" s="936" t="s">
        <v>71</v>
      </c>
      <c r="E109" s="855"/>
      <c r="F109" s="855"/>
      <c r="G109" s="855">
        <v>2.0</v>
      </c>
      <c r="H109" s="956" t="str">
        <f>HYPERLINK("https://d15f34w2p8l1cc.cloudfront.net/hearthstone/cbae1a686d55e7d4b0ceb722d6c9d791d746c75b821cf2349046bd126696eed6.png","Image")</f>
        <v>Image</v>
      </c>
      <c r="I109" s="714">
        <v>3.0</v>
      </c>
      <c r="J109" s="1024"/>
      <c r="K109" s="1024"/>
      <c r="L109" s="1024"/>
      <c r="M109" s="1024"/>
      <c r="N109" s="714">
        <v>4.0</v>
      </c>
      <c r="O109" s="1024"/>
      <c r="P109" s="1025"/>
      <c r="Q109" s="993" t="str">
        <f>HYPERLINK("https://www.strawpoll.me/19055329","Vote")</f>
        <v>Vote</v>
      </c>
    </row>
    <row r="110">
      <c r="A110" s="829"/>
      <c r="B110" s="353"/>
      <c r="C110" s="957" t="s">
        <v>1723</v>
      </c>
      <c r="D110" s="938" t="s">
        <v>71</v>
      </c>
      <c r="E110" s="939"/>
      <c r="F110" s="939"/>
      <c r="G110" s="939">
        <v>5.0</v>
      </c>
      <c r="H110" s="958" t="str">
        <f>HYPERLINK("https://d15f34w2p8l1cc.cloudfront.net/hearthstone/16586a5692f68fb9a35534b28f9cea8736b760486daf983f9022870b94c49fbe.png","Image")</f>
        <v>Image</v>
      </c>
      <c r="I110" s="714">
        <v>2.0</v>
      </c>
      <c r="J110" s="1024"/>
      <c r="K110" s="1024"/>
      <c r="L110" s="1024"/>
      <c r="M110" s="1024"/>
      <c r="N110" s="714">
        <v>3.0</v>
      </c>
      <c r="O110" s="1024"/>
      <c r="P110" s="1025"/>
      <c r="Q110" s="993" t="str">
        <f>HYPERLINK("https://www.strawpoll.me/19055330","Vote")</f>
        <v>Vote</v>
      </c>
    </row>
    <row r="111">
      <c r="A111" s="829"/>
      <c r="B111" s="961"/>
      <c r="C111" s="959" t="s">
        <v>1724</v>
      </c>
      <c r="D111" s="942" t="s">
        <v>71</v>
      </c>
      <c r="E111" s="943"/>
      <c r="F111" s="943"/>
      <c r="G111" s="943">
        <v>0.0</v>
      </c>
      <c r="H111" s="960" t="str">
        <f>HYPERLINK("https://d15f34w2p8l1cc.cloudfront.net/hearthstone/686a8a44aa30fcfdf001f1f19eba612b9351d74397d60d360d1b277677523bfa.png","Image")</f>
        <v>Image</v>
      </c>
      <c r="I111" s="714">
        <v>1.0</v>
      </c>
      <c r="J111" s="1024"/>
      <c r="K111" s="1024"/>
      <c r="L111" s="1024"/>
      <c r="M111" s="1024"/>
      <c r="N111" s="714">
        <v>1.0</v>
      </c>
      <c r="O111" s="1024"/>
      <c r="P111" s="1025"/>
      <c r="Q111" s="993" t="str">
        <f>HYPERLINK("https://www.strawpoll.me/19055332","Vote")</f>
        <v>Vote</v>
      </c>
    </row>
    <row r="112">
      <c r="A112" s="829"/>
      <c r="B112" s="353"/>
      <c r="C112" s="957" t="s">
        <v>1725</v>
      </c>
      <c r="D112" s="938" t="s">
        <v>1718</v>
      </c>
      <c r="E112" s="939"/>
      <c r="F112" s="939"/>
      <c r="G112" s="939">
        <v>1.0</v>
      </c>
      <c r="H112" s="958" t="str">
        <f>HYPERLINK("https://d15f34w2p8l1cc.cloudfront.net/hearthstone/9d54d6da0a9f72467dc8b1d224b62194db020f44126cf19ff06e431411ca4cb5.png","Image")</f>
        <v>Image</v>
      </c>
      <c r="I112" s="714">
        <v>1.0</v>
      </c>
      <c r="J112" s="1024"/>
      <c r="K112" s="1024"/>
      <c r="L112" s="1024"/>
      <c r="M112" s="1024"/>
      <c r="N112" s="714">
        <v>2.0</v>
      </c>
      <c r="O112" s="1024"/>
      <c r="P112" s="1025"/>
      <c r="Q112" s="993" t="str">
        <f>HYPERLINK("https://www.strawpoll.me/19055333","Vote")</f>
        <v>Vote</v>
      </c>
    </row>
    <row r="113">
      <c r="A113" s="872"/>
      <c r="B113" s="962"/>
      <c r="C113" s="959" t="s">
        <v>1726</v>
      </c>
      <c r="D113" s="942"/>
      <c r="E113" s="943">
        <v>5.0</v>
      </c>
      <c r="F113" s="943">
        <v>10.0</v>
      </c>
      <c r="G113" s="943">
        <v>7.0</v>
      </c>
      <c r="H113" s="960" t="str">
        <f>HYPERLINK("https://d15f34w2p8l1cc.cloudfront.net/hearthstone/fb0c1acaf0d48f704fdf419f4a40bb70ed8539f20a7336a74ba92b940997e518.png","Image")</f>
        <v>Image</v>
      </c>
      <c r="I113" s="714">
        <v>1.0</v>
      </c>
      <c r="J113" s="1024"/>
      <c r="K113" s="1024"/>
      <c r="L113" s="1024"/>
      <c r="M113" s="1024"/>
      <c r="N113" s="714">
        <v>2.0</v>
      </c>
      <c r="O113" s="1024"/>
      <c r="P113" s="1025"/>
      <c r="Q113" s="993" t="str">
        <f>HYPERLINK("https://www.strawpoll.me/19055334","Vote")</f>
        <v>Vote</v>
      </c>
    </row>
    <row r="114">
      <c r="A114" s="872"/>
      <c r="B114" s="355"/>
      <c r="C114" s="963" t="s">
        <v>1727</v>
      </c>
      <c r="D114" s="964" t="s">
        <v>43</v>
      </c>
      <c r="E114" s="859">
        <v>4.0</v>
      </c>
      <c r="F114" s="965">
        <v>12.0</v>
      </c>
      <c r="G114" s="859">
        <v>9.0</v>
      </c>
      <c r="H114" s="966" t="str">
        <f>HYPERLINK("https://d15f34w2p8l1cc.cloudfront.net/hearthstone/f770baf3dbc0642256a6d903eeee6efede121132abe8bd281b0386f225d80d33.png","Image")</f>
        <v>Image</v>
      </c>
      <c r="I114" s="774">
        <v>3.0</v>
      </c>
      <c r="J114" s="1026"/>
      <c r="K114" s="1026"/>
      <c r="L114" s="1026"/>
      <c r="M114" s="1026"/>
      <c r="N114" s="774">
        <v>3.0</v>
      </c>
      <c r="O114" s="1026"/>
      <c r="P114" s="1027"/>
      <c r="Q114" s="993" t="str">
        <f>HYPERLINK("https://www.strawpoll.me/19055336","Vote")</f>
        <v>Vote</v>
      </c>
    </row>
    <row r="115">
      <c r="A115" s="883"/>
      <c r="B115" s="824"/>
      <c r="C115" s="195" t="s">
        <v>147</v>
      </c>
      <c r="D115" s="82"/>
      <c r="E115" s="82"/>
      <c r="F115" s="82"/>
      <c r="G115" s="82"/>
      <c r="H115" s="96"/>
      <c r="I115" s="1029"/>
      <c r="J115" s="1029"/>
      <c r="K115" s="1029"/>
      <c r="L115" s="1029"/>
      <c r="M115" s="1029"/>
      <c r="N115" s="1029"/>
      <c r="O115" s="1029"/>
      <c r="P115" s="1029"/>
      <c r="Q115" s="307"/>
    </row>
    <row r="116" ht="15.75" customHeight="1">
      <c r="A116" s="872"/>
      <c r="B116" s="636"/>
      <c r="C116" s="830"/>
      <c r="D116" s="831"/>
      <c r="E116" s="832"/>
      <c r="F116" s="832"/>
      <c r="G116" s="832"/>
      <c r="H116" s="933"/>
      <c r="I116" s="1030" t="s">
        <v>2</v>
      </c>
      <c r="J116" s="1030" t="s">
        <v>426</v>
      </c>
      <c r="K116" s="1030" t="s">
        <v>1</v>
      </c>
      <c r="L116" s="1030" t="s">
        <v>427</v>
      </c>
      <c r="M116" s="1030" t="s">
        <v>208</v>
      </c>
      <c r="N116" s="1030" t="s">
        <v>3</v>
      </c>
      <c r="O116" s="1030" t="s">
        <v>4</v>
      </c>
      <c r="P116" s="1030" t="s">
        <v>1772</v>
      </c>
      <c r="Q116" s="781"/>
    </row>
    <row r="117">
      <c r="A117" s="872"/>
      <c r="B117" s="950"/>
      <c r="C117" s="953" t="s">
        <v>1728</v>
      </c>
      <c r="D117" s="934"/>
      <c r="E117" s="185">
        <v>1.0</v>
      </c>
      <c r="F117" s="185">
        <v>3.0</v>
      </c>
      <c r="G117" s="185">
        <v>1.0</v>
      </c>
      <c r="H117" s="954" t="str">
        <f>HYPERLINK("https://d15f34w2p8l1cc.cloudfront.net/hearthstone/e93de3547a7a7382187dd388634c0b1dbb84243780926e650b03c4dd14b92566.png","Image")</f>
        <v>Image</v>
      </c>
      <c r="I117" s="709">
        <v>2.0</v>
      </c>
      <c r="J117" s="1022"/>
      <c r="K117" s="1022"/>
      <c r="L117" s="1022"/>
      <c r="M117" s="1022"/>
      <c r="N117" s="709">
        <v>3.0</v>
      </c>
      <c r="O117" s="1022"/>
      <c r="P117" s="1023"/>
      <c r="Q117" s="993" t="str">
        <f>HYPERLINK("https://www.strawpoll.me/19055337","Vote")</f>
        <v>Vote</v>
      </c>
    </row>
    <row r="118">
      <c r="A118" s="872"/>
      <c r="B118" s="353"/>
      <c r="C118" s="955" t="s">
        <v>1729</v>
      </c>
      <c r="D118" s="936" t="s">
        <v>71</v>
      </c>
      <c r="E118" s="855"/>
      <c r="F118" s="855"/>
      <c r="G118" s="855">
        <v>2.0</v>
      </c>
      <c r="H118" s="956" t="str">
        <f>HYPERLINK("https://d15f34w2p8l1cc.cloudfront.net/hearthstone/636b037311471c66b694ed810794a05b7675b871486eb5fb1dd2d888813fe522.png","Image")</f>
        <v>Image</v>
      </c>
      <c r="I118" s="714">
        <v>2.0</v>
      </c>
      <c r="J118" s="1024"/>
      <c r="K118" s="1024"/>
      <c r="L118" s="1024"/>
      <c r="M118" s="1024"/>
      <c r="N118" s="714">
        <v>3.0</v>
      </c>
      <c r="O118" s="1024"/>
      <c r="P118" s="1025"/>
      <c r="Q118" s="993" t="str">
        <f>HYPERLINK("https://www.strawpoll.me/19055338","Vote")</f>
        <v>Vote</v>
      </c>
    </row>
    <row r="119">
      <c r="A119" s="872"/>
      <c r="B119" s="353"/>
      <c r="C119" s="957" t="s">
        <v>1730</v>
      </c>
      <c r="D119" s="938" t="s">
        <v>43</v>
      </c>
      <c r="E119" s="939">
        <v>2.0</v>
      </c>
      <c r="F119" s="939">
        <v>3.0</v>
      </c>
      <c r="G119" s="939">
        <v>3.0</v>
      </c>
      <c r="H119" s="958" t="str">
        <f>HYPERLINK("https://d15f34w2p8l1cc.cloudfront.net/hearthstone/90eec5b9fec67ac72b15d5b4f289b62a66e7c7294b276bda65f06f6b7f98be3e.png","Image")</f>
        <v>Image</v>
      </c>
      <c r="I119" s="714">
        <v>2.0</v>
      </c>
      <c r="J119" s="1024"/>
      <c r="K119" s="1024"/>
      <c r="L119" s="1024"/>
      <c r="M119" s="1024"/>
      <c r="N119" s="714">
        <v>3.0</v>
      </c>
      <c r="O119" s="1024"/>
      <c r="P119" s="1025"/>
      <c r="Q119" s="993" t="str">
        <f>HYPERLINK("https://www.strawpoll.me/19055339","Vote")</f>
        <v>Vote</v>
      </c>
    </row>
    <row r="120">
      <c r="A120" s="872"/>
      <c r="B120" s="637"/>
      <c r="C120" s="959" t="s">
        <v>1731</v>
      </c>
      <c r="D120" s="942" t="s">
        <v>1718</v>
      </c>
      <c r="E120" s="943"/>
      <c r="F120" s="943"/>
      <c r="G120" s="943">
        <v>1.0</v>
      </c>
      <c r="H120" s="960" t="str">
        <f>HYPERLINK("https://d15f34w2p8l1cc.cloudfront.net/hearthstone/7a943a8ab16977c93bdf18228ee5914a1a5abddeeccce0f4d77845fe242148b6.png","Image")</f>
        <v>Image</v>
      </c>
      <c r="I120" s="714">
        <v>2.0</v>
      </c>
      <c r="J120" s="1024"/>
      <c r="K120" s="1024"/>
      <c r="L120" s="1024"/>
      <c r="M120" s="1024"/>
      <c r="N120" s="714">
        <v>1.0</v>
      </c>
      <c r="O120" s="1024"/>
      <c r="P120" s="1025"/>
      <c r="Q120" s="993" t="str">
        <f>HYPERLINK("https://www.strawpoll.me/19055341","Vote")</f>
        <v>Vote</v>
      </c>
    </row>
    <row r="121">
      <c r="A121" s="872"/>
      <c r="B121" s="353"/>
      <c r="C121" s="955" t="s">
        <v>1732</v>
      </c>
      <c r="D121" s="936" t="s">
        <v>22</v>
      </c>
      <c r="E121" s="855">
        <v>2.0</v>
      </c>
      <c r="F121" s="855">
        <v>3.0</v>
      </c>
      <c r="G121" s="855">
        <v>2.0</v>
      </c>
      <c r="H121" s="956" t="str">
        <f>HYPERLINK("https://d15f34w2p8l1cc.cloudfront.net/hearthstone/6481a51be26cef81202a2b8c9c50ff9b18e6806147b577b415531fb9fe29562e.png","Image")</f>
        <v>Image</v>
      </c>
      <c r="I121" s="714">
        <v>1.0</v>
      </c>
      <c r="J121" s="1024"/>
      <c r="K121" s="1024"/>
      <c r="L121" s="1024"/>
      <c r="M121" s="1024"/>
      <c r="N121" s="714">
        <v>2.0</v>
      </c>
      <c r="O121" s="1024"/>
      <c r="P121" s="1025"/>
      <c r="Q121" s="993" t="str">
        <f>HYPERLINK("https://www.strawpoll.me/19055343","Vote")</f>
        <v>Vote</v>
      </c>
    </row>
    <row r="122">
      <c r="A122" s="872"/>
      <c r="B122" s="353"/>
      <c r="C122" s="957" t="s">
        <v>1733</v>
      </c>
      <c r="D122" s="938" t="s">
        <v>22</v>
      </c>
      <c r="E122" s="939">
        <v>4.0</v>
      </c>
      <c r="F122" s="939">
        <v>1.0</v>
      </c>
      <c r="G122" s="939">
        <v>3.0</v>
      </c>
      <c r="H122" s="958" t="str">
        <f>HYPERLINK("https://d15f34w2p8l1cc.cloudfront.net/hearthstone/018f70757abccb57493445c0c99bac61b028cd41cf14b2b3503939b5c1d93ae5.png","Image")</f>
        <v>Image</v>
      </c>
      <c r="I122" s="714">
        <v>2.0</v>
      </c>
      <c r="J122" s="1024"/>
      <c r="K122" s="1024"/>
      <c r="L122" s="1024"/>
      <c r="M122" s="1024"/>
      <c r="N122" s="714">
        <v>4.0</v>
      </c>
      <c r="O122" s="1024"/>
      <c r="P122" s="1025"/>
      <c r="Q122" s="993" t="str">
        <f>HYPERLINK("https://www.strawpoll.me/19055345","Vote")</f>
        <v>Vote</v>
      </c>
    </row>
    <row r="123">
      <c r="A123" s="872"/>
      <c r="B123" s="961"/>
      <c r="C123" s="959" t="s">
        <v>1734</v>
      </c>
      <c r="D123" s="942" t="s">
        <v>1718</v>
      </c>
      <c r="E123" s="943"/>
      <c r="F123" s="943"/>
      <c r="G123" s="943">
        <v>1.0</v>
      </c>
      <c r="H123" s="960" t="str">
        <f>HYPERLINK("https://d15f34w2p8l1cc.cloudfront.net/hearthstone/5bddb8a4213c582af1af98e77b9aca1d3ddf51bd3c0cfcc6f5256b1df4ebbf22.png","Image")</f>
        <v>Image</v>
      </c>
      <c r="I123" s="714">
        <v>1.0</v>
      </c>
      <c r="J123" s="1024"/>
      <c r="K123" s="1024"/>
      <c r="L123" s="1024"/>
      <c r="M123" s="1024"/>
      <c r="N123" s="714">
        <v>1.0</v>
      </c>
      <c r="O123" s="1024"/>
      <c r="P123" s="1025"/>
      <c r="Q123" s="993" t="str">
        <f>HYPERLINK("https://www.strawpoll.me/19055346","Vote")</f>
        <v>Vote</v>
      </c>
    </row>
    <row r="124">
      <c r="A124" s="872"/>
      <c r="B124" s="353"/>
      <c r="C124" s="957" t="s">
        <v>1735</v>
      </c>
      <c r="D124" s="938" t="s">
        <v>77</v>
      </c>
      <c r="E124" s="939">
        <v>3.0</v>
      </c>
      <c r="F124" s="939">
        <v>2.0</v>
      </c>
      <c r="G124" s="939">
        <v>3.0</v>
      </c>
      <c r="H124" s="958" t="str">
        <f>HYPERLINK("https://d15f34w2p8l1cc.cloudfront.net/hearthstone/cac10939c83442b9cfe06c9ea0e892edc027c0374ad701eeb2c7848604252804.png","Image")</f>
        <v>Image</v>
      </c>
      <c r="I124" s="714">
        <v>1.0</v>
      </c>
      <c r="J124" s="1024"/>
      <c r="K124" s="1024"/>
      <c r="L124" s="1024"/>
      <c r="M124" s="1024"/>
      <c r="N124" s="714">
        <v>3.0</v>
      </c>
      <c r="O124" s="1024"/>
      <c r="P124" s="1025"/>
      <c r="Q124" s="993" t="str">
        <f>HYPERLINK("https://www.strawpoll.me/19055347","Vote")</f>
        <v>Vote</v>
      </c>
    </row>
    <row r="125">
      <c r="A125" s="872"/>
      <c r="B125" s="962"/>
      <c r="C125" s="959" t="s">
        <v>1736</v>
      </c>
      <c r="D125" s="942" t="s">
        <v>20</v>
      </c>
      <c r="E125" s="943">
        <v>3.0</v>
      </c>
      <c r="F125" s="943">
        <v>5.0</v>
      </c>
      <c r="G125" s="943">
        <v>4.0</v>
      </c>
      <c r="H125" s="960" t="str">
        <f>HYPERLINK("https://d15f34w2p8l1cc.cloudfront.net/hearthstone/0403ca5b66b9747cba2be26408b6443f4113b7a2c66c56888475c5b99437ace3.png","Image")</f>
        <v>Image</v>
      </c>
      <c r="I125" s="714">
        <v>2.0</v>
      </c>
      <c r="J125" s="1024"/>
      <c r="K125" s="1024"/>
      <c r="L125" s="1024"/>
      <c r="M125" s="1024"/>
      <c r="N125" s="714">
        <v>3.0</v>
      </c>
      <c r="O125" s="1024"/>
      <c r="P125" s="1025"/>
      <c r="Q125" s="993" t="str">
        <f>HYPERLINK("https://www.strawpoll.me/19055348","Vote")</f>
        <v>Vote</v>
      </c>
    </row>
    <row r="126">
      <c r="A126" s="872"/>
      <c r="B126" s="355"/>
      <c r="C126" s="963" t="s">
        <v>1737</v>
      </c>
      <c r="D126" s="964" t="s">
        <v>43</v>
      </c>
      <c r="E126" s="859">
        <v>7.0</v>
      </c>
      <c r="F126" s="965">
        <v>6.0</v>
      </c>
      <c r="G126" s="859">
        <v>6.0</v>
      </c>
      <c r="H126" s="966" t="str">
        <f>HYPERLINK("https://d15f34w2p8l1cc.cloudfront.net/hearthstone/9d18289973254b3bc66b5ecc46d8e9a965067b799d2af4aa9628ac5c1e17acdf.png","Image")</f>
        <v>Image</v>
      </c>
      <c r="I126" s="774">
        <v>3.0</v>
      </c>
      <c r="J126" s="1026"/>
      <c r="K126" s="1026"/>
      <c r="L126" s="1026"/>
      <c r="M126" s="1026"/>
      <c r="N126" s="774">
        <v>4.0</v>
      </c>
      <c r="O126" s="1026"/>
      <c r="P126" s="1027"/>
      <c r="Q126" s="993" t="str">
        <f>HYPERLINK("https://www.strawpoll.me/19055350","Vote")</f>
        <v>Vote</v>
      </c>
    </row>
    <row r="127">
      <c r="A127" s="883"/>
      <c r="B127" s="824"/>
      <c r="C127" s="195" t="s">
        <v>158</v>
      </c>
      <c r="D127" s="82"/>
      <c r="E127" s="82"/>
      <c r="F127" s="82"/>
      <c r="G127" s="82"/>
      <c r="H127" s="96"/>
      <c r="I127" s="1029"/>
      <c r="J127" s="1029"/>
      <c r="K127" s="1029"/>
      <c r="L127" s="1029"/>
      <c r="M127" s="1029"/>
      <c r="N127" s="1029"/>
      <c r="O127" s="1029"/>
      <c r="P127" s="1029"/>
      <c r="Q127" s="307"/>
    </row>
    <row r="128" ht="15.75" customHeight="1">
      <c r="A128" s="872"/>
      <c r="B128" s="636"/>
      <c r="C128" s="830"/>
      <c r="D128" s="831"/>
      <c r="E128" s="832"/>
      <c r="F128" s="832"/>
      <c r="G128" s="832"/>
      <c r="H128" s="933"/>
      <c r="I128" s="1028" t="s">
        <v>2</v>
      </c>
      <c r="J128" s="1028" t="s">
        <v>426</v>
      </c>
      <c r="K128" s="1028" t="s">
        <v>1</v>
      </c>
      <c r="L128" s="1028" t="s">
        <v>427</v>
      </c>
      <c r="M128" s="1028" t="s">
        <v>208</v>
      </c>
      <c r="N128" s="1028" t="s">
        <v>3</v>
      </c>
      <c r="O128" s="1028" t="s">
        <v>4</v>
      </c>
      <c r="P128" s="1028" t="s">
        <v>1772</v>
      </c>
      <c r="Q128" s="781"/>
    </row>
    <row r="129">
      <c r="A129" s="872"/>
      <c r="B129" s="950"/>
      <c r="C129" s="705" t="s">
        <v>1738</v>
      </c>
      <c r="D129" s="934" t="s">
        <v>71</v>
      </c>
      <c r="E129" s="185"/>
      <c r="F129" s="185"/>
      <c r="G129" s="185">
        <v>0.0</v>
      </c>
      <c r="H129" s="840" t="str">
        <f>HYPERLINK("https://d15f34w2p8l1cc.cloudfront.net/hearthstone/2f1136cbd502ea1e4f4bf63bb2a20d54555a13e9704fde93184c6a536c1ad283.png","Image")</f>
        <v>Image</v>
      </c>
      <c r="I129" s="709">
        <v>3.0</v>
      </c>
      <c r="J129" s="1022"/>
      <c r="K129" s="1022"/>
      <c r="L129" s="1022"/>
      <c r="M129" s="1022"/>
      <c r="N129" s="709">
        <v>2.0</v>
      </c>
      <c r="O129" s="1022"/>
      <c r="P129" s="1023"/>
      <c r="Q129" s="993" t="str">
        <f>HYPERLINK("https://www.strawpoll.me/19055351","Vote")</f>
        <v>Vote</v>
      </c>
    </row>
    <row r="130">
      <c r="A130" s="872"/>
      <c r="B130" s="353"/>
      <c r="C130" s="935" t="s">
        <v>1739</v>
      </c>
      <c r="D130" s="936" t="s">
        <v>1638</v>
      </c>
      <c r="E130" s="855">
        <v>1.0</v>
      </c>
      <c r="F130" s="855">
        <v>2.0</v>
      </c>
      <c r="G130" s="855">
        <v>1.0</v>
      </c>
      <c r="H130" s="856" t="str">
        <f>HYPERLINK("https://d15f34w2p8l1cc.cloudfront.net/hearthstone/9abbaba51efdabe8b75abe336f1e318c887ad15242b0998f95f005aa12a32b3b.png","Image")</f>
        <v>Image</v>
      </c>
      <c r="I130" s="714">
        <v>1.0</v>
      </c>
      <c r="J130" s="1024"/>
      <c r="K130" s="1024"/>
      <c r="L130" s="1024"/>
      <c r="M130" s="1024"/>
      <c r="N130" s="714">
        <v>3.0</v>
      </c>
      <c r="O130" s="1024"/>
      <c r="P130" s="1025"/>
      <c r="Q130" s="993" t="str">
        <f>HYPERLINK("https://www.strawpoll.me/19055352","Vote")</f>
        <v>Vote</v>
      </c>
    </row>
    <row r="131">
      <c r="A131" s="872"/>
      <c r="B131" s="632"/>
      <c r="C131" s="937" t="s">
        <v>1740</v>
      </c>
      <c r="D131" s="938" t="s">
        <v>71</v>
      </c>
      <c r="E131" s="939"/>
      <c r="F131" s="939"/>
      <c r="G131" s="939">
        <v>4.0</v>
      </c>
      <c r="H131" s="940" t="str">
        <f>HYPERLINK("https://d15f34w2p8l1cc.cloudfront.net/hearthstone/872a4aacf679f7248aadd84e4e7b1b934c952b1b37a0ed993b1b95047a62ddf4.png","Image")</f>
        <v>Image</v>
      </c>
      <c r="I131" s="714">
        <v>1.0</v>
      </c>
      <c r="J131" s="1024"/>
      <c r="K131" s="1024"/>
      <c r="L131" s="1024"/>
      <c r="M131" s="1024"/>
      <c r="N131" s="714">
        <v>2.0</v>
      </c>
      <c r="O131" s="1024"/>
      <c r="P131" s="1025"/>
      <c r="Q131" s="993" t="str">
        <f>HYPERLINK("https://www.strawpoll.me/19055353","Vote")</f>
        <v>Vote</v>
      </c>
    </row>
    <row r="132">
      <c r="A132" s="872"/>
      <c r="B132" s="639"/>
      <c r="C132" s="941" t="s">
        <v>1741</v>
      </c>
      <c r="D132" s="942" t="s">
        <v>1673</v>
      </c>
      <c r="E132" s="943"/>
      <c r="F132" s="943"/>
      <c r="G132" s="943">
        <v>5.0</v>
      </c>
      <c r="H132" s="944" t="str">
        <f>HYPERLINK("https://d15f34w2p8l1cc.cloudfront.net/hearthstone/b9161ae30a07ee3fbcbe4e1363cebc9117a1246ed86bb82dc2b6e24e98c196ac.png","Image")</f>
        <v>Image</v>
      </c>
      <c r="I132" s="714">
        <v>1.0</v>
      </c>
      <c r="J132" s="1024"/>
      <c r="K132" s="1024"/>
      <c r="L132" s="1024"/>
      <c r="M132" s="1024"/>
      <c r="N132" s="714">
        <v>4.0</v>
      </c>
      <c r="O132" s="1024"/>
      <c r="P132" s="1025"/>
      <c r="Q132" s="993" t="str">
        <f>HYPERLINK("https://www.strawpoll.me/19055355","Vote")</f>
        <v>Vote</v>
      </c>
    </row>
    <row r="133">
      <c r="A133" s="872"/>
      <c r="B133" s="353"/>
      <c r="C133" s="935" t="s">
        <v>1742</v>
      </c>
      <c r="D133" s="936" t="s">
        <v>43</v>
      </c>
      <c r="E133" s="855">
        <v>4.0</v>
      </c>
      <c r="F133" s="855">
        <v>5.0</v>
      </c>
      <c r="G133" s="855">
        <v>5.0</v>
      </c>
      <c r="H133" s="856" t="str">
        <f>HYPERLINK("https://d15f34w2p8l1cc.cloudfront.net/hearthstone/ec77f82d5570f7013361893d8963aa89f662a42d7db2d2cbc188f89737c8e6f5.png","Image")</f>
        <v>Image</v>
      </c>
      <c r="I133" s="714">
        <v>2.0</v>
      </c>
      <c r="J133" s="1024"/>
      <c r="K133" s="1024"/>
      <c r="L133" s="1024"/>
      <c r="M133" s="1024"/>
      <c r="N133" s="714">
        <v>4.0</v>
      </c>
      <c r="O133" s="1024"/>
      <c r="P133" s="1025"/>
      <c r="Q133" s="993" t="str">
        <f>HYPERLINK("https://www.strawpoll.me/19055357","Vote")</f>
        <v>Vote</v>
      </c>
    </row>
    <row r="134">
      <c r="A134" s="872"/>
      <c r="B134" s="632"/>
      <c r="C134" s="937" t="s">
        <v>1743</v>
      </c>
      <c r="D134" s="938" t="s">
        <v>71</v>
      </c>
      <c r="E134" s="939"/>
      <c r="F134" s="939"/>
      <c r="G134" s="939">
        <v>3.0</v>
      </c>
      <c r="H134" s="940" t="str">
        <f>HYPERLINK("https://d15f34w2p8l1cc.cloudfront.net/hearthstone/7402f26c94982ea5b68cef84b0aec02ad11fcb95bf21825ff3675e7b4c3be31a.png","Image")</f>
        <v>Image</v>
      </c>
      <c r="I134" s="714">
        <v>3.0</v>
      </c>
      <c r="J134" s="1024"/>
      <c r="K134" s="1024"/>
      <c r="L134" s="1024"/>
      <c r="M134" s="1024"/>
      <c r="N134" s="714">
        <v>3.0</v>
      </c>
      <c r="O134" s="1024"/>
      <c r="P134" s="1025"/>
      <c r="Q134" s="993" t="str">
        <f>HYPERLINK("https://www.strawpoll.me/19055359","Vote")</f>
        <v>Vote</v>
      </c>
    </row>
    <row r="135">
      <c r="A135" s="872"/>
      <c r="B135" s="793"/>
      <c r="C135" s="941" t="s">
        <v>1744</v>
      </c>
      <c r="D135" s="942"/>
      <c r="E135" s="943">
        <v>2.0</v>
      </c>
      <c r="F135" s="943">
        <v>2.0</v>
      </c>
      <c r="G135" s="943">
        <v>2.0</v>
      </c>
      <c r="H135" s="944" t="str">
        <f>HYPERLINK("https://d15f34w2p8l1cc.cloudfront.net/hearthstone/f90e2ff30fe7f9002408a51a1e57e3c9856649df2836472af0e36d61674a11be.png","Image")</f>
        <v>Image</v>
      </c>
      <c r="I135" s="714">
        <v>2.0</v>
      </c>
      <c r="J135" s="1024"/>
      <c r="K135" s="1024"/>
      <c r="L135" s="1024"/>
      <c r="M135" s="1024"/>
      <c r="N135" s="714">
        <v>2.0</v>
      </c>
      <c r="O135" s="1024"/>
      <c r="P135" s="1025"/>
      <c r="Q135" s="993" t="str">
        <f>HYPERLINK("https://www.strawpoll.me/19055360","Vote")</f>
        <v>Vote</v>
      </c>
    </row>
    <row r="136">
      <c r="A136" s="872"/>
      <c r="B136" s="632"/>
      <c r="C136" s="937" t="s">
        <v>1745</v>
      </c>
      <c r="D136" s="938" t="s">
        <v>43</v>
      </c>
      <c r="E136" s="939">
        <v>3.0</v>
      </c>
      <c r="F136" s="939">
        <v>6.0</v>
      </c>
      <c r="G136" s="939">
        <v>4.0</v>
      </c>
      <c r="H136" s="940" t="str">
        <f>HYPERLINK("https://d15f34w2p8l1cc.cloudfront.net/hearthstone/e3de5665a2458ca67ac73ac43a3f116b848afb60c8438f7518ea4bb8564b36c1.png","Image")</f>
        <v>Image</v>
      </c>
      <c r="I136" s="714">
        <v>1.0</v>
      </c>
      <c r="J136" s="1024"/>
      <c r="K136" s="1024"/>
      <c r="L136" s="1024"/>
      <c r="M136" s="1024"/>
      <c r="N136" s="714">
        <v>4.0</v>
      </c>
      <c r="O136" s="1024"/>
      <c r="P136" s="1025"/>
      <c r="Q136" s="993" t="str">
        <f>HYPERLINK("https://www.strawpoll.me/19055361","Vote")</f>
        <v>Vote</v>
      </c>
    </row>
    <row r="137">
      <c r="A137" s="872"/>
      <c r="B137" s="794"/>
      <c r="C137" s="941" t="s">
        <v>1771</v>
      </c>
      <c r="D137" s="942"/>
      <c r="E137" s="943">
        <v>3.0</v>
      </c>
      <c r="F137" s="943">
        <v>3.0</v>
      </c>
      <c r="G137" s="943">
        <v>3.0</v>
      </c>
      <c r="H137" s="944" t="str">
        <f>HYPERLINK("https://d15f34w2p8l1cc.cloudfront.net/hearthstone/7e94c72739ecf3142ff839b189aee6abea8f405337f4bfeb30acd4bcb8a182e1.png","Image")</f>
        <v>Image</v>
      </c>
      <c r="I137" s="714">
        <v>2.0</v>
      </c>
      <c r="J137" s="1024"/>
      <c r="K137" s="1024"/>
      <c r="L137" s="1024"/>
      <c r="M137" s="1024"/>
      <c r="N137" s="714">
        <v>4.0</v>
      </c>
      <c r="O137" s="1024"/>
      <c r="P137" s="1025"/>
      <c r="Q137" s="993" t="str">
        <f>HYPERLINK("https://www.strawpoll.me/19055363","Vote")</f>
        <v>Vote</v>
      </c>
    </row>
    <row r="138">
      <c r="A138" s="872"/>
      <c r="B138" s="353"/>
      <c r="C138" s="945" t="s">
        <v>1747</v>
      </c>
      <c r="D138" s="946" t="s">
        <v>1682</v>
      </c>
      <c r="E138" s="947"/>
      <c r="F138" s="948"/>
      <c r="G138" s="947">
        <v>7.0</v>
      </c>
      <c r="H138" s="949" t="str">
        <f>HYPERLINK("https://d15f34w2p8l1cc.cloudfront.net/hearthstone/3af893d0cd57e8dc159f6be3a73e08ed9a8b8b6665f0de39e61a477195ef8f07.png","Image")</f>
        <v>Image</v>
      </c>
      <c r="I138" s="714">
        <v>1.0</v>
      </c>
      <c r="J138" s="1024"/>
      <c r="K138" s="1024"/>
      <c r="L138" s="1024"/>
      <c r="M138" s="1024"/>
      <c r="N138" s="714">
        <v>3.0</v>
      </c>
      <c r="O138" s="1024"/>
      <c r="P138" s="1025"/>
      <c r="Q138" s="993" t="str">
        <f>HYPERLINK("https://www.strawpoll.me/19055365","Vote")</f>
        <v>Vote</v>
      </c>
    </row>
    <row r="139">
      <c r="A139" s="872"/>
      <c r="B139" s="355"/>
      <c r="C139" s="864" t="s">
        <v>1748</v>
      </c>
      <c r="D139" s="865" t="s">
        <v>43</v>
      </c>
      <c r="E139" s="859">
        <v>8.0</v>
      </c>
      <c r="F139" s="859">
        <v>8.0</v>
      </c>
      <c r="G139" s="859">
        <v>8.0</v>
      </c>
      <c r="H139" s="860" t="str">
        <f>HYPERLINK("https://d15f34w2p8l1cc.cloudfront.net/hearthstone/b4fe7ff7d3fa162dfbf4f49205fa833e7b83e2c712c2f55a520a88d58085f0b4.png","Image")</f>
        <v>Image</v>
      </c>
      <c r="I139" s="774">
        <v>1.0</v>
      </c>
      <c r="J139" s="1026"/>
      <c r="K139" s="1026"/>
      <c r="L139" s="1026"/>
      <c r="M139" s="1026"/>
      <c r="N139" s="774">
        <v>4.0</v>
      </c>
      <c r="O139" s="1026"/>
      <c r="P139" s="1027"/>
      <c r="Q139" s="993" t="str">
        <f>HYPERLINK("https://www.strawpoll.me/19055368","Vote")</f>
        <v>Vote</v>
      </c>
    </row>
    <row r="140">
      <c r="A140" s="883"/>
      <c r="B140" s="824"/>
      <c r="C140" s="195" t="s">
        <v>170</v>
      </c>
      <c r="D140" s="82"/>
      <c r="E140" s="82"/>
      <c r="F140" s="82"/>
      <c r="G140" s="82"/>
      <c r="H140" s="96"/>
      <c r="I140" s="1029"/>
      <c r="J140" s="1029"/>
      <c r="K140" s="1029"/>
      <c r="L140" s="1029"/>
      <c r="M140" s="1029"/>
      <c r="N140" s="1029"/>
      <c r="O140" s="1029"/>
      <c r="P140" s="1029"/>
      <c r="Q140" s="307"/>
    </row>
    <row r="141" ht="15.75" customHeight="1">
      <c r="A141" s="872"/>
      <c r="B141" s="636"/>
      <c r="C141" s="830"/>
      <c r="D141" s="831"/>
      <c r="E141" s="832"/>
      <c r="F141" s="832"/>
      <c r="G141" s="832"/>
      <c r="H141" s="933"/>
      <c r="I141" s="1030" t="s">
        <v>2</v>
      </c>
      <c r="J141" s="1030" t="s">
        <v>426</v>
      </c>
      <c r="K141" s="1030" t="s">
        <v>1</v>
      </c>
      <c r="L141" s="1030" t="s">
        <v>427</v>
      </c>
      <c r="M141" s="1030" t="s">
        <v>208</v>
      </c>
      <c r="N141" s="1030" t="s">
        <v>3</v>
      </c>
      <c r="O141" s="1030" t="s">
        <v>4</v>
      </c>
      <c r="P141" s="1030" t="s">
        <v>1772</v>
      </c>
      <c r="Q141" s="781"/>
    </row>
    <row r="142">
      <c r="A142" s="872"/>
      <c r="B142" s="950"/>
      <c r="C142" s="953" t="s">
        <v>1749</v>
      </c>
      <c r="D142" s="934" t="s">
        <v>27</v>
      </c>
      <c r="E142" s="185">
        <v>1.0</v>
      </c>
      <c r="F142" s="185">
        <v>1.0</v>
      </c>
      <c r="G142" s="185">
        <v>1.0</v>
      </c>
      <c r="H142" s="954" t="str">
        <f>HYPERLINK("https://d15f34w2p8l1cc.cloudfront.net/hearthstone/ac3c75c6118a72e105250f4525aa62417f0e0e66a5b3af0c64d074825fe38e70.png","Image")</f>
        <v>Image</v>
      </c>
      <c r="I142" s="709">
        <v>3.0</v>
      </c>
      <c r="J142" s="1022"/>
      <c r="K142" s="1022"/>
      <c r="L142" s="1022"/>
      <c r="M142" s="1022"/>
      <c r="N142" s="709">
        <v>3.0</v>
      </c>
      <c r="O142" s="1022"/>
      <c r="P142" s="1023"/>
      <c r="Q142" s="993" t="str">
        <f>HYPERLINK("https://www.strawpoll.me/19055369","Vote")</f>
        <v>Vote</v>
      </c>
    </row>
    <row r="143">
      <c r="A143" s="872"/>
      <c r="B143" s="353"/>
      <c r="C143" s="955" t="s">
        <v>1750</v>
      </c>
      <c r="D143" s="936" t="s">
        <v>1718</v>
      </c>
      <c r="E143" s="855"/>
      <c r="F143" s="855"/>
      <c r="G143" s="855">
        <v>1.0</v>
      </c>
      <c r="H143" s="956" t="str">
        <f>HYPERLINK("https://d15f34w2p8l1cc.cloudfront.net/hearthstone/3b1170d1f29f2ef97ad601c3082a9c240df02e089710d9357f335ebf11a59a14.png","Image")</f>
        <v>Image</v>
      </c>
      <c r="I143" s="714">
        <v>2.0</v>
      </c>
      <c r="J143" s="1024"/>
      <c r="K143" s="1024"/>
      <c r="L143" s="1024"/>
      <c r="M143" s="1024"/>
      <c r="N143" s="714">
        <v>2.0</v>
      </c>
      <c r="O143" s="1024"/>
      <c r="P143" s="1025"/>
      <c r="Q143" s="993" t="str">
        <f>HYPERLINK("https://www.strawpoll.me/19055370","Vote")</f>
        <v>Vote</v>
      </c>
    </row>
    <row r="144">
      <c r="A144" s="872"/>
      <c r="B144" s="353"/>
      <c r="C144" s="957" t="s">
        <v>1751</v>
      </c>
      <c r="D144" s="938" t="s">
        <v>43</v>
      </c>
      <c r="E144" s="939">
        <v>2.0</v>
      </c>
      <c r="F144" s="939">
        <v>3.0</v>
      </c>
      <c r="G144" s="939">
        <v>4.0</v>
      </c>
      <c r="H144" s="958" t="str">
        <f>HYPERLINK("https://d15f34w2p8l1cc.cloudfront.net/hearthstone/f2389ace72a6af4e9760a9a0eb9f7312817bbb5845e7a5eb87b22c961d69a1ff.png","Image")</f>
        <v>Image</v>
      </c>
      <c r="I144" s="714">
        <v>1.0</v>
      </c>
      <c r="J144" s="1024"/>
      <c r="K144" s="1024"/>
      <c r="L144" s="1024"/>
      <c r="M144" s="1024"/>
      <c r="N144" s="714">
        <v>3.0</v>
      </c>
      <c r="O144" s="1024"/>
      <c r="P144" s="1025"/>
      <c r="Q144" s="993" t="str">
        <f>HYPERLINK("https://www.strawpoll.me/19055371","Vote")</f>
        <v>Vote</v>
      </c>
    </row>
    <row r="145">
      <c r="A145" s="872"/>
      <c r="B145" s="637"/>
      <c r="C145" s="959" t="s">
        <v>1752</v>
      </c>
      <c r="D145" s="942" t="s">
        <v>1718</v>
      </c>
      <c r="E145" s="943"/>
      <c r="F145" s="943"/>
      <c r="G145" s="943">
        <v>1.0</v>
      </c>
      <c r="H145" s="960" t="str">
        <f>HYPERLINK("https://d15f34w2p8l1cc.cloudfront.net/hearthstone/5c73cb313079ca20f4512d33d181300177b95b34e0e3e247dc6f43549c2cb95d.png","Image")</f>
        <v>Image</v>
      </c>
      <c r="I145" s="714">
        <v>1.0</v>
      </c>
      <c r="J145" s="1024"/>
      <c r="K145" s="1024"/>
      <c r="L145" s="1024"/>
      <c r="M145" s="1024"/>
      <c r="N145" s="714">
        <v>3.0</v>
      </c>
      <c r="O145" s="1024"/>
      <c r="P145" s="1025"/>
      <c r="Q145" s="993" t="str">
        <f>HYPERLINK("https://www.strawpoll.me/19055373","Vote")</f>
        <v>Vote</v>
      </c>
    </row>
    <row r="146">
      <c r="A146" s="872"/>
      <c r="B146" s="353"/>
      <c r="C146" s="955" t="s">
        <v>1753</v>
      </c>
      <c r="D146" s="936" t="s">
        <v>71</v>
      </c>
      <c r="E146" s="855"/>
      <c r="F146" s="855"/>
      <c r="G146" s="855">
        <v>1.0</v>
      </c>
      <c r="H146" s="956" t="str">
        <f>HYPERLINK("https://d15f34w2p8l1cc.cloudfront.net/hearthstone/bd94fe768544e479d8601825285d87ccc609aefe23abacec5864b580b35c982d.png","Image")</f>
        <v>Image</v>
      </c>
      <c r="I146" s="714">
        <v>3.0</v>
      </c>
      <c r="J146" s="1024"/>
      <c r="K146" s="1024"/>
      <c r="L146" s="1024"/>
      <c r="M146" s="1024"/>
      <c r="N146" s="714">
        <v>3.0</v>
      </c>
      <c r="O146" s="1024"/>
      <c r="P146" s="1025"/>
      <c r="Q146" s="993" t="str">
        <f>HYPERLINK("https://www.strawpoll.me/19055374","Vote")</f>
        <v>Vote</v>
      </c>
    </row>
    <row r="147">
      <c r="A147" s="872"/>
      <c r="B147" s="353"/>
      <c r="C147" s="957" t="s">
        <v>1754</v>
      </c>
      <c r="D147" s="938"/>
      <c r="E147" s="939">
        <v>4.0</v>
      </c>
      <c r="F147" s="939">
        <v>4.0</v>
      </c>
      <c r="G147" s="939">
        <v>6.0</v>
      </c>
      <c r="H147" s="958" t="str">
        <f>HYPERLINK("https://d15f34w2p8l1cc.cloudfront.net/hearthstone/0ace8eb2a451ac68fbe265381b2769c3d81dc4e069b464d9af81d636642b8a07.png","Image")</f>
        <v>Image</v>
      </c>
      <c r="I147" s="714">
        <v>3.0</v>
      </c>
      <c r="J147" s="1024"/>
      <c r="K147" s="1024"/>
      <c r="L147" s="1024"/>
      <c r="M147" s="1024"/>
      <c r="N147" s="714">
        <v>4.0</v>
      </c>
      <c r="O147" s="1024"/>
      <c r="P147" s="1025"/>
      <c r="Q147" s="993" t="str">
        <f>HYPERLINK("https://www.strawpoll.me/19055376","Vote")</f>
        <v>Vote</v>
      </c>
    </row>
    <row r="148">
      <c r="A148" s="872"/>
      <c r="B148" s="961"/>
      <c r="C148" s="959" t="s">
        <v>1755</v>
      </c>
      <c r="D148" s="942" t="s">
        <v>71</v>
      </c>
      <c r="E148" s="943"/>
      <c r="F148" s="943"/>
      <c r="G148" s="943">
        <v>5.0</v>
      </c>
      <c r="H148" s="960" t="str">
        <f>HYPERLINK("https://d15f34w2p8l1cc.cloudfront.net/hearthstone/f592c1caa538cacd84d274979d5a25a6aaf13efd89288198e6e5b4ae6e94d14b.png","Image")</f>
        <v>Image</v>
      </c>
      <c r="I148" s="714">
        <v>2.0</v>
      </c>
      <c r="J148" s="1024"/>
      <c r="K148" s="1024"/>
      <c r="L148" s="1024"/>
      <c r="M148" s="1024"/>
      <c r="N148" s="714">
        <v>3.0</v>
      </c>
      <c r="O148" s="1024"/>
      <c r="P148" s="1025"/>
      <c r="Q148" s="993" t="str">
        <f>HYPERLINK("https://www.strawpoll.me/19055378","Vote")</f>
        <v>Vote</v>
      </c>
    </row>
    <row r="149">
      <c r="A149" s="872"/>
      <c r="B149" s="353"/>
      <c r="C149" s="957" t="s">
        <v>1756</v>
      </c>
      <c r="D149" s="938" t="s">
        <v>27</v>
      </c>
      <c r="E149" s="939">
        <v>8.0</v>
      </c>
      <c r="F149" s="939">
        <v>8.0</v>
      </c>
      <c r="G149" s="939">
        <v>8.0</v>
      </c>
      <c r="H149" s="958" t="str">
        <f>HYPERLINK("https://d15f34w2p8l1cc.cloudfront.net/hearthstone/a15b196d5cb2c3125bf9767213f4dacb4a4ef66cb75a6191cd5717a68ed55134.png","Image")</f>
        <v>Image</v>
      </c>
      <c r="I149" s="714">
        <v>4.0</v>
      </c>
      <c r="J149" s="1024"/>
      <c r="K149" s="1024"/>
      <c r="L149" s="1024"/>
      <c r="M149" s="1024"/>
      <c r="N149" s="714">
        <v>4.0</v>
      </c>
      <c r="O149" s="1024"/>
      <c r="P149" s="1025"/>
      <c r="Q149" s="993" t="str">
        <f>HYPERLINK("https://www.strawpoll.me/19055379","Vote")</f>
        <v>Vote</v>
      </c>
    </row>
    <row r="150">
      <c r="A150" s="872"/>
      <c r="B150" s="962"/>
      <c r="C150" s="959" t="s">
        <v>1757</v>
      </c>
      <c r="D150" s="942" t="s">
        <v>27</v>
      </c>
      <c r="E150" s="943">
        <v>2.0</v>
      </c>
      <c r="F150" s="943">
        <v>5.0</v>
      </c>
      <c r="G150" s="943">
        <v>3.0</v>
      </c>
      <c r="H150" s="960" t="str">
        <f>HYPERLINK("https://d15f34w2p8l1cc.cloudfront.net/hearthstone/bc484da8861056aebc9721c5c32d4c6359720c7809dff4d2f9f4d572ea129106.png","Image")</f>
        <v>Image</v>
      </c>
      <c r="I150" s="714">
        <v>4.0</v>
      </c>
      <c r="J150" s="1024"/>
      <c r="K150" s="1024"/>
      <c r="L150" s="1024"/>
      <c r="M150" s="1024"/>
      <c r="N150" s="714">
        <v>3.0</v>
      </c>
      <c r="O150" s="1024"/>
      <c r="P150" s="1025"/>
      <c r="Q150" s="993" t="str">
        <f>HYPERLINK("https://www.strawpoll.me/19055381","Vote")</f>
        <v>Vote</v>
      </c>
    </row>
    <row r="151">
      <c r="A151" s="872"/>
      <c r="B151" s="355"/>
      <c r="C151" s="963" t="s">
        <v>1758</v>
      </c>
      <c r="D151" s="964" t="s">
        <v>43</v>
      </c>
      <c r="E151" s="859">
        <v>2.0</v>
      </c>
      <c r="F151" s="965">
        <v>8.0</v>
      </c>
      <c r="G151" s="859">
        <v>5.0</v>
      </c>
      <c r="H151" s="966" t="str">
        <f>HYPERLINK("https://d15f34w2p8l1cc.cloudfront.net/hearthstone/8f903fd22f140d3f345b2375d7496ddcd86d7d043a37b78d5dfbaa3e6e10c245.png","Image")</f>
        <v>Image</v>
      </c>
      <c r="I151" s="774">
        <v>4.0</v>
      </c>
      <c r="J151" s="1026"/>
      <c r="K151" s="1026"/>
      <c r="L151" s="1026"/>
      <c r="M151" s="1026"/>
      <c r="N151" s="774">
        <v>4.0</v>
      </c>
      <c r="O151" s="1026"/>
      <c r="P151" s="1027"/>
      <c r="Q151" s="993" t="str">
        <f>HYPERLINK("https://www.strawpoll.me/19055382","Vote")</f>
        <v>Vote</v>
      </c>
    </row>
    <row r="152">
      <c r="A152" s="883"/>
      <c r="B152" s="824"/>
      <c r="C152" s="195" t="s">
        <v>182</v>
      </c>
      <c r="D152" s="82"/>
      <c r="E152" s="82"/>
      <c r="F152" s="82"/>
      <c r="G152" s="82"/>
      <c r="H152" s="96"/>
      <c r="I152" s="1029"/>
      <c r="J152" s="1029"/>
      <c r="K152" s="1029"/>
      <c r="L152" s="1029"/>
      <c r="M152" s="1029"/>
      <c r="N152" s="1029"/>
      <c r="O152" s="1029"/>
      <c r="P152" s="1029"/>
      <c r="Q152" s="307"/>
    </row>
    <row r="153" ht="15.75" customHeight="1">
      <c r="A153" s="872"/>
      <c r="B153" s="636"/>
      <c r="C153" s="830"/>
      <c r="D153" s="831"/>
      <c r="E153" s="832"/>
      <c r="F153" s="832"/>
      <c r="G153" s="832"/>
      <c r="H153" s="933"/>
      <c r="I153" s="1030" t="s">
        <v>2</v>
      </c>
      <c r="J153" s="1030" t="s">
        <v>426</v>
      </c>
      <c r="K153" s="1030" t="s">
        <v>1</v>
      </c>
      <c r="L153" s="1030" t="s">
        <v>427</v>
      </c>
      <c r="M153" s="1030" t="s">
        <v>208</v>
      </c>
      <c r="N153" s="1030" t="s">
        <v>3</v>
      </c>
      <c r="O153" s="1030" t="s">
        <v>4</v>
      </c>
      <c r="P153" s="1030" t="s">
        <v>1772</v>
      </c>
      <c r="Q153" s="781"/>
    </row>
    <row r="154">
      <c r="A154" s="872"/>
      <c r="B154" s="950"/>
      <c r="C154" s="953" t="s">
        <v>1759</v>
      </c>
      <c r="D154" s="934" t="s">
        <v>71</v>
      </c>
      <c r="E154" s="185"/>
      <c r="F154" s="185"/>
      <c r="G154" s="185">
        <v>1.0</v>
      </c>
      <c r="H154" s="954" t="str">
        <f>HYPERLINK("https://d15f34w2p8l1cc.cloudfront.net/hearthstone/e8c4a497bd3224498f021bdbefa4c1a33c25f2ff01190d6fd5baa706e7f1fc47.png","Image")</f>
        <v>Image</v>
      </c>
      <c r="I154" s="709">
        <v>2.0</v>
      </c>
      <c r="J154" s="1022"/>
      <c r="K154" s="1022"/>
      <c r="L154" s="1022"/>
      <c r="M154" s="1022"/>
      <c r="N154" s="709">
        <v>2.0</v>
      </c>
      <c r="O154" s="1022"/>
      <c r="P154" s="1023"/>
      <c r="Q154" s="993" t="str">
        <f>HYPERLINK("https://www.strawpoll.me/19055384","Vote")</f>
        <v>Vote</v>
      </c>
    </row>
    <row r="155">
      <c r="A155" s="872"/>
      <c r="B155" s="353"/>
      <c r="C155" s="955" t="s">
        <v>1760</v>
      </c>
      <c r="D155" s="936" t="s">
        <v>43</v>
      </c>
      <c r="E155" s="855">
        <v>2.0</v>
      </c>
      <c r="F155" s="855">
        <v>3.0</v>
      </c>
      <c r="G155" s="855">
        <v>3.0</v>
      </c>
      <c r="H155" s="956" t="str">
        <f>HYPERLINK("https://d15f34w2p8l1cc.cloudfront.net/hearthstone/747a52f5ae7dc4b352d431342042e497202eebd1e6d1ef872109092b0a6b2266.png","Image")</f>
        <v>Image</v>
      </c>
      <c r="I155" s="714">
        <v>1.0</v>
      </c>
      <c r="J155" s="1024"/>
      <c r="K155" s="1024"/>
      <c r="L155" s="1024"/>
      <c r="M155" s="1024"/>
      <c r="N155" s="714">
        <v>3.0</v>
      </c>
      <c r="O155" s="1024"/>
      <c r="P155" s="1025"/>
      <c r="Q155" s="993" t="str">
        <f>HYPERLINK("https://www.strawpoll.me/19055387","Vote")</f>
        <v>Vote</v>
      </c>
    </row>
    <row r="156">
      <c r="A156" s="872"/>
      <c r="B156" s="353"/>
      <c r="C156" s="957" t="s">
        <v>1761</v>
      </c>
      <c r="D156" s="938" t="s">
        <v>43</v>
      </c>
      <c r="E156" s="939">
        <v>4.0</v>
      </c>
      <c r="F156" s="939">
        <v>6.0</v>
      </c>
      <c r="G156" s="939">
        <v>5.0</v>
      </c>
      <c r="H156" s="958" t="str">
        <f>HYPERLINK("https://d15f34w2p8l1cc.cloudfront.net/hearthstone/c1124c9277f422acaeb02127fe77155e24b87480e88addc38ba04d2cdd7d5c03.png","Image")</f>
        <v>Image</v>
      </c>
      <c r="I156" s="714">
        <v>3.0</v>
      </c>
      <c r="J156" s="1024"/>
      <c r="K156" s="1024"/>
      <c r="L156" s="1024"/>
      <c r="M156" s="1024"/>
      <c r="N156" s="714">
        <v>4.0</v>
      </c>
      <c r="O156" s="1024"/>
      <c r="P156" s="1025"/>
      <c r="Q156" s="993" t="str">
        <f>HYPERLINK("https://www.strawpoll.me/19055388","Vote")</f>
        <v>Vote</v>
      </c>
    </row>
    <row r="157">
      <c r="A157" s="872"/>
      <c r="B157" s="637"/>
      <c r="C157" s="959" t="s">
        <v>1762</v>
      </c>
      <c r="D157" s="942" t="s">
        <v>1718</v>
      </c>
      <c r="E157" s="943"/>
      <c r="F157" s="943"/>
      <c r="G157" s="943">
        <v>1.0</v>
      </c>
      <c r="H157" s="960" t="str">
        <f>HYPERLINK("https://d15f34w2p8l1cc.cloudfront.net/hearthstone/28bdb67d48a7f9c3f03fac7a6c5c3fe592583d09b4a94561c4c5b26c0be5321e.png","Image")</f>
        <v>Image</v>
      </c>
      <c r="I157" s="714">
        <v>1.0</v>
      </c>
      <c r="J157" s="1024"/>
      <c r="K157" s="1024"/>
      <c r="L157" s="1024"/>
      <c r="M157" s="1024"/>
      <c r="N157" s="714">
        <v>3.0</v>
      </c>
      <c r="O157" s="1024"/>
      <c r="P157" s="1025"/>
      <c r="Q157" s="993" t="str">
        <f>HYPERLINK("https://www.strawpoll.me/19055389","Vote")</f>
        <v>Vote</v>
      </c>
    </row>
    <row r="158">
      <c r="A158" s="872"/>
      <c r="B158" s="353"/>
      <c r="C158" s="955" t="s">
        <v>1763</v>
      </c>
      <c r="D158" s="936" t="s">
        <v>20</v>
      </c>
      <c r="E158" s="855">
        <v>1.0</v>
      </c>
      <c r="F158" s="855">
        <v>2.0</v>
      </c>
      <c r="G158" s="855">
        <v>3.0</v>
      </c>
      <c r="H158" s="956" t="str">
        <f>HYPERLINK("https://d15f34w2p8l1cc.cloudfront.net/hearthstone/fcf33b37bc7cb62aaba90a89b026a8f917df411087761239ddae8fd8877fd302.png","Image")</f>
        <v>Image</v>
      </c>
      <c r="I158" s="714">
        <v>3.0</v>
      </c>
      <c r="J158" s="1024"/>
      <c r="K158" s="1024"/>
      <c r="L158" s="1024"/>
      <c r="M158" s="1024"/>
      <c r="N158" s="714">
        <v>3.0</v>
      </c>
      <c r="O158" s="1024"/>
      <c r="P158" s="1025"/>
      <c r="Q158" s="993" t="str">
        <f>HYPERLINK("https://www.strawpoll.me/19055390","Vote")</f>
        <v>Vote</v>
      </c>
    </row>
    <row r="159">
      <c r="A159" s="872"/>
      <c r="B159" s="353"/>
      <c r="C159" s="957" t="s">
        <v>1764</v>
      </c>
      <c r="D159" s="938"/>
      <c r="E159" s="939">
        <v>4.0</v>
      </c>
      <c r="F159" s="939">
        <v>2.0</v>
      </c>
      <c r="G159" s="939">
        <v>4.0</v>
      </c>
      <c r="H159" s="958" t="str">
        <f>HYPERLINK("https://d15f34w2p8l1cc.cloudfront.net/hearthstone/6c41687ca13975bca72e986b593bc9a28a07cb6065a98940dee704a73fb9d39f.png","Image")</f>
        <v>Image</v>
      </c>
      <c r="I159" s="714">
        <v>3.0</v>
      </c>
      <c r="J159" s="1024"/>
      <c r="K159" s="1024"/>
      <c r="L159" s="1024"/>
      <c r="M159" s="1024"/>
      <c r="N159" s="714">
        <v>3.0</v>
      </c>
      <c r="O159" s="1024"/>
      <c r="P159" s="1025"/>
      <c r="Q159" s="993" t="str">
        <f>HYPERLINK("https://www.strawpoll.me/19055392","Vote")</f>
        <v>Vote</v>
      </c>
    </row>
    <row r="160">
      <c r="A160" s="872"/>
      <c r="B160" s="961"/>
      <c r="C160" s="959" t="s">
        <v>1765</v>
      </c>
      <c r="D160" s="942" t="s">
        <v>1718</v>
      </c>
      <c r="E160" s="943"/>
      <c r="F160" s="943"/>
      <c r="G160" s="943">
        <v>2.0</v>
      </c>
      <c r="H160" s="960" t="str">
        <f>HYPERLINK("https://d15f34w2p8l1cc.cloudfront.net/hearthstone/c6e97f18a24da60a23b22a6879e2a44bfef43353f1b638f117671b2818ffe889.png","Image")</f>
        <v>Image</v>
      </c>
      <c r="I160" s="714">
        <v>1.0</v>
      </c>
      <c r="J160" s="1024"/>
      <c r="K160" s="1024"/>
      <c r="L160" s="1024"/>
      <c r="M160" s="1024"/>
      <c r="N160" s="714">
        <v>2.0</v>
      </c>
      <c r="O160" s="1024"/>
      <c r="P160" s="1025"/>
      <c r="Q160" s="993" t="str">
        <f>HYPERLINK("https://www.strawpoll.me/19055393","Vote")</f>
        <v>Vote</v>
      </c>
    </row>
    <row r="161">
      <c r="A161" s="872"/>
      <c r="B161" s="353"/>
      <c r="C161" s="957" t="s">
        <v>1766</v>
      </c>
      <c r="D161" s="938"/>
      <c r="E161" s="939">
        <v>7.0</v>
      </c>
      <c r="F161" s="939">
        <v>7.0</v>
      </c>
      <c r="G161" s="939">
        <v>7.0</v>
      </c>
      <c r="H161" s="958" t="str">
        <f>HYPERLINK("https://d15f34w2p8l1cc.cloudfront.net/hearthstone/aa3b73b1771fd80f474dd49ec497c8cfb452b75a12012e88a03f717da7bcfd8e.png","Image")</f>
        <v>Image</v>
      </c>
      <c r="I161" s="714">
        <v>3.0</v>
      </c>
      <c r="J161" s="1024"/>
      <c r="K161" s="1024"/>
      <c r="L161" s="1024"/>
      <c r="M161" s="1024"/>
      <c r="N161" s="714">
        <v>4.0</v>
      </c>
      <c r="O161" s="1024"/>
      <c r="P161" s="1025"/>
      <c r="Q161" s="993" t="str">
        <f>HYPERLINK("https://www.strawpoll.me/19055395","Vote")</f>
        <v>Vote</v>
      </c>
    </row>
    <row r="162">
      <c r="A162" s="872"/>
      <c r="B162" s="962"/>
      <c r="C162" s="959" t="s">
        <v>1767</v>
      </c>
      <c r="D162" s="942"/>
      <c r="E162" s="943">
        <v>3.0</v>
      </c>
      <c r="F162" s="943">
        <v>3.0</v>
      </c>
      <c r="G162" s="943">
        <v>3.0</v>
      </c>
      <c r="H162" s="960" t="str">
        <f>HYPERLINK("https://d15f34w2p8l1cc.cloudfront.net/hearthstone/7d02e006e371523fa18675e61359ac93692149b894a14e11ae96f8575671be38.png","Image")</f>
        <v>Image</v>
      </c>
      <c r="I162" s="714">
        <v>2.0</v>
      </c>
      <c r="J162" s="1024"/>
      <c r="K162" s="1024"/>
      <c r="L162" s="1024"/>
      <c r="M162" s="1024"/>
      <c r="N162" s="714">
        <v>2.0</v>
      </c>
      <c r="O162" s="1024"/>
      <c r="P162" s="1025"/>
      <c r="Q162" s="993" t="str">
        <f>HYPERLINK("https://www.strawpoll.me/19055397","Vote")</f>
        <v>Vote</v>
      </c>
    </row>
    <row r="163">
      <c r="A163" s="872"/>
      <c r="B163" s="355"/>
      <c r="C163" s="963" t="s">
        <v>1768</v>
      </c>
      <c r="D163" s="964" t="s">
        <v>43</v>
      </c>
      <c r="E163" s="859">
        <v>8.0</v>
      </c>
      <c r="F163" s="965">
        <v>8.0</v>
      </c>
      <c r="G163" s="859">
        <v>4.0</v>
      </c>
      <c r="H163" s="966" t="str">
        <f>HYPERLINK("https://d15f34w2p8l1cc.cloudfront.net/hearthstone/3525ec0b6f265f297ee473ae8728bf5c709520422e4c2f9cb02e13acefc9605b.png","Image")</f>
        <v>Image</v>
      </c>
      <c r="I163" s="774">
        <v>1.0</v>
      </c>
      <c r="J163" s="1026"/>
      <c r="K163" s="1026"/>
      <c r="L163" s="1026"/>
      <c r="M163" s="1026"/>
      <c r="N163" s="774">
        <v>1.0</v>
      </c>
      <c r="O163" s="1026"/>
      <c r="P163" s="1027"/>
      <c r="Q163" s="993" t="str">
        <f>HYPERLINK("https://www.strawpoll.me/19055400","Vote")</f>
        <v>Vote</v>
      </c>
    </row>
    <row r="164" ht="15.75" customHeight="1">
      <c r="A164" s="300"/>
      <c r="B164" s="967"/>
      <c r="C164" s="967"/>
      <c r="D164" s="967"/>
      <c r="E164" s="968"/>
      <c r="F164" s="968"/>
      <c r="G164" s="968"/>
      <c r="H164" s="967"/>
      <c r="I164" s="967"/>
      <c r="J164" s="967"/>
      <c r="K164" s="967"/>
      <c r="L164" s="967"/>
      <c r="M164" s="967"/>
      <c r="N164" s="967"/>
      <c r="O164" s="967"/>
      <c r="P164" s="967"/>
      <c r="Q164" s="300"/>
    </row>
  </sheetData>
  <mergeCells count="61">
    <mergeCell ref="B87:B89"/>
    <mergeCell ref="B92:B94"/>
    <mergeCell ref="B95:B97"/>
    <mergeCell ref="B98:B99"/>
    <mergeCell ref="B100:B102"/>
    <mergeCell ref="B105:B107"/>
    <mergeCell ref="B108:B110"/>
    <mergeCell ref="B150:B151"/>
    <mergeCell ref="B154:B156"/>
    <mergeCell ref="B157:B159"/>
    <mergeCell ref="B160:B161"/>
    <mergeCell ref="B162:B163"/>
    <mergeCell ref="B129:B131"/>
    <mergeCell ref="B132:B134"/>
    <mergeCell ref="B135:B136"/>
    <mergeCell ref="B137:B139"/>
    <mergeCell ref="B142:B144"/>
    <mergeCell ref="B145:B147"/>
    <mergeCell ref="B148:B149"/>
    <mergeCell ref="O1:O2"/>
    <mergeCell ref="P1:P2"/>
    <mergeCell ref="I4:P4"/>
    <mergeCell ref="C1:D1"/>
    <mergeCell ref="I1:I2"/>
    <mergeCell ref="J1:J2"/>
    <mergeCell ref="K1:K2"/>
    <mergeCell ref="L1:L2"/>
    <mergeCell ref="M1:M2"/>
    <mergeCell ref="N1:N2"/>
    <mergeCell ref="C2:G2"/>
    <mergeCell ref="C3:H3"/>
    <mergeCell ref="B5:B26"/>
    <mergeCell ref="B28:B36"/>
    <mergeCell ref="B37:B45"/>
    <mergeCell ref="B46:B50"/>
    <mergeCell ref="C51:H51"/>
    <mergeCell ref="B53:B55"/>
    <mergeCell ref="B56:B58"/>
    <mergeCell ref="B59:B60"/>
    <mergeCell ref="B61:B63"/>
    <mergeCell ref="C64:H64"/>
    <mergeCell ref="B66:B68"/>
    <mergeCell ref="B69:B71"/>
    <mergeCell ref="B72:B73"/>
    <mergeCell ref="B74:B76"/>
    <mergeCell ref="C77:H77"/>
    <mergeCell ref="B79:B81"/>
    <mergeCell ref="B82:B84"/>
    <mergeCell ref="B85:B86"/>
    <mergeCell ref="C90:H90"/>
    <mergeCell ref="C103:H103"/>
    <mergeCell ref="B111:B112"/>
    <mergeCell ref="B113:B114"/>
    <mergeCell ref="C115:H115"/>
    <mergeCell ref="B117:B119"/>
    <mergeCell ref="B120:B122"/>
    <mergeCell ref="B123:B124"/>
    <mergeCell ref="B125:B126"/>
    <mergeCell ref="C127:H127"/>
    <mergeCell ref="C140:H140"/>
    <mergeCell ref="C152:H152"/>
  </mergeCells>
  <conditionalFormatting sqref="N5:N26">
    <cfRule type="cellIs" dxfId="7" priority="1" operator="equal">
      <formula>1</formula>
    </cfRule>
  </conditionalFormatting>
  <conditionalFormatting sqref="N5:N26">
    <cfRule type="cellIs" dxfId="8" priority="2" operator="equal">
      <formula>3</formula>
    </cfRule>
  </conditionalFormatting>
  <conditionalFormatting sqref="N5:N26">
    <cfRule type="cellIs" dxfId="9" priority="3" operator="equal">
      <formula>4</formula>
    </cfRule>
  </conditionalFormatting>
  <conditionalFormatting sqref="O14 I5:P26 I28:P50 I53:P63 I66:P76 I79:P89 I92:P102 I105:P114 I117:P126 I129:P139 I142:P151 I154:P163">
    <cfRule type="cellIs" dxfId="0" priority="4" operator="equal">
      <formula>1</formula>
    </cfRule>
  </conditionalFormatting>
  <conditionalFormatting sqref="O14 I5:P26 I28:P50 I53:P63 I66:P76 I79:P89 I92:P102 I105:P114 I117:P126 I129:P139 I142:P151 I154:P163">
    <cfRule type="cellIs" dxfId="6" priority="5" operator="equal">
      <formula>3</formula>
    </cfRule>
  </conditionalFormatting>
  <conditionalFormatting sqref="O14 I5:P26 I28:P50 I53:P63 I66:P76 I79:P89 I92:P102 I105:P114 I117:P126 I129:P139 I142:P151 I154:P163">
    <cfRule type="cellIs" dxfId="0" priority="6" operator="equal">
      <formula>4</formula>
    </cfRule>
  </conditionalFormatting>
  <conditionalFormatting sqref="I5:P26 I28:P50 I53:P63 I66:P76 I79:P89 I92:P102 I105:P114 I117:P126 I129:P139 I142:P151 I154:P163">
    <cfRule type="cellIs" dxfId="3" priority="7" operator="equal">
      <formula>2</formula>
    </cfRule>
  </conditionalFormatting>
  <hyperlinks>
    <hyperlink r:id="rId1" ref="C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33.38"/>
    <col customWidth="1" min="4" max="4" width="13.5"/>
    <col customWidth="1" min="5" max="7" width="5.13"/>
    <col customWidth="1" min="8" max="8" width="7.63"/>
    <col customWidth="1" min="9" max="16" width="11.38"/>
    <col customWidth="1" min="17" max="17" width="2.75"/>
  </cols>
  <sheetData>
    <row r="1" ht="15.75" customHeight="1">
      <c r="A1" s="300"/>
      <c r="B1" s="300"/>
      <c r="C1" s="1031" t="s">
        <v>1773</v>
      </c>
      <c r="D1" s="766"/>
      <c r="E1" s="598"/>
      <c r="F1" s="693"/>
      <c r="G1" s="598"/>
      <c r="H1" s="599"/>
      <c r="I1" s="601" t="s">
        <v>2</v>
      </c>
      <c r="J1" s="601" t="s">
        <v>426</v>
      </c>
      <c r="K1" s="601" t="s">
        <v>1</v>
      </c>
      <c r="L1" s="601" t="s">
        <v>427</v>
      </c>
      <c r="M1" s="601" t="s">
        <v>208</v>
      </c>
      <c r="N1" s="601" t="s">
        <v>3</v>
      </c>
      <c r="O1" s="601" t="s">
        <v>4</v>
      </c>
      <c r="P1" s="817" t="s">
        <v>1772</v>
      </c>
      <c r="Q1" s="599"/>
    </row>
    <row r="2">
      <c r="A2" s="300"/>
      <c r="B2" s="480"/>
      <c r="C2" s="821" t="s">
        <v>1770</v>
      </c>
      <c r="D2" s="349"/>
      <c r="E2" s="485"/>
      <c r="F2" s="485"/>
      <c r="G2" s="485"/>
      <c r="H2" s="822"/>
      <c r="I2" s="286"/>
      <c r="J2" s="286"/>
      <c r="K2" s="286"/>
      <c r="L2" s="286"/>
      <c r="M2" s="286"/>
      <c r="N2" s="286"/>
      <c r="O2" s="286"/>
      <c r="P2" s="604"/>
      <c r="Q2" s="599"/>
    </row>
    <row r="3">
      <c r="A3" s="823"/>
      <c r="B3" s="824"/>
      <c r="C3" s="981" t="s">
        <v>11</v>
      </c>
      <c r="D3" s="759"/>
      <c r="E3" s="759"/>
      <c r="F3" s="759"/>
      <c r="G3" s="759"/>
      <c r="H3" s="9"/>
      <c r="I3" s="1017"/>
      <c r="J3" s="1017"/>
      <c r="K3" s="1017"/>
      <c r="L3" s="1017"/>
      <c r="M3" s="1017"/>
      <c r="N3" s="1017"/>
      <c r="O3" s="1017"/>
      <c r="P3" s="1017"/>
      <c r="Q3" s="307"/>
    </row>
    <row r="4" ht="15.75" customHeight="1">
      <c r="A4" s="829"/>
      <c r="B4" s="636"/>
      <c r="C4" s="984"/>
      <c r="D4" s="985"/>
      <c r="E4" s="986"/>
      <c r="F4" s="986"/>
      <c r="G4" s="986"/>
      <c r="H4" s="1018"/>
      <c r="I4" s="1018"/>
      <c r="J4" s="1018"/>
      <c r="K4" s="1018"/>
      <c r="L4" s="1018"/>
      <c r="M4" s="1018"/>
      <c r="N4" s="1018"/>
      <c r="O4" s="1018"/>
      <c r="P4" s="1018"/>
      <c r="Q4" s="781"/>
    </row>
    <row r="5">
      <c r="A5" s="829"/>
      <c r="B5" s="950"/>
      <c r="C5" s="838" t="s">
        <v>1624</v>
      </c>
      <c r="D5" s="839"/>
      <c r="E5" s="185">
        <v>2.0</v>
      </c>
      <c r="F5" s="185">
        <v>2.0</v>
      </c>
      <c r="G5" s="185">
        <v>1.0</v>
      </c>
      <c r="H5" s="840" t="str">
        <f>HYPERLINK("https://d15f34w2p8l1cc.cloudfront.net/hearthstone/b477682621ff12b16070a427a4ec1162326b985c27ccfaf844df1a9aac7f8817.png","Image")</f>
        <v>Image</v>
      </c>
      <c r="I5" s="1022"/>
      <c r="J5" s="1022"/>
      <c r="K5" s="1022"/>
      <c r="L5" s="1022"/>
      <c r="M5" s="1022"/>
      <c r="N5" s="1022"/>
      <c r="O5" s="1022"/>
      <c r="P5" s="1023"/>
      <c r="Q5" s="781"/>
    </row>
    <row r="6">
      <c r="A6" s="829"/>
      <c r="B6" s="353"/>
      <c r="C6" s="845" t="s">
        <v>1625</v>
      </c>
      <c r="D6" s="846" t="s">
        <v>20</v>
      </c>
      <c r="E6" s="119">
        <v>1.0</v>
      </c>
      <c r="F6" s="119">
        <v>2.0</v>
      </c>
      <c r="G6" s="119">
        <v>1.0</v>
      </c>
      <c r="H6" s="847" t="str">
        <f>HYPERLINK("https://d15f34w2p8l1cc.cloudfront.net/hearthstone/fe8b794cff2f6e89e48c3e7172df4373db983650d869521991d8aef077e70c95.png","Image")</f>
        <v>Image</v>
      </c>
      <c r="I6" s="1032"/>
      <c r="J6" s="1032"/>
      <c r="K6" s="1032"/>
      <c r="L6" s="1032"/>
      <c r="M6" s="1032"/>
      <c r="N6" s="1032"/>
      <c r="O6" s="1024"/>
      <c r="P6" s="1025"/>
      <c r="Q6" s="781"/>
    </row>
    <row r="7">
      <c r="A7" s="829"/>
      <c r="B7" s="353"/>
      <c r="C7" s="838" t="s">
        <v>1626</v>
      </c>
      <c r="D7" s="852" t="s">
        <v>60</v>
      </c>
      <c r="E7" s="185">
        <v>2.0</v>
      </c>
      <c r="F7" s="185">
        <v>2.0</v>
      </c>
      <c r="G7" s="185">
        <v>2.0</v>
      </c>
      <c r="H7" s="840" t="str">
        <f>HYPERLINK("https://d15f34w2p8l1cc.cloudfront.net/hearthstone/ed5bde179b9003b49f93da347dec0527f94d7dda710b784255f48b52a207ee15.png","Image")</f>
        <v>Image</v>
      </c>
      <c r="I7" s="1032"/>
      <c r="J7" s="1032"/>
      <c r="K7" s="1032"/>
      <c r="L7" s="1032"/>
      <c r="M7" s="1032"/>
      <c r="N7" s="1032"/>
      <c r="O7" s="1024"/>
      <c r="P7" s="1025"/>
      <c r="Q7" s="781"/>
    </row>
    <row r="8">
      <c r="A8" s="829"/>
      <c r="B8" s="353"/>
      <c r="C8" s="853" t="s">
        <v>1627</v>
      </c>
      <c r="D8" s="854" t="s">
        <v>22</v>
      </c>
      <c r="E8" s="855">
        <v>2.0</v>
      </c>
      <c r="F8" s="855">
        <v>1.0</v>
      </c>
      <c r="G8" s="855">
        <v>2.0</v>
      </c>
      <c r="H8" s="856" t="str">
        <f>HYPERLINK("https://d15f34w2p8l1cc.cloudfront.net/hearthstone/a2aef4dd7d8abfa42694db3d374326186c526013a928f4faaa1bc54ab6734133.png","Image")</f>
        <v>Image</v>
      </c>
      <c r="I8" s="1032"/>
      <c r="J8" s="1032"/>
      <c r="K8" s="1032"/>
      <c r="L8" s="1032"/>
      <c r="M8" s="1032"/>
      <c r="N8" s="1032"/>
      <c r="O8" s="1024"/>
      <c r="P8" s="1025"/>
      <c r="Q8" s="781"/>
    </row>
    <row r="9">
      <c r="A9" s="829"/>
      <c r="B9" s="353"/>
      <c r="C9" s="857" t="s">
        <v>1628</v>
      </c>
      <c r="D9" s="858" t="s">
        <v>51</v>
      </c>
      <c r="E9" s="859">
        <v>2.0</v>
      </c>
      <c r="F9" s="859">
        <v>2.0</v>
      </c>
      <c r="G9" s="859">
        <v>2.0</v>
      </c>
      <c r="H9" s="860" t="str">
        <f>HYPERLINK("https://d15f34w2p8l1cc.cloudfront.net/hearthstone/2bc325052adc4f12270e6f4c8bba11bc8b7cd394235eb2136c68c00b860908bb.png","Image")</f>
        <v>Image</v>
      </c>
      <c r="I9" s="1024"/>
      <c r="J9" s="1024"/>
      <c r="K9" s="1024"/>
      <c r="L9" s="1024"/>
      <c r="M9" s="1024"/>
      <c r="N9" s="1024"/>
      <c r="O9" s="1024"/>
      <c r="P9" s="1025"/>
      <c r="Q9" s="781"/>
    </row>
    <row r="10">
      <c r="A10" s="829"/>
      <c r="B10" s="353"/>
      <c r="C10" s="838" t="s">
        <v>1629</v>
      </c>
      <c r="D10" s="839"/>
      <c r="E10" s="185">
        <v>3.0</v>
      </c>
      <c r="F10" s="185">
        <v>3.0</v>
      </c>
      <c r="G10" s="185">
        <v>3.0</v>
      </c>
      <c r="H10" s="840" t="str">
        <f>HYPERLINK("https://d15f34w2p8l1cc.cloudfront.net/hearthstone/a3733ea13b0e98346c020211f6ea267fc06ffb88b3495818f7427ee1419e7c65.png","Image")</f>
        <v>Image</v>
      </c>
      <c r="I10" s="1024"/>
      <c r="J10" s="1024"/>
      <c r="K10" s="1024"/>
      <c r="L10" s="1024"/>
      <c r="M10" s="1024"/>
      <c r="N10" s="1024"/>
      <c r="O10" s="1024"/>
      <c r="P10" s="1025"/>
      <c r="Q10" s="781"/>
    </row>
    <row r="11">
      <c r="A11" s="829"/>
      <c r="B11" s="353"/>
      <c r="C11" s="710" t="s">
        <v>1630</v>
      </c>
      <c r="D11" s="861" t="s">
        <v>27</v>
      </c>
      <c r="E11" s="176">
        <v>1.0</v>
      </c>
      <c r="F11" s="176">
        <v>3.0</v>
      </c>
      <c r="G11" s="176">
        <v>3.0</v>
      </c>
      <c r="H11" s="791" t="str">
        <f>HYPERLINK("https://d15f34w2p8l1cc.cloudfront.net/hearthstone/0f7f762ba943cc297c497661b232a1803215051b212486fb4c6bec66383f11e1.png","Image")</f>
        <v>Image</v>
      </c>
      <c r="I11" s="1024"/>
      <c r="J11" s="1024"/>
      <c r="K11" s="1024"/>
      <c r="L11" s="1024"/>
      <c r="M11" s="1024"/>
      <c r="N11" s="1024"/>
      <c r="O11" s="1024"/>
      <c r="P11" s="1025"/>
      <c r="Q11" s="781"/>
    </row>
    <row r="12">
      <c r="A12" s="829"/>
      <c r="B12" s="353"/>
      <c r="C12" s="853" t="s">
        <v>1631</v>
      </c>
      <c r="D12" s="854" t="s">
        <v>27</v>
      </c>
      <c r="E12" s="855">
        <v>3.0</v>
      </c>
      <c r="F12" s="855">
        <v>4.0</v>
      </c>
      <c r="G12" s="855">
        <v>3.0</v>
      </c>
      <c r="H12" s="856" t="str">
        <f>HYPERLINK("https://d15f34w2p8l1cc.cloudfront.net/hearthstone/75241ae18478c0343cf8f28c888adca190a26cd132f36a2fa070afcfa0a96ddb.png","Image")</f>
        <v>Image</v>
      </c>
      <c r="I12" s="1024"/>
      <c r="J12" s="1024"/>
      <c r="K12" s="1024"/>
      <c r="L12" s="1024"/>
      <c r="M12" s="1024"/>
      <c r="N12" s="1024"/>
      <c r="O12" s="1024"/>
      <c r="P12" s="1025"/>
      <c r="Q12" s="781"/>
    </row>
    <row r="13">
      <c r="A13" s="829"/>
      <c r="B13" s="353"/>
      <c r="C13" s="857" t="s">
        <v>1632</v>
      </c>
      <c r="D13" s="862"/>
      <c r="E13" s="859">
        <v>3.0</v>
      </c>
      <c r="F13" s="859">
        <v>3.0</v>
      </c>
      <c r="G13" s="859">
        <v>3.0</v>
      </c>
      <c r="H13" s="860" t="str">
        <f>HYPERLINK("https://d15f34w2p8l1cc.cloudfront.net/hearthstone/d663f3a156b8e3fffe29448c83c1fcde94934b6039d0935d9576730b1b73406a.png","Image")</f>
        <v>Image</v>
      </c>
      <c r="I13" s="1032"/>
      <c r="J13" s="1032"/>
      <c r="K13" s="1032"/>
      <c r="L13" s="1032"/>
      <c r="M13" s="1032"/>
      <c r="N13" s="1032"/>
      <c r="O13" s="1024"/>
      <c r="P13" s="1025"/>
      <c r="Q13" s="781"/>
    </row>
    <row r="14">
      <c r="A14" s="829"/>
      <c r="B14" s="353"/>
      <c r="C14" s="838" t="s">
        <v>1633</v>
      </c>
      <c r="D14" s="852" t="s">
        <v>43</v>
      </c>
      <c r="E14" s="185">
        <v>5.0</v>
      </c>
      <c r="F14" s="185">
        <v>4.0</v>
      </c>
      <c r="G14" s="185">
        <v>4.0</v>
      </c>
      <c r="H14" s="840" t="str">
        <f>HYPERLINK("https://d15f34w2p8l1cc.cloudfront.net/hearthstone/c33e8ccea783a88d1d2f39b1d5f1924e68c3375d178a8af1c5573710b1cb053a.png","Image")</f>
        <v>Image</v>
      </c>
      <c r="I14" s="1032"/>
      <c r="J14" s="1032"/>
      <c r="K14" s="1032"/>
      <c r="L14" s="1032"/>
      <c r="M14" s="1032"/>
      <c r="N14" s="1032"/>
      <c r="O14" s="1024"/>
      <c r="P14" s="1025"/>
      <c r="Q14" s="781"/>
    </row>
    <row r="15">
      <c r="A15" s="829"/>
      <c r="B15" s="353"/>
      <c r="C15" s="853" t="s">
        <v>1634</v>
      </c>
      <c r="D15" s="863"/>
      <c r="E15" s="855">
        <v>2.0</v>
      </c>
      <c r="F15" s="855">
        <v>5.0</v>
      </c>
      <c r="G15" s="855">
        <v>4.0</v>
      </c>
      <c r="H15" s="856" t="str">
        <f>HYPERLINK("https://d15f34w2p8l1cc.cloudfront.net/hearthstone/4aea7e1a9fbe32141c8bdd2aa07d38e3bc617cd5501d099914567841f48308d3.png","Image")</f>
        <v>Image</v>
      </c>
      <c r="I15" s="1032"/>
      <c r="J15" s="1032"/>
      <c r="K15" s="1032"/>
      <c r="L15" s="1032"/>
      <c r="M15" s="1032"/>
      <c r="N15" s="1032"/>
      <c r="O15" s="1024"/>
      <c r="P15" s="1025"/>
      <c r="Q15" s="781"/>
    </row>
    <row r="16">
      <c r="A16" s="829"/>
      <c r="B16" s="353"/>
      <c r="C16" s="853" t="s">
        <v>1635</v>
      </c>
      <c r="D16" s="863"/>
      <c r="E16" s="855">
        <v>3.0</v>
      </c>
      <c r="F16" s="855">
        <v>3.0</v>
      </c>
      <c r="G16" s="855">
        <v>4.0</v>
      </c>
      <c r="H16" s="856" t="str">
        <f>HYPERLINK("https://d15f34w2p8l1cc.cloudfront.net/hearthstone/e104a8a9c8c568b5a7a0a41efc69f0371d4e7689127aaf28671449975c6c8847.png","Image")</f>
        <v>Image</v>
      </c>
      <c r="I16" s="1024"/>
      <c r="J16" s="1024"/>
      <c r="K16" s="1024"/>
      <c r="L16" s="1024"/>
      <c r="M16" s="1024"/>
      <c r="N16" s="1024"/>
      <c r="O16" s="1024"/>
      <c r="P16" s="1025"/>
      <c r="Q16" s="781"/>
    </row>
    <row r="17">
      <c r="A17" s="829"/>
      <c r="B17" s="353"/>
      <c r="C17" s="853" t="s">
        <v>1636</v>
      </c>
      <c r="D17" s="863" t="s">
        <v>22</v>
      </c>
      <c r="E17" s="855">
        <v>2.0</v>
      </c>
      <c r="F17" s="855">
        <v>6.0</v>
      </c>
      <c r="G17" s="855">
        <v>4.0</v>
      </c>
      <c r="H17" s="856" t="str">
        <f>HYPERLINK("https://d15f34w2p8l1cc.cloudfront.net/hearthstone/2a5a89befa4902988c98587138b74fa2b71657afce3e7c979e025c31ae2b0597.png","Image")</f>
        <v>Image</v>
      </c>
      <c r="I17" s="1024"/>
      <c r="J17" s="1024"/>
      <c r="K17" s="1024"/>
      <c r="L17" s="1024"/>
      <c r="M17" s="1024"/>
      <c r="N17" s="1024"/>
      <c r="O17" s="1024"/>
      <c r="P17" s="1025"/>
      <c r="Q17" s="781"/>
    </row>
    <row r="18">
      <c r="A18" s="829"/>
      <c r="B18" s="353"/>
      <c r="C18" s="864" t="s">
        <v>1637</v>
      </c>
      <c r="D18" s="865" t="s">
        <v>1638</v>
      </c>
      <c r="E18" s="859">
        <v>2.0</v>
      </c>
      <c r="F18" s="859">
        <v>2.0</v>
      </c>
      <c r="G18" s="859">
        <v>4.0</v>
      </c>
      <c r="H18" s="860" t="str">
        <f>HYPERLINK("https://d15f34w2p8l1cc.cloudfront.net/hearthstone/5fac13e098b7528f46558b1eaad8596d3ceb72271c9c829f8cd72dd15ab6ec73.png","Image")</f>
        <v>Image</v>
      </c>
      <c r="I18" s="1024"/>
      <c r="J18" s="1024"/>
      <c r="K18" s="1024"/>
      <c r="L18" s="1024"/>
      <c r="M18" s="1024"/>
      <c r="N18" s="1024"/>
      <c r="O18" s="1024"/>
      <c r="P18" s="1025"/>
      <c r="Q18" s="781"/>
    </row>
    <row r="19">
      <c r="A19" s="829"/>
      <c r="B19" s="353"/>
      <c r="C19" s="866" t="s">
        <v>1639</v>
      </c>
      <c r="D19" s="867" t="s">
        <v>43</v>
      </c>
      <c r="E19" s="868">
        <v>5.0</v>
      </c>
      <c r="F19" s="868">
        <v>5.0</v>
      </c>
      <c r="G19" s="868">
        <v>5.0</v>
      </c>
      <c r="H19" s="869" t="str">
        <f>HYPERLINK("https://d15f34w2p8l1cc.cloudfront.net/hearthstone/eaa4b92eec09656b619585e8a4a9f6fc18f9fa0279d64733b009e047c10de793.png","Image")</f>
        <v>Image</v>
      </c>
      <c r="I19" s="1024"/>
      <c r="J19" s="1024"/>
      <c r="K19" s="1024"/>
      <c r="L19" s="1024"/>
      <c r="M19" s="1024"/>
      <c r="N19" s="1024"/>
      <c r="O19" s="1024"/>
      <c r="P19" s="1025"/>
      <c r="Q19" s="781"/>
    </row>
    <row r="20">
      <c r="A20" s="829"/>
      <c r="B20" s="353"/>
      <c r="C20" s="853" t="s">
        <v>1640</v>
      </c>
      <c r="D20" s="854" t="s">
        <v>1638</v>
      </c>
      <c r="E20" s="855">
        <v>4.0</v>
      </c>
      <c r="F20" s="855">
        <v>5.0</v>
      </c>
      <c r="G20" s="855">
        <v>5.0</v>
      </c>
      <c r="H20" s="856" t="str">
        <f>HYPERLINK("https://d15f34w2p8l1cc.cloudfront.net/hearthstone/be087d697092da272684956cc1e9e4a9a210df2674001fb15699c8755513cbca.png","Image")</f>
        <v>Image</v>
      </c>
      <c r="I20" s="1032"/>
      <c r="J20" s="1032"/>
      <c r="K20" s="1032"/>
      <c r="L20" s="1032"/>
      <c r="M20" s="1032"/>
      <c r="N20" s="1032"/>
      <c r="O20" s="1024"/>
      <c r="P20" s="1025"/>
      <c r="Q20" s="781"/>
    </row>
    <row r="21">
      <c r="A21" s="829"/>
      <c r="B21" s="353"/>
      <c r="C21" s="864" t="s">
        <v>1641</v>
      </c>
      <c r="D21" s="865"/>
      <c r="E21" s="859">
        <v>5.0</v>
      </c>
      <c r="F21" s="859">
        <v>5.0</v>
      </c>
      <c r="G21" s="859">
        <v>5.0</v>
      </c>
      <c r="H21" s="860" t="str">
        <f>HYPERLINK("https://d15f34w2p8l1cc.cloudfront.net/hearthstone/925d3e5dc70cc425e968f4d8b41ea9c5d5ff62ad463e2006310a6f30a5939950.png","Image")</f>
        <v>Image</v>
      </c>
      <c r="I21" s="1032"/>
      <c r="J21" s="1032"/>
      <c r="K21" s="1032"/>
      <c r="L21" s="1032"/>
      <c r="M21" s="1032"/>
      <c r="N21" s="1032"/>
      <c r="O21" s="1024"/>
      <c r="P21" s="1025"/>
      <c r="Q21" s="781"/>
    </row>
    <row r="22">
      <c r="A22" s="829"/>
      <c r="B22" s="353"/>
      <c r="C22" s="838" t="s">
        <v>1642</v>
      </c>
      <c r="D22" s="852" t="s">
        <v>20</v>
      </c>
      <c r="E22" s="185">
        <v>6.0</v>
      </c>
      <c r="F22" s="185">
        <v>6.0</v>
      </c>
      <c r="G22" s="185">
        <v>6.0</v>
      </c>
      <c r="H22" s="840" t="str">
        <f>HYPERLINK("https://d15f34w2p8l1cc.cloudfront.net/hearthstone/3b53ecb792bf7956e71640b368aed3dc2eb8fd91031c319b254de0e12a043377.png","Image")</f>
        <v>Image</v>
      </c>
      <c r="I22" s="1032"/>
      <c r="J22" s="1032"/>
      <c r="K22" s="1032"/>
      <c r="L22" s="1032"/>
      <c r="M22" s="1032"/>
      <c r="N22" s="1032"/>
      <c r="O22" s="1024"/>
      <c r="P22" s="1025"/>
      <c r="Q22" s="781"/>
    </row>
    <row r="23">
      <c r="A23" s="829"/>
      <c r="B23" s="353"/>
      <c r="C23" s="853" t="s">
        <v>1643</v>
      </c>
      <c r="D23" s="863" t="s">
        <v>20</v>
      </c>
      <c r="E23" s="855">
        <v>4.0</v>
      </c>
      <c r="F23" s="855">
        <v>5.0</v>
      </c>
      <c r="G23" s="855">
        <v>6.0</v>
      </c>
      <c r="H23" s="856" t="str">
        <f>HYPERLINK("https://d15f34w2p8l1cc.cloudfront.net/hearthstone/c9b81b760ced55e97b768fa10c37e821c246b5b6f495d63602b26ac1aa2d3da2.png","Image")</f>
        <v>Image</v>
      </c>
      <c r="I23" s="1024"/>
      <c r="J23" s="1024"/>
      <c r="K23" s="1024"/>
      <c r="L23" s="1024"/>
      <c r="M23" s="1024"/>
      <c r="N23" s="1024"/>
      <c r="O23" s="1024"/>
      <c r="P23" s="1025"/>
      <c r="Q23" s="781"/>
    </row>
    <row r="24">
      <c r="A24" s="829"/>
      <c r="B24" s="353"/>
      <c r="C24" s="864" t="s">
        <v>1644</v>
      </c>
      <c r="D24" s="865" t="s">
        <v>43</v>
      </c>
      <c r="E24" s="859">
        <v>5.0</v>
      </c>
      <c r="F24" s="859">
        <v>3.0</v>
      </c>
      <c r="G24" s="859">
        <v>6.0</v>
      </c>
      <c r="H24" s="860" t="str">
        <f>HYPERLINK("https://d15f34w2p8l1cc.cloudfront.net/hearthstone/4025b7f0bf24c1cdbd1a75006eced26232bb30045695c5ccc3b17cf84a41bbed.png","Image")</f>
        <v>Image</v>
      </c>
      <c r="I24" s="1024"/>
      <c r="J24" s="1024"/>
      <c r="K24" s="1024"/>
      <c r="L24" s="1024"/>
      <c r="M24" s="1024"/>
      <c r="N24" s="1024"/>
      <c r="O24" s="1024"/>
      <c r="P24" s="1025"/>
      <c r="Q24" s="781"/>
    </row>
    <row r="25">
      <c r="A25" s="872"/>
      <c r="B25" s="353"/>
      <c r="C25" s="873" t="s">
        <v>1645</v>
      </c>
      <c r="D25" s="874" t="s">
        <v>43</v>
      </c>
      <c r="E25" s="176">
        <v>7.0</v>
      </c>
      <c r="F25" s="176">
        <v>7.0</v>
      </c>
      <c r="G25" s="176">
        <v>7.0</v>
      </c>
      <c r="H25" s="791" t="str">
        <f>HYPERLINK("https://d15f34w2p8l1cc.cloudfront.net/hearthstone/57a781385891a38295816f58b4f14f6065ff3174f0cf3f445b9e21b95946cdc6.png","Image")</f>
        <v>Image</v>
      </c>
      <c r="I25" s="1024"/>
      <c r="J25" s="1024"/>
      <c r="K25" s="1024"/>
      <c r="L25" s="1024"/>
      <c r="M25" s="1024"/>
      <c r="N25" s="1024"/>
      <c r="O25" s="1024"/>
      <c r="P25" s="1025"/>
      <c r="Q25" s="781"/>
    </row>
    <row r="26" ht="17.25" customHeight="1">
      <c r="A26" s="829"/>
      <c r="B26" s="355"/>
      <c r="C26" s="875" t="s">
        <v>1646</v>
      </c>
      <c r="D26" s="876" t="s">
        <v>43</v>
      </c>
      <c r="E26" s="877">
        <v>4.0</v>
      </c>
      <c r="F26" s="877">
        <v>10.0</v>
      </c>
      <c r="G26" s="877">
        <v>8.0</v>
      </c>
      <c r="H26" s="878" t="str">
        <f>HYPERLINK("https://d15f34w2p8l1cc.cloudfront.net/hearthstone/e207bae988eef3e4ab4d989a1086ae5ec4c82b1a770c1e828affb8a0da139d49.png","Image")</f>
        <v>Image</v>
      </c>
      <c r="I26" s="1026"/>
      <c r="J26" s="1026"/>
      <c r="K26" s="1026"/>
      <c r="L26" s="1026"/>
      <c r="M26" s="1026"/>
      <c r="N26" s="1026"/>
      <c r="O26" s="1026"/>
      <c r="P26" s="1027"/>
      <c r="Q26" s="781"/>
    </row>
    <row r="27" ht="15.75" customHeight="1">
      <c r="A27" s="883"/>
      <c r="B27" s="884"/>
      <c r="C27" s="740"/>
      <c r="D27" s="885"/>
      <c r="E27" s="743"/>
      <c r="F27" s="743"/>
      <c r="G27" s="743"/>
      <c r="H27" s="886"/>
      <c r="I27" s="1028" t="s">
        <v>2</v>
      </c>
      <c r="J27" s="1028" t="s">
        <v>426</v>
      </c>
      <c r="K27" s="1028" t="s">
        <v>1</v>
      </c>
      <c r="L27" s="1028" t="s">
        <v>427</v>
      </c>
      <c r="M27" s="1028" t="s">
        <v>208</v>
      </c>
      <c r="N27" s="1028" t="s">
        <v>3</v>
      </c>
      <c r="O27" s="1028" t="s">
        <v>4</v>
      </c>
      <c r="P27" s="1028" t="s">
        <v>1772</v>
      </c>
      <c r="Q27" s="307"/>
    </row>
    <row r="28">
      <c r="A28" s="829"/>
      <c r="B28" s="633"/>
      <c r="C28" s="890" t="s">
        <v>1647</v>
      </c>
      <c r="D28" s="1033"/>
      <c r="E28" s="892">
        <v>0.0</v>
      </c>
      <c r="F28" s="892">
        <v>5.0</v>
      </c>
      <c r="G28" s="892">
        <v>1.0</v>
      </c>
      <c r="H28" s="893" t="str">
        <f>HYPERLINK("https://d15f34w2p8l1cc.cloudfront.net/hearthstone/2893838e459524f0a547a63c320097055b843ee9c3e6c7ef8c526dc9d3a40978.png","Image")</f>
        <v>Image</v>
      </c>
      <c r="I28" s="1022"/>
      <c r="J28" s="1022"/>
      <c r="K28" s="1022"/>
      <c r="L28" s="1022"/>
      <c r="M28" s="1022"/>
      <c r="N28" s="1022"/>
      <c r="O28" s="1022"/>
      <c r="P28" s="1023"/>
      <c r="Q28" s="781"/>
    </row>
    <row r="29">
      <c r="A29" s="829"/>
      <c r="B29" s="353"/>
      <c r="C29" s="896" t="s">
        <v>1648</v>
      </c>
      <c r="D29" s="721"/>
      <c r="E29" s="898">
        <v>2.0</v>
      </c>
      <c r="F29" s="898">
        <v>3.0</v>
      </c>
      <c r="G29" s="898">
        <v>2.0</v>
      </c>
      <c r="H29" s="899" t="str">
        <f>HYPERLINK("https://d15f34w2p8l1cc.cloudfront.net/hearthstone/2c116ec91bf64eb84485425c0249980f62c6bfd8ffe3bacc40de780d96f8dfbe.png","Image")</f>
        <v>Image</v>
      </c>
      <c r="I29" s="1024"/>
      <c r="J29" s="1024"/>
      <c r="K29" s="1024"/>
      <c r="L29" s="1024"/>
      <c r="M29" s="1024"/>
      <c r="N29" s="1024"/>
      <c r="O29" s="1024"/>
      <c r="P29" s="1025"/>
      <c r="Q29" s="781"/>
    </row>
    <row r="30">
      <c r="A30" s="829"/>
      <c r="B30" s="353"/>
      <c r="C30" s="900" t="s">
        <v>1649</v>
      </c>
      <c r="D30" s="1034" t="s">
        <v>22</v>
      </c>
      <c r="E30" s="902">
        <v>4.0</v>
      </c>
      <c r="F30" s="902">
        <v>3.0</v>
      </c>
      <c r="G30" s="902">
        <v>3.0</v>
      </c>
      <c r="H30" s="903" t="str">
        <f>HYPERLINK("https://d15f34w2p8l1cc.cloudfront.net/hearthstone/874b43e029702979dd6fc6ee1664c1dd9a88682b183f73f44943d8aa7d93c0be.png","Image")</f>
        <v>Image</v>
      </c>
      <c r="I30" s="1032"/>
      <c r="J30" s="1032"/>
      <c r="K30" s="1032"/>
      <c r="L30" s="1032"/>
      <c r="M30" s="1032"/>
      <c r="N30" s="1032"/>
      <c r="O30" s="1024"/>
      <c r="P30" s="1025"/>
      <c r="Q30" s="781"/>
    </row>
    <row r="31">
      <c r="A31" s="829"/>
      <c r="B31" s="353"/>
      <c r="C31" s="890" t="s">
        <v>1650</v>
      </c>
      <c r="D31" s="904"/>
      <c r="E31" s="905">
        <v>4.0</v>
      </c>
      <c r="F31" s="905">
        <v>4.0</v>
      </c>
      <c r="G31" s="905">
        <v>4.0</v>
      </c>
      <c r="H31" s="893" t="str">
        <f>HYPERLINK("https://d15f34w2p8l1cc.cloudfront.net/hearthstone/961f15f18574d1dbebe851a0ccdb8b4d7c6300e9556d3267b003b37bfe10d8d9.png","Image")</f>
        <v>Image</v>
      </c>
      <c r="I31" s="1032"/>
      <c r="J31" s="1032"/>
      <c r="K31" s="1032"/>
      <c r="L31" s="1032"/>
      <c r="M31" s="1032"/>
      <c r="N31" s="1032"/>
      <c r="O31" s="1024"/>
      <c r="P31" s="1025"/>
      <c r="Q31" s="781"/>
    </row>
    <row r="32">
      <c r="A32" s="829"/>
      <c r="B32" s="353"/>
      <c r="C32" s="720" t="s">
        <v>1651</v>
      </c>
      <c r="D32" s="1035" t="s">
        <v>60</v>
      </c>
      <c r="E32" s="508">
        <v>4.0</v>
      </c>
      <c r="F32" s="508">
        <v>2.0</v>
      </c>
      <c r="G32" s="508">
        <v>4.0</v>
      </c>
      <c r="H32" s="899" t="str">
        <f>HYPERLINK("https://d15f34w2p8l1cc.cloudfront.net/hearthstone/98fd22b7711f42ce2a0a252758caee29bb3996b058dd1c3af60a24b00e5fdff1.png","Image")</f>
        <v>Image</v>
      </c>
      <c r="I32" s="1032"/>
      <c r="J32" s="1032"/>
      <c r="K32" s="1032"/>
      <c r="L32" s="1032"/>
      <c r="M32" s="1032"/>
      <c r="N32" s="1032"/>
      <c r="O32" s="1024"/>
      <c r="P32" s="1025"/>
      <c r="Q32" s="781"/>
    </row>
    <row r="33">
      <c r="A33" s="829"/>
      <c r="B33" s="353"/>
      <c r="C33" s="907" t="s">
        <v>1652</v>
      </c>
      <c r="D33" s="1036"/>
      <c r="E33" s="909">
        <v>3.0</v>
      </c>
      <c r="F33" s="909">
        <v>9.0</v>
      </c>
      <c r="G33" s="909">
        <v>4.0</v>
      </c>
      <c r="H33" s="910" t="str">
        <f>HYPERLINK("https://d15f34w2p8l1cc.cloudfront.net/hearthstone/14617b8b27bc155a90376b930e6f95b209137be71cc6bb4f80b0ceb767614a1c.png","Image")</f>
        <v>Image</v>
      </c>
      <c r="I33" s="1024"/>
      <c r="J33" s="1024"/>
      <c r="K33" s="1024"/>
      <c r="L33" s="1024"/>
      <c r="M33" s="1024"/>
      <c r="N33" s="1024"/>
      <c r="O33" s="1024"/>
      <c r="P33" s="1025"/>
      <c r="Q33" s="781"/>
    </row>
    <row r="34">
      <c r="A34" s="872"/>
      <c r="B34" s="353"/>
      <c r="C34" s="890" t="s">
        <v>1653</v>
      </c>
      <c r="D34" s="1033"/>
      <c r="E34" s="892">
        <v>5.0</v>
      </c>
      <c r="F34" s="892">
        <v>4.0</v>
      </c>
      <c r="G34" s="892">
        <v>5.0</v>
      </c>
      <c r="H34" s="911" t="str">
        <f>HYPERLINK("https://d15f34w2p8l1cc.cloudfront.net/hearthstone/4f270048f530eba4ff1cd5a49a5e605d3690bd1a7da9a8efc86d9c7ee2b276b9.png","Image")</f>
        <v>Image</v>
      </c>
      <c r="I34" s="1024"/>
      <c r="J34" s="1024"/>
      <c r="K34" s="1024"/>
      <c r="L34" s="1024"/>
      <c r="M34" s="1024"/>
      <c r="N34" s="1024"/>
      <c r="O34" s="1024"/>
      <c r="P34" s="1025"/>
      <c r="Q34" s="781"/>
    </row>
    <row r="35" ht="17.25" customHeight="1">
      <c r="A35" s="829"/>
      <c r="B35" s="353"/>
      <c r="C35" s="720" t="s">
        <v>1654</v>
      </c>
      <c r="D35" s="1037" t="s">
        <v>43</v>
      </c>
      <c r="E35" s="508">
        <v>3.0</v>
      </c>
      <c r="F35" s="508">
        <v>5.0</v>
      </c>
      <c r="G35" s="508">
        <v>5.0</v>
      </c>
      <c r="H35" s="899" t="str">
        <f>HYPERLINK("https://d15f34w2p8l1cc.cloudfront.net/hearthstone/4cb2876632d961c7417fc7906f7557469308c4d94949328b8113a34adeb55db2.png","Image")</f>
        <v>Image</v>
      </c>
      <c r="I35" s="1024"/>
      <c r="J35" s="1024"/>
      <c r="K35" s="1024"/>
      <c r="L35" s="1024"/>
      <c r="M35" s="1024"/>
      <c r="N35" s="1024"/>
      <c r="O35" s="1024"/>
      <c r="P35" s="1025"/>
      <c r="Q35" s="781"/>
    </row>
    <row r="36">
      <c r="A36" s="872"/>
      <c r="B36" s="353"/>
      <c r="C36" s="913" t="s">
        <v>1655</v>
      </c>
      <c r="D36" s="1038"/>
      <c r="E36" s="915">
        <v>5.0</v>
      </c>
      <c r="F36" s="915">
        <v>5.0</v>
      </c>
      <c r="G36" s="915">
        <v>6.0</v>
      </c>
      <c r="H36" s="916" t="str">
        <f>HYPERLINK("https://d15f34w2p8l1cc.cloudfront.net/hearthstone/8e8d839939b3b095202f967f4c38b462262ce9223fb6b7c82b852af7711428eb.png","Image")</f>
        <v>Image</v>
      </c>
      <c r="I36" s="1024"/>
      <c r="J36" s="1024"/>
      <c r="K36" s="1024"/>
      <c r="L36" s="1024"/>
      <c r="M36" s="1024"/>
      <c r="N36" s="1024"/>
      <c r="O36" s="1024"/>
      <c r="P36" s="1025"/>
      <c r="Q36" s="781"/>
    </row>
    <row r="37">
      <c r="A37" s="829"/>
      <c r="B37" s="961"/>
      <c r="C37" s="917" t="s">
        <v>1656</v>
      </c>
      <c r="D37" s="1039"/>
      <c r="E37" s="905">
        <v>3.0</v>
      </c>
      <c r="F37" s="905">
        <v>2.0</v>
      </c>
      <c r="G37" s="905">
        <v>2.0</v>
      </c>
      <c r="H37" s="893" t="str">
        <f>HYPERLINK("https://d15f34w2p8l1cc.cloudfront.net/hearthstone/d0226b466fd69287cc73fdf651ca73e7b5a9c4bf189840413b9db8041769ed9a.png","Image")</f>
        <v>Image</v>
      </c>
      <c r="I37" s="1024"/>
      <c r="J37" s="1024"/>
      <c r="K37" s="1024"/>
      <c r="L37" s="1024"/>
      <c r="M37" s="1024"/>
      <c r="N37" s="1024"/>
      <c r="O37" s="1024"/>
      <c r="P37" s="1025"/>
      <c r="Q37" s="781"/>
    </row>
    <row r="38">
      <c r="A38" s="829"/>
      <c r="B38" s="353"/>
      <c r="C38" s="720" t="s">
        <v>1657</v>
      </c>
      <c r="D38" s="1035"/>
      <c r="E38" s="898">
        <v>3.0</v>
      </c>
      <c r="F38" s="898">
        <v>2.0</v>
      </c>
      <c r="G38" s="898">
        <v>2.0</v>
      </c>
      <c r="H38" s="899" t="str">
        <f>HYPERLINK("https://d15f34w2p8l1cc.cloudfront.net/hearthstone/99363c3c36210405f15f3f3449cb0555f15ae82e23f9591f4d98e5064cddf538.png","Image")</f>
        <v>Image</v>
      </c>
      <c r="I38" s="1032"/>
      <c r="J38" s="1032"/>
      <c r="K38" s="1032"/>
      <c r="L38" s="1032"/>
      <c r="M38" s="1032"/>
      <c r="N38" s="1032"/>
      <c r="O38" s="1024"/>
      <c r="P38" s="1025"/>
      <c r="Q38" s="781"/>
    </row>
    <row r="39">
      <c r="A39" s="829"/>
      <c r="B39" s="353"/>
      <c r="C39" s="919" t="s">
        <v>1658</v>
      </c>
      <c r="D39" s="1040"/>
      <c r="E39" s="921">
        <v>2.0</v>
      </c>
      <c r="F39" s="921">
        <v>3.0</v>
      </c>
      <c r="G39" s="921">
        <v>2.0</v>
      </c>
      <c r="H39" s="922" t="str">
        <f>HYPERLINK("https://d15f34w2p8l1cc.cloudfront.net/hearthstone/475f72dcd53dad6488178482e9721181861d688d659a48be65ca444e5cdde577.png","Image")</f>
        <v>Image</v>
      </c>
      <c r="I39" s="1032"/>
      <c r="J39" s="1032"/>
      <c r="K39" s="1032"/>
      <c r="L39" s="1032"/>
      <c r="M39" s="1032"/>
      <c r="N39" s="1032"/>
      <c r="O39" s="1024"/>
      <c r="P39" s="1025"/>
      <c r="Q39" s="781"/>
    </row>
    <row r="40">
      <c r="A40" s="829"/>
      <c r="B40" s="353"/>
      <c r="C40" s="890" t="s">
        <v>1659</v>
      </c>
      <c r="D40" s="1041" t="s">
        <v>22</v>
      </c>
      <c r="E40" s="905">
        <v>3.0</v>
      </c>
      <c r="F40" s="905">
        <v>4.0</v>
      </c>
      <c r="G40" s="905">
        <v>3.0</v>
      </c>
      <c r="H40" s="893" t="str">
        <f>HYPERLINK("https://d15f34w2p8l1cc.cloudfront.net/hearthstone/921bb1ba650528d1296ef03d5e2332ce6001962c2119393d3c187e267074718d.png","Image")</f>
        <v>Image</v>
      </c>
      <c r="I40" s="1032"/>
      <c r="J40" s="1032"/>
      <c r="K40" s="1032"/>
      <c r="L40" s="1032"/>
      <c r="M40" s="1032"/>
      <c r="N40" s="1032"/>
      <c r="O40" s="1024"/>
      <c r="P40" s="1025"/>
      <c r="Q40" s="781"/>
    </row>
    <row r="41">
      <c r="A41" s="829"/>
      <c r="B41" s="353"/>
      <c r="C41" s="913" t="s">
        <v>1660</v>
      </c>
      <c r="D41" s="924"/>
      <c r="E41" s="921">
        <v>3.0</v>
      </c>
      <c r="F41" s="921">
        <v>4.0</v>
      </c>
      <c r="G41" s="921">
        <v>3.0</v>
      </c>
      <c r="H41" s="916" t="str">
        <f>HYPERLINK("https://d15f34w2p8l1cc.cloudfront.net/hearthstone/50fad6b6d8543d15c840610e6c27b9b1e5b4e228e2b09cd56a60b6cf91a7cadd.png","Image")</f>
        <v>Image</v>
      </c>
      <c r="I41" s="1024"/>
      <c r="J41" s="1024"/>
      <c r="K41" s="1024"/>
      <c r="L41" s="1024"/>
      <c r="M41" s="1024"/>
      <c r="N41" s="1024"/>
      <c r="O41" s="1024"/>
      <c r="P41" s="1025"/>
      <c r="Q41" s="781"/>
    </row>
    <row r="42">
      <c r="A42" s="829"/>
      <c r="B42" s="353"/>
      <c r="C42" s="890" t="s">
        <v>1661</v>
      </c>
      <c r="D42" s="1041" t="s">
        <v>60</v>
      </c>
      <c r="E42" s="892">
        <v>4.0</v>
      </c>
      <c r="F42" s="892">
        <v>4.0</v>
      </c>
      <c r="G42" s="892">
        <v>5.0</v>
      </c>
      <c r="H42" s="893" t="str">
        <f>HYPERLINK("https://d15f34w2p8l1cc.cloudfront.net/hearthstone/5cf720471b48003fd4a82410a4d12701f79774284c25f4d24371eae6013ef4fa.png","Image")</f>
        <v>Image</v>
      </c>
      <c r="I42" s="1024"/>
      <c r="J42" s="1024"/>
      <c r="K42" s="1024"/>
      <c r="L42" s="1024"/>
      <c r="M42" s="1024"/>
      <c r="N42" s="1024"/>
      <c r="O42" s="1024"/>
      <c r="P42" s="1025"/>
      <c r="Q42" s="781"/>
    </row>
    <row r="43">
      <c r="A43" s="829"/>
      <c r="B43" s="353"/>
      <c r="C43" s="717" t="s">
        <v>1662</v>
      </c>
      <c r="D43" s="1042"/>
      <c r="E43" s="503">
        <v>6.0</v>
      </c>
      <c r="F43" s="503">
        <v>5.0</v>
      </c>
      <c r="G43" s="503">
        <v>5.0</v>
      </c>
      <c r="H43" s="926" t="str">
        <f>HYPERLINK("https://d15f34w2p8l1cc.cloudfront.net/hearthstone/c0121f441cafc0214884cf39e209f6bb5bed524cc7c9075e885d518e2df09add.png","Image")</f>
        <v>Image</v>
      </c>
      <c r="I43" s="1024"/>
      <c r="J43" s="1024"/>
      <c r="K43" s="1024"/>
      <c r="L43" s="1024"/>
      <c r="M43" s="1024"/>
      <c r="N43" s="1024"/>
      <c r="O43" s="1024"/>
      <c r="P43" s="1025"/>
      <c r="Q43" s="781"/>
    </row>
    <row r="44">
      <c r="A44" s="829"/>
      <c r="B44" s="353"/>
      <c r="C44" s="717" t="s">
        <v>1663</v>
      </c>
      <c r="D44" s="1042" t="s">
        <v>51</v>
      </c>
      <c r="E44" s="503">
        <v>3.0</v>
      </c>
      <c r="F44" s="503">
        <v>3.0</v>
      </c>
      <c r="G44" s="503">
        <v>5.0</v>
      </c>
      <c r="H44" s="926" t="str">
        <f>HYPERLINK("https://d15f34w2p8l1cc.cloudfront.net/hearthstone/f429046676b7699bb30fb38e7e8345d3529685a8632be72a2a523e58109389ba.png","Image")</f>
        <v>Image</v>
      </c>
      <c r="I44" s="1032"/>
      <c r="J44" s="1032"/>
      <c r="K44" s="1032"/>
      <c r="L44" s="1032"/>
      <c r="M44" s="1032"/>
      <c r="N44" s="1032"/>
      <c r="O44" s="1024"/>
      <c r="P44" s="1025"/>
      <c r="Q44" s="781"/>
    </row>
    <row r="45">
      <c r="A45" s="872"/>
      <c r="B45" s="355"/>
      <c r="C45" s="913" t="s">
        <v>1774</v>
      </c>
      <c r="D45" s="1043"/>
      <c r="E45" s="915">
        <v>0.0</v>
      </c>
      <c r="F45" s="915">
        <v>3.0</v>
      </c>
      <c r="G45" s="915">
        <v>5.0</v>
      </c>
      <c r="H45" s="929" t="str">
        <f>HYPERLINK("https://d15f34w2p8l1cc.cloudfront.net/hearthstone/1cc56d817e7d1f89b3859904545a34b83c5c08f6415056aff5ee3c521e4f6ab9.png","Image")</f>
        <v>Image</v>
      </c>
      <c r="I45" s="1032"/>
      <c r="J45" s="1032"/>
      <c r="K45" s="1032"/>
      <c r="L45" s="1032"/>
      <c r="M45" s="1032"/>
      <c r="N45" s="1032"/>
      <c r="O45" s="1024"/>
      <c r="P45" s="1025"/>
      <c r="Q45" s="781"/>
    </row>
    <row r="46" ht="17.25" customHeight="1">
      <c r="A46" s="829"/>
      <c r="B46" s="962"/>
      <c r="C46" s="720" t="s">
        <v>1665</v>
      </c>
      <c r="D46" s="1035"/>
      <c r="E46" s="508">
        <v>5.0</v>
      </c>
      <c r="F46" s="508">
        <v>4.0</v>
      </c>
      <c r="G46" s="508">
        <v>4.0</v>
      </c>
      <c r="H46" s="930" t="str">
        <f>HYPERLINK("https://d15f34w2p8l1cc.cloudfront.net/hearthstone/39e0d738a1a80c69b72f2b77b190db3a12a951fdca0870e9fe625cb762e81b4c.png","Image")</f>
        <v>Image</v>
      </c>
      <c r="I46" s="1032"/>
      <c r="J46" s="1032"/>
      <c r="K46" s="1032"/>
      <c r="L46" s="1032"/>
      <c r="M46" s="1032"/>
      <c r="N46" s="1032"/>
      <c r="O46" s="1024"/>
      <c r="P46" s="1025"/>
      <c r="Q46" s="781"/>
    </row>
    <row r="47">
      <c r="A47" s="829"/>
      <c r="B47" s="353"/>
      <c r="C47" s="720" t="s">
        <v>1666</v>
      </c>
      <c r="D47" s="1035"/>
      <c r="E47" s="508">
        <v>6.0</v>
      </c>
      <c r="F47" s="508">
        <v>6.0</v>
      </c>
      <c r="G47" s="508">
        <v>6.0</v>
      </c>
      <c r="H47" s="930" t="str">
        <f>HYPERLINK("https://d15f34w2p8l1cc.cloudfront.net/hearthstone/cc3e3678ff5127ddc6ef51e3e4aa70fbda6bd8eb97e98bafb5bdf54acfbecc3c.png","Image")</f>
        <v>Image</v>
      </c>
      <c r="I47" s="1024"/>
      <c r="J47" s="1024"/>
      <c r="K47" s="1024"/>
      <c r="L47" s="1024"/>
      <c r="M47" s="1024"/>
      <c r="N47" s="1024"/>
      <c r="O47" s="1024"/>
      <c r="P47" s="1025"/>
      <c r="Q47" s="781"/>
    </row>
    <row r="48">
      <c r="A48" s="829"/>
      <c r="B48" s="353"/>
      <c r="C48" s="720" t="s">
        <v>1667</v>
      </c>
      <c r="D48" s="1035"/>
      <c r="E48" s="508">
        <v>1.0</v>
      </c>
      <c r="F48" s="508">
        <v>7.0</v>
      </c>
      <c r="G48" s="508">
        <v>7.0</v>
      </c>
      <c r="H48" s="930" t="str">
        <f>HYPERLINK("https://d15f34w2p8l1cc.cloudfront.net/hearthstone/b65baf71030e4ed4c504060081e8ad42d04acb39e4787a6cfa8a12cc3b91b188.png","Image")</f>
        <v>Image</v>
      </c>
      <c r="I48" s="1024"/>
      <c r="J48" s="1024"/>
      <c r="K48" s="1024"/>
      <c r="L48" s="1024"/>
      <c r="M48" s="1024"/>
      <c r="N48" s="1024"/>
      <c r="O48" s="1024"/>
      <c r="P48" s="1025"/>
      <c r="Q48" s="781"/>
    </row>
    <row r="49">
      <c r="A49" s="829"/>
      <c r="B49" s="353"/>
      <c r="C49" s="720" t="s">
        <v>1668</v>
      </c>
      <c r="D49" s="1037" t="s">
        <v>43</v>
      </c>
      <c r="E49" s="508">
        <v>8.0</v>
      </c>
      <c r="F49" s="508">
        <v>8.0</v>
      </c>
      <c r="G49" s="508">
        <v>9.0</v>
      </c>
      <c r="H49" s="930" t="str">
        <f>HYPERLINK("https://d15f34w2p8l1cc.cloudfront.net/hearthstone/f1b779af311af36dbf47ec7bd709eac13f9d558a747fc4c8702a6219a80441d8.png","Image")</f>
        <v>Image</v>
      </c>
      <c r="I49" s="1024"/>
      <c r="J49" s="1024"/>
      <c r="K49" s="1024"/>
      <c r="L49" s="1024"/>
      <c r="M49" s="1024"/>
      <c r="N49" s="1024"/>
      <c r="O49" s="1024"/>
      <c r="P49" s="1025"/>
      <c r="Q49" s="781"/>
    </row>
    <row r="50">
      <c r="A50" s="829"/>
      <c r="B50" s="355"/>
      <c r="C50" s="919" t="s">
        <v>1669</v>
      </c>
      <c r="D50" s="1044" t="s">
        <v>97</v>
      </c>
      <c r="E50" s="921">
        <v>5.0</v>
      </c>
      <c r="F50" s="921">
        <v>5.0</v>
      </c>
      <c r="G50" s="921">
        <v>9.0</v>
      </c>
      <c r="H50" s="916" t="str">
        <f>HYPERLINK("https://d15f34w2p8l1cc.cloudfront.net/hearthstone/7617f337c1cf09dadc56523cb0c4ff7972a6dd840ec08e29e3111703c3a9d8e3.png","Image")</f>
        <v>Image</v>
      </c>
      <c r="I50" s="1024"/>
      <c r="J50" s="1024"/>
      <c r="K50" s="1024"/>
      <c r="L50" s="1024"/>
      <c r="M50" s="1024"/>
      <c r="N50" s="1024"/>
      <c r="O50" s="1024"/>
      <c r="P50" s="1025"/>
      <c r="Q50" s="781"/>
    </row>
    <row r="51">
      <c r="A51" s="823"/>
      <c r="B51" s="824"/>
      <c r="C51" s="195" t="s">
        <v>83</v>
      </c>
      <c r="D51" s="82"/>
      <c r="E51" s="82"/>
      <c r="F51" s="82"/>
      <c r="G51" s="82"/>
      <c r="H51" s="96"/>
      <c r="I51" s="1029"/>
      <c r="J51" s="1029"/>
      <c r="K51" s="1029"/>
      <c r="L51" s="1029"/>
      <c r="M51" s="1029"/>
      <c r="N51" s="1029"/>
      <c r="O51" s="1029"/>
      <c r="P51" s="1029"/>
      <c r="Q51" s="307"/>
    </row>
    <row r="52" ht="15.75" customHeight="1">
      <c r="A52" s="872"/>
      <c r="B52" s="636"/>
      <c r="C52" s="830"/>
      <c r="D52" s="831"/>
      <c r="E52" s="832"/>
      <c r="F52" s="832"/>
      <c r="G52" s="832"/>
      <c r="H52" s="933"/>
      <c r="I52" s="1028" t="s">
        <v>2</v>
      </c>
      <c r="J52" s="1028" t="s">
        <v>426</v>
      </c>
      <c r="K52" s="1028" t="s">
        <v>1</v>
      </c>
      <c r="L52" s="1028" t="s">
        <v>427</v>
      </c>
      <c r="M52" s="1028" t="s">
        <v>208</v>
      </c>
      <c r="N52" s="1028" t="s">
        <v>3</v>
      </c>
      <c r="O52" s="1028" t="s">
        <v>4</v>
      </c>
      <c r="P52" s="1028" t="s">
        <v>1772</v>
      </c>
      <c r="Q52" s="781"/>
    </row>
    <row r="53" ht="17.25" customHeight="1">
      <c r="A53" s="829"/>
      <c r="B53" s="950"/>
      <c r="C53" s="705" t="s">
        <v>1670</v>
      </c>
      <c r="D53" s="934" t="s">
        <v>60</v>
      </c>
      <c r="E53" s="185">
        <v>1.0</v>
      </c>
      <c r="F53" s="185">
        <v>2.0</v>
      </c>
      <c r="G53" s="185">
        <v>1.0</v>
      </c>
      <c r="H53" s="840" t="str">
        <f>HYPERLINK("https://d15f34w2p8l1cc.cloudfront.net/hearthstone/7a4b23bc002a8a37b7948d851ccf4b61f1e82e872a131d57a6f581dea0df41f4.png","Image")</f>
        <v>Image</v>
      </c>
      <c r="I53" s="1022"/>
      <c r="J53" s="1022"/>
      <c r="K53" s="1022"/>
      <c r="L53" s="1022"/>
      <c r="M53" s="1022"/>
      <c r="N53" s="1022"/>
      <c r="O53" s="1022"/>
      <c r="P53" s="1023"/>
      <c r="Q53" s="781"/>
    </row>
    <row r="54">
      <c r="A54" s="872"/>
      <c r="B54" s="353"/>
      <c r="C54" s="935" t="s">
        <v>1671</v>
      </c>
      <c r="D54" s="936"/>
      <c r="E54" s="855">
        <v>2.0</v>
      </c>
      <c r="F54" s="855">
        <v>3.0</v>
      </c>
      <c r="G54" s="855">
        <v>3.0</v>
      </c>
      <c r="H54" s="856" t="str">
        <f>HYPERLINK("https://d15f34w2p8l1cc.cloudfront.net/hearthstone/3e97f67829e2ab393e4bed7d50f4e08371430a89e1906d32dc3361f3fbf42577.png","Image")</f>
        <v>Image</v>
      </c>
      <c r="I54" s="1024"/>
      <c r="J54" s="1024"/>
      <c r="K54" s="1024"/>
      <c r="L54" s="1024"/>
      <c r="M54" s="1024"/>
      <c r="N54" s="1024"/>
      <c r="O54" s="1024"/>
      <c r="P54" s="1025"/>
      <c r="Q54" s="781"/>
    </row>
    <row r="55">
      <c r="A55" s="829"/>
      <c r="B55" s="632"/>
      <c r="C55" s="937" t="s">
        <v>1672</v>
      </c>
      <c r="D55" s="938" t="s">
        <v>1673</v>
      </c>
      <c r="E55" s="939"/>
      <c r="F55" s="939"/>
      <c r="G55" s="939">
        <v>3.0</v>
      </c>
      <c r="H55" s="940" t="str">
        <f>HYPERLINK("https://d15f34w2p8l1cc.cloudfront.net/hearthstone/ff8bbbf81ab31c3bb686999016ad523f8dbb246a268b3dc5b599f2362dc8ab15.png","Image")</f>
        <v>Image</v>
      </c>
      <c r="I55" s="1032"/>
      <c r="J55" s="1032"/>
      <c r="K55" s="1032"/>
      <c r="L55" s="1032"/>
      <c r="M55" s="1032"/>
      <c r="N55" s="1032"/>
      <c r="O55" s="1024"/>
      <c r="P55" s="1025"/>
      <c r="Q55" s="781"/>
    </row>
    <row r="56">
      <c r="A56" s="829"/>
      <c r="B56" s="639"/>
      <c r="C56" s="941" t="s">
        <v>1674</v>
      </c>
      <c r="D56" s="942" t="s">
        <v>1675</v>
      </c>
      <c r="E56" s="943">
        <v>1.0</v>
      </c>
      <c r="F56" s="943">
        <v>2.0</v>
      </c>
      <c r="G56" s="943">
        <v>2.0</v>
      </c>
      <c r="H56" s="944" t="str">
        <f>HYPERLINK("https://d15f34w2p8l1cc.cloudfront.net/hearthstone/571e9b8a030f5db67fad697f86994bf7017beefe0894d7d1ccb5bc1b96b9197c.png","Image")</f>
        <v>Image</v>
      </c>
      <c r="I56" s="1032"/>
      <c r="J56" s="1032"/>
      <c r="K56" s="1032"/>
      <c r="L56" s="1032"/>
      <c r="M56" s="1032"/>
      <c r="N56" s="1032"/>
      <c r="O56" s="1024"/>
      <c r="P56" s="1025"/>
      <c r="Q56" s="781"/>
    </row>
    <row r="57">
      <c r="A57" s="829"/>
      <c r="B57" s="353"/>
      <c r="C57" s="935" t="s">
        <v>1676</v>
      </c>
      <c r="D57" s="936" t="s">
        <v>20</v>
      </c>
      <c r="E57" s="855">
        <v>2.0</v>
      </c>
      <c r="F57" s="855">
        <v>5.0</v>
      </c>
      <c r="G57" s="855">
        <v>3.0</v>
      </c>
      <c r="H57" s="856" t="str">
        <f>HYPERLINK("https://d15f34w2p8l1cc.cloudfront.net/hearthstone/8b3daceec08911eaec198eeeee5d46acbae6047062dace7990bf842262eeb06a.png","Image")</f>
        <v>Image</v>
      </c>
      <c r="I57" s="1032"/>
      <c r="J57" s="1032"/>
      <c r="K57" s="1032"/>
      <c r="L57" s="1032"/>
      <c r="M57" s="1032"/>
      <c r="N57" s="1032"/>
      <c r="O57" s="1024"/>
      <c r="P57" s="1025"/>
      <c r="Q57" s="781"/>
    </row>
    <row r="58">
      <c r="A58" s="829"/>
      <c r="B58" s="632"/>
      <c r="C58" s="937" t="s">
        <v>1677</v>
      </c>
      <c r="D58" s="938" t="s">
        <v>71</v>
      </c>
      <c r="E58" s="939"/>
      <c r="F58" s="939"/>
      <c r="G58" s="939">
        <v>4.0</v>
      </c>
      <c r="H58" s="940" t="str">
        <f>HYPERLINK("https://d15f34w2p8l1cc.cloudfront.net/hearthstone/4767826ee0e4fb70d3fd1d9d669b943d2ce0e364503829f3f4a5d44d2e8df0ba.png","Image")</f>
        <v>Image</v>
      </c>
      <c r="I58" s="1024"/>
      <c r="J58" s="1024"/>
      <c r="K58" s="1024"/>
      <c r="L58" s="1024"/>
      <c r="M58" s="1024"/>
      <c r="N58" s="1024"/>
      <c r="O58" s="1024"/>
      <c r="P58" s="1025"/>
      <c r="Q58" s="781"/>
    </row>
    <row r="59">
      <c r="A59" s="829"/>
      <c r="B59" s="793"/>
      <c r="C59" s="941" t="s">
        <v>1678</v>
      </c>
      <c r="D59" s="942" t="s">
        <v>43</v>
      </c>
      <c r="E59" s="943">
        <v>3.0</v>
      </c>
      <c r="F59" s="943">
        <v>2.0</v>
      </c>
      <c r="G59" s="943">
        <v>3.0</v>
      </c>
      <c r="H59" s="944" t="str">
        <f>HYPERLINK("https://d15f34w2p8l1cc.cloudfront.net/hearthstone/95d918d6ff09592a1e84666d8f90db944f9007501d99a755b2844d0f05a9fdec.png","Image")</f>
        <v>Image</v>
      </c>
      <c r="I59" s="1024"/>
      <c r="J59" s="1024"/>
      <c r="K59" s="1024"/>
      <c r="L59" s="1024"/>
      <c r="M59" s="1024"/>
      <c r="N59" s="1024"/>
      <c r="O59" s="1024"/>
      <c r="P59" s="1025"/>
      <c r="Q59" s="781"/>
    </row>
    <row r="60">
      <c r="A60" s="829"/>
      <c r="B60" s="632"/>
      <c r="C60" s="937" t="s">
        <v>1679</v>
      </c>
      <c r="D60" s="938" t="s">
        <v>71</v>
      </c>
      <c r="E60" s="939"/>
      <c r="F60" s="939"/>
      <c r="G60" s="939">
        <v>3.0</v>
      </c>
      <c r="H60" s="940" t="str">
        <f>HYPERLINK("https://d15f34w2p8l1cc.cloudfront.net/hearthstone/a8575e8997ab73770abdfdcb949edf3d407f7e95cc62d485ee4ca35e19c7fc6c.png","Image")</f>
        <v>Image</v>
      </c>
      <c r="I60" s="1024"/>
      <c r="J60" s="1024"/>
      <c r="K60" s="1024"/>
      <c r="L60" s="1024"/>
      <c r="M60" s="1024"/>
      <c r="N60" s="1024"/>
      <c r="O60" s="1024"/>
      <c r="P60" s="1025"/>
      <c r="Q60" s="781"/>
    </row>
    <row r="61">
      <c r="A61" s="829"/>
      <c r="B61" s="794"/>
      <c r="C61" s="941" t="s">
        <v>1680</v>
      </c>
      <c r="D61" s="942" t="s">
        <v>77</v>
      </c>
      <c r="E61" s="943">
        <v>2.0</v>
      </c>
      <c r="F61" s="943">
        <v>3.0</v>
      </c>
      <c r="G61" s="943">
        <v>3.0</v>
      </c>
      <c r="H61" s="944" t="str">
        <f>HYPERLINK("https://d15f34w2p8l1cc.cloudfront.net/hearthstone/6da80ac83b03e7fce8e209af7a3c689aa4653a527b708c1ab62c0a69268c1526.png","Image")</f>
        <v>Image</v>
      </c>
      <c r="I61" s="1024"/>
      <c r="J61" s="1024"/>
      <c r="K61" s="1024"/>
      <c r="L61" s="1024"/>
      <c r="M61" s="1024"/>
      <c r="N61" s="1024"/>
      <c r="O61" s="1024"/>
      <c r="P61" s="1025"/>
      <c r="Q61" s="781"/>
    </row>
    <row r="62">
      <c r="A62" s="829"/>
      <c r="B62" s="353"/>
      <c r="C62" s="945" t="s">
        <v>1681</v>
      </c>
      <c r="D62" s="946" t="s">
        <v>1682</v>
      </c>
      <c r="E62" s="947"/>
      <c r="F62" s="948"/>
      <c r="G62" s="947">
        <v>7.0</v>
      </c>
      <c r="H62" s="949" t="str">
        <f>HYPERLINK("https://d15f34w2p8l1cc.cloudfront.net/hearthstone/e42d260eedab2875bfda78e089a2f74cadcec1e79d394e80895d4c66888bf3d2.png","Image")</f>
        <v>Image</v>
      </c>
      <c r="I62" s="1024"/>
      <c r="J62" s="1024"/>
      <c r="K62" s="1024"/>
      <c r="L62" s="1024"/>
      <c r="M62" s="1024"/>
      <c r="N62" s="1024"/>
      <c r="O62" s="1024"/>
      <c r="P62" s="1025"/>
      <c r="Q62" s="781"/>
    </row>
    <row r="63">
      <c r="A63" s="829"/>
      <c r="B63" s="355"/>
      <c r="C63" s="864" t="s">
        <v>1683</v>
      </c>
      <c r="D63" s="865" t="s">
        <v>43</v>
      </c>
      <c r="E63" s="859">
        <v>12.0</v>
      </c>
      <c r="F63" s="859">
        <v>12.0</v>
      </c>
      <c r="G63" s="859">
        <v>8.0</v>
      </c>
      <c r="H63" s="860" t="str">
        <f>HYPERLINK("https://d15f34w2p8l1cc.cloudfront.net/hearthstone/aef185438c4c3f838dd6d58ff94e8d51dbae53e2e0a60b46666753b3342814c8.png","Image")</f>
        <v>Image</v>
      </c>
      <c r="I63" s="1026"/>
      <c r="J63" s="1026"/>
      <c r="K63" s="1026"/>
      <c r="L63" s="1026"/>
      <c r="M63" s="1026"/>
      <c r="N63" s="1026"/>
      <c r="O63" s="1026"/>
      <c r="P63" s="1027"/>
      <c r="Q63" s="781"/>
    </row>
    <row r="64">
      <c r="A64" s="883"/>
      <c r="B64" s="605"/>
      <c r="C64" s="195" t="s">
        <v>95</v>
      </c>
      <c r="D64" s="82"/>
      <c r="E64" s="82"/>
      <c r="F64" s="82"/>
      <c r="G64" s="82"/>
      <c r="H64" s="96"/>
      <c r="I64" s="1029"/>
      <c r="J64" s="1029"/>
      <c r="K64" s="1029"/>
      <c r="L64" s="1029"/>
      <c r="M64" s="1029"/>
      <c r="N64" s="1029"/>
      <c r="O64" s="1029"/>
      <c r="P64" s="1029"/>
      <c r="Q64" s="307"/>
    </row>
    <row r="65" ht="15.75" customHeight="1">
      <c r="A65" s="829"/>
      <c r="B65" s="636"/>
      <c r="C65" s="830"/>
      <c r="D65" s="831"/>
      <c r="E65" s="832"/>
      <c r="F65" s="832"/>
      <c r="G65" s="832"/>
      <c r="H65" s="933"/>
      <c r="I65" s="1028" t="s">
        <v>2</v>
      </c>
      <c r="J65" s="1028" t="s">
        <v>426</v>
      </c>
      <c r="K65" s="1028" t="s">
        <v>1</v>
      </c>
      <c r="L65" s="1028" t="s">
        <v>427</v>
      </c>
      <c r="M65" s="1028" t="s">
        <v>208</v>
      </c>
      <c r="N65" s="1028" t="s">
        <v>3</v>
      </c>
      <c r="O65" s="1028" t="s">
        <v>4</v>
      </c>
      <c r="P65" s="1028" t="s">
        <v>1772</v>
      </c>
      <c r="Q65" s="781"/>
    </row>
    <row r="66">
      <c r="A66" s="872"/>
      <c r="B66" s="950"/>
      <c r="C66" s="705" t="s">
        <v>1684</v>
      </c>
      <c r="D66" s="934" t="s">
        <v>71</v>
      </c>
      <c r="E66" s="185"/>
      <c r="F66" s="185"/>
      <c r="G66" s="185">
        <v>1.0</v>
      </c>
      <c r="H66" s="840" t="str">
        <f>HYPERLINK("https://d15f34w2p8l1cc.cloudfront.net/hearthstone/a53940f5d1a08062baaa81533ad009244d83290a30ca37ef890530afc89d9b62.png","Image")</f>
        <v>Image</v>
      </c>
      <c r="I66" s="1022"/>
      <c r="J66" s="1022"/>
      <c r="K66" s="1022"/>
      <c r="L66" s="1022"/>
      <c r="M66" s="1022"/>
      <c r="N66" s="1022"/>
      <c r="O66" s="1022"/>
      <c r="P66" s="1023"/>
      <c r="Q66" s="781"/>
    </row>
    <row r="67">
      <c r="A67" s="829"/>
      <c r="B67" s="353"/>
      <c r="C67" s="935" t="s">
        <v>1685</v>
      </c>
      <c r="D67" s="936" t="s">
        <v>1673</v>
      </c>
      <c r="E67" s="855"/>
      <c r="F67" s="855"/>
      <c r="G67" s="855">
        <v>3.0</v>
      </c>
      <c r="H67" s="856" t="str">
        <f>HYPERLINK("https://d15f34w2p8l1cc.cloudfront.net/hearthstone/99816f418dba10ca96ae9d2acdae87c769d2542cefe65f1a474770a3b63451c9.png","Image")</f>
        <v>Image</v>
      </c>
      <c r="I67" s="1024"/>
      <c r="J67" s="1024"/>
      <c r="K67" s="1024"/>
      <c r="L67" s="1024"/>
      <c r="M67" s="1024"/>
      <c r="N67" s="1024"/>
      <c r="O67" s="1024"/>
      <c r="P67" s="1025"/>
      <c r="Q67" s="781"/>
    </row>
    <row r="68">
      <c r="A68" s="829"/>
      <c r="B68" s="632"/>
      <c r="C68" s="937" t="s">
        <v>1686</v>
      </c>
      <c r="D68" s="938"/>
      <c r="E68" s="939">
        <v>2.0</v>
      </c>
      <c r="F68" s="939">
        <v>2.0</v>
      </c>
      <c r="G68" s="939">
        <v>6.0</v>
      </c>
      <c r="H68" s="940" t="str">
        <f>HYPERLINK("https://d15f34w2p8l1cc.cloudfront.net/hearthstone/3e97ec2e24eb3dd19300134cc8208512a3169a60fa5ac3b5b3adec9cd00a2a15.png","Image")</f>
        <v>Image</v>
      </c>
      <c r="I68" s="1032"/>
      <c r="J68" s="1032"/>
      <c r="K68" s="1032"/>
      <c r="L68" s="1032"/>
      <c r="M68" s="1032"/>
      <c r="N68" s="1032"/>
      <c r="O68" s="1024"/>
      <c r="P68" s="1025"/>
      <c r="Q68" s="781"/>
    </row>
    <row r="69">
      <c r="A69" s="829"/>
      <c r="B69" s="639"/>
      <c r="C69" s="941" t="s">
        <v>1687</v>
      </c>
      <c r="D69" s="942" t="s">
        <v>71</v>
      </c>
      <c r="E69" s="943"/>
      <c r="F69" s="943"/>
      <c r="G69" s="943">
        <v>2.0</v>
      </c>
      <c r="H69" s="944" t="str">
        <f>HYPERLINK("https://d15f34w2p8l1cc.cloudfront.net/hearthstone/ad8dd6d06e1a94b637e7428ecc0fde81f14965b017566168b0927e2685be81b8.png","Image")</f>
        <v>Image</v>
      </c>
      <c r="I69" s="1032"/>
      <c r="J69" s="1032"/>
      <c r="K69" s="1032"/>
      <c r="L69" s="1032"/>
      <c r="M69" s="1032"/>
      <c r="N69" s="1032"/>
      <c r="O69" s="1024"/>
      <c r="P69" s="1025"/>
      <c r="Q69" s="781"/>
    </row>
    <row r="70">
      <c r="A70" s="829"/>
      <c r="B70" s="353"/>
      <c r="C70" s="935" t="s">
        <v>1688</v>
      </c>
      <c r="D70" s="936" t="s">
        <v>1638</v>
      </c>
      <c r="E70" s="855">
        <v>1.0</v>
      </c>
      <c r="F70" s="855">
        <v>1.0</v>
      </c>
      <c r="G70" s="855">
        <v>3.0</v>
      </c>
      <c r="H70" s="856" t="str">
        <f>HYPERLINK("https://d15f34w2p8l1cc.cloudfront.net/hearthstone/2309e27aa6e9f5cc7756d039428676c0d354511f95d689a207acd07ef77a1852.png","Image")</f>
        <v>Image</v>
      </c>
      <c r="I70" s="1032"/>
      <c r="J70" s="1032"/>
      <c r="K70" s="1032"/>
      <c r="L70" s="1032"/>
      <c r="M70" s="1032"/>
      <c r="N70" s="1032"/>
      <c r="O70" s="1024"/>
      <c r="P70" s="1025"/>
      <c r="Q70" s="781"/>
    </row>
    <row r="71">
      <c r="A71" s="829"/>
      <c r="B71" s="632"/>
      <c r="C71" s="937" t="s">
        <v>1689</v>
      </c>
      <c r="D71" s="938"/>
      <c r="E71" s="939">
        <v>5.0</v>
      </c>
      <c r="F71" s="939">
        <v>5.0</v>
      </c>
      <c r="G71" s="939">
        <v>5.0</v>
      </c>
      <c r="H71" s="940" t="str">
        <f>HYPERLINK("https://d15f34w2p8l1cc.cloudfront.net/hearthstone/0b474a322695b0ffe7ca93235a403955e1399b0d65edf899fa694e9a47f7d3de.png","Image")</f>
        <v>Image</v>
      </c>
      <c r="I71" s="1024"/>
      <c r="J71" s="1024"/>
      <c r="K71" s="1024"/>
      <c r="L71" s="1024"/>
      <c r="M71" s="1024"/>
      <c r="N71" s="1024"/>
      <c r="O71" s="1024"/>
      <c r="P71" s="1025"/>
      <c r="Q71" s="781"/>
    </row>
    <row r="72">
      <c r="A72" s="829"/>
      <c r="B72" s="793"/>
      <c r="C72" s="941" t="s">
        <v>1690</v>
      </c>
      <c r="D72" s="942" t="s">
        <v>71</v>
      </c>
      <c r="E72" s="943"/>
      <c r="F72" s="943"/>
      <c r="G72" s="943">
        <v>3.0</v>
      </c>
      <c r="H72" s="944" t="str">
        <f>HYPERLINK("https://d15f34w2p8l1cc.cloudfront.net/hearthstone/ed294f1573909e4fda05aa00f2eb5bb2b6781fc4e33a6caecbc1c5c7df9aa3f1.png","Image")</f>
        <v>Image</v>
      </c>
      <c r="I72" s="1024"/>
      <c r="J72" s="1024"/>
      <c r="K72" s="1024"/>
      <c r="L72" s="1024"/>
      <c r="M72" s="1024"/>
      <c r="N72" s="1024"/>
      <c r="O72" s="1024"/>
      <c r="P72" s="1025"/>
      <c r="Q72" s="781"/>
    </row>
    <row r="73">
      <c r="A73" s="872"/>
      <c r="B73" s="632"/>
      <c r="C73" s="937" t="s">
        <v>1691</v>
      </c>
      <c r="D73" s="938"/>
      <c r="E73" s="939">
        <v>5.0</v>
      </c>
      <c r="F73" s="939">
        <v>4.0</v>
      </c>
      <c r="G73" s="939">
        <v>4.0</v>
      </c>
      <c r="H73" s="940" t="str">
        <f>HYPERLINK("https://d15f34w2p8l1cc.cloudfront.net/hearthstone/60158e51f022fca818b5de1c6b1af6b63225a4ff2404dee58e3b0c6329676f5b.png","Image")</f>
        <v>Image</v>
      </c>
      <c r="I73" s="1024"/>
      <c r="J73" s="1024"/>
      <c r="K73" s="1024"/>
      <c r="L73" s="1024"/>
      <c r="M73" s="1024"/>
      <c r="N73" s="1024"/>
      <c r="O73" s="1024"/>
      <c r="P73" s="1025"/>
      <c r="Q73" s="781"/>
    </row>
    <row r="74" ht="17.25" customHeight="1">
      <c r="A74" s="829"/>
      <c r="B74" s="794"/>
      <c r="C74" s="941" t="s">
        <v>1692</v>
      </c>
      <c r="D74" s="942" t="s">
        <v>1682</v>
      </c>
      <c r="E74" s="943"/>
      <c r="F74" s="943"/>
      <c r="G74" s="943">
        <v>7.0</v>
      </c>
      <c r="H74" s="944" t="str">
        <f>HYPERLINK("https://d15f34w2p8l1cc.cloudfront.net/hearthstone/cc25b4e8382ac9ff9f8dcdaf490d5f89ac869003d39e4e7decee0e9e4b05ba8e.png","Image")</f>
        <v>Image</v>
      </c>
      <c r="I74" s="1024"/>
      <c r="J74" s="1024"/>
      <c r="K74" s="1024"/>
      <c r="L74" s="1024"/>
      <c r="M74" s="1024"/>
      <c r="N74" s="1024"/>
      <c r="O74" s="1024"/>
      <c r="P74" s="1025"/>
      <c r="Q74" s="781"/>
    </row>
    <row r="75">
      <c r="A75" s="872"/>
      <c r="B75" s="353"/>
      <c r="C75" s="945" t="s">
        <v>1693</v>
      </c>
      <c r="D75" s="946"/>
      <c r="E75" s="947">
        <v>4.0</v>
      </c>
      <c r="F75" s="948">
        <v>4.0</v>
      </c>
      <c r="G75" s="947">
        <v>7.0</v>
      </c>
      <c r="H75" s="949" t="str">
        <f>HYPERLINK("https://d15f34w2p8l1cc.cloudfront.net/hearthstone/e1997772db07b331aee6f87cd2694cbf3ceafb8cc1620b461c83b0065ea25a0c.png","Image")</f>
        <v>Image</v>
      </c>
      <c r="I75" s="1024"/>
      <c r="J75" s="1024"/>
      <c r="K75" s="1024"/>
      <c r="L75" s="1024"/>
      <c r="M75" s="1024"/>
      <c r="N75" s="1024"/>
      <c r="O75" s="1024"/>
      <c r="P75" s="1025"/>
      <c r="Q75" s="781"/>
    </row>
    <row r="76">
      <c r="A76" s="829"/>
      <c r="B76" s="355"/>
      <c r="C76" s="864" t="s">
        <v>1694</v>
      </c>
      <c r="D76" s="865" t="s">
        <v>43</v>
      </c>
      <c r="E76" s="859">
        <v>4.0</v>
      </c>
      <c r="F76" s="859">
        <v>12.0</v>
      </c>
      <c r="G76" s="859">
        <v>8.0</v>
      </c>
      <c r="H76" s="860" t="str">
        <f>HYPERLINK("https://d15f34w2p8l1cc.cloudfront.net/hearthstone/4276d5050bce672d3a3cc96315be8c6166ae17dc2e9868095018787763df5d86.png","Image")</f>
        <v>Image</v>
      </c>
      <c r="I76" s="1026"/>
      <c r="J76" s="1026"/>
      <c r="K76" s="1026"/>
      <c r="L76" s="1026"/>
      <c r="M76" s="1026"/>
      <c r="N76" s="1026"/>
      <c r="O76" s="1026"/>
      <c r="P76" s="1027"/>
      <c r="Q76" s="781"/>
    </row>
    <row r="77">
      <c r="A77" s="823"/>
      <c r="B77" s="605"/>
      <c r="C77" s="195" t="s">
        <v>109</v>
      </c>
      <c r="D77" s="82"/>
      <c r="E77" s="82"/>
      <c r="F77" s="82"/>
      <c r="G77" s="82"/>
      <c r="H77" s="96"/>
      <c r="I77" s="1029"/>
      <c r="J77" s="1029"/>
      <c r="K77" s="1029"/>
      <c r="L77" s="1029"/>
      <c r="M77" s="1029"/>
      <c r="N77" s="1029"/>
      <c r="O77" s="1029"/>
      <c r="P77" s="1029"/>
      <c r="Q77" s="307"/>
    </row>
    <row r="78" ht="15.75" customHeight="1">
      <c r="A78" s="829"/>
      <c r="B78" s="636"/>
      <c r="C78" s="830"/>
      <c r="D78" s="831"/>
      <c r="E78" s="832"/>
      <c r="F78" s="832"/>
      <c r="G78" s="832"/>
      <c r="H78" s="933"/>
      <c r="I78" s="1028" t="s">
        <v>2</v>
      </c>
      <c r="J78" s="1028" t="s">
        <v>426</v>
      </c>
      <c r="K78" s="1028" t="s">
        <v>1</v>
      </c>
      <c r="L78" s="1028" t="s">
        <v>427</v>
      </c>
      <c r="M78" s="1028" t="s">
        <v>208</v>
      </c>
      <c r="N78" s="1028" t="s">
        <v>3</v>
      </c>
      <c r="O78" s="1028" t="s">
        <v>4</v>
      </c>
      <c r="P78" s="1028" t="s">
        <v>1772</v>
      </c>
      <c r="Q78" s="781"/>
    </row>
    <row r="79">
      <c r="A79" s="829"/>
      <c r="B79" s="950"/>
      <c r="C79" s="705" t="s">
        <v>1695</v>
      </c>
      <c r="D79" s="934" t="s">
        <v>1673</v>
      </c>
      <c r="E79" s="185"/>
      <c r="F79" s="185"/>
      <c r="G79" s="185">
        <v>1.0</v>
      </c>
      <c r="H79" s="840" t="str">
        <f>HYPERLINK("https://d15f34w2p8l1cc.cloudfront.net/hearthstone/b28469246ff22e6cb4113ef5c97915aecea674c0c5a9ad8db198d42fc8e8ffbb.png","Image")</f>
        <v>Image</v>
      </c>
      <c r="I79" s="1022"/>
      <c r="J79" s="1022"/>
      <c r="K79" s="1022"/>
      <c r="L79" s="1022"/>
      <c r="M79" s="1022"/>
      <c r="N79" s="1022"/>
      <c r="O79" s="1022"/>
      <c r="P79" s="1023"/>
      <c r="Q79" s="781"/>
    </row>
    <row r="80">
      <c r="A80" s="829"/>
      <c r="B80" s="353"/>
      <c r="C80" s="935" t="s">
        <v>1696</v>
      </c>
      <c r="D80" s="936" t="s">
        <v>27</v>
      </c>
      <c r="E80" s="855">
        <v>1.0</v>
      </c>
      <c r="F80" s="855">
        <v>3.0</v>
      </c>
      <c r="G80" s="855">
        <v>1.0</v>
      </c>
      <c r="H80" s="856" t="str">
        <f>HYPERLINK("https://d15f34w2p8l1cc.cloudfront.net/hearthstone/6c9c36c941668947823de6539955581795b6d848f2894e3db52209f7c87039aa.png","Image")</f>
        <v>Image</v>
      </c>
      <c r="I80" s="1024"/>
      <c r="J80" s="1024"/>
      <c r="K80" s="1024"/>
      <c r="L80" s="1024"/>
      <c r="M80" s="1024"/>
      <c r="N80" s="1024"/>
      <c r="O80" s="1024"/>
      <c r="P80" s="1025"/>
      <c r="Q80" s="781"/>
    </row>
    <row r="81">
      <c r="A81" s="829"/>
      <c r="B81" s="632"/>
      <c r="C81" s="937" t="s">
        <v>1697</v>
      </c>
      <c r="D81" s="938" t="s">
        <v>43</v>
      </c>
      <c r="E81" s="939">
        <v>5.0</v>
      </c>
      <c r="F81" s="939">
        <v>7.0</v>
      </c>
      <c r="G81" s="939">
        <v>4.0</v>
      </c>
      <c r="H81" s="940" t="str">
        <f>HYPERLINK("https://d15f34w2p8l1cc.cloudfront.net/hearthstone/68fbc08cb3491460924d16b1dd9b7e1107345843ab7564c46323690e96a804dd.png","Image")</f>
        <v>Image</v>
      </c>
      <c r="I81" s="1032"/>
      <c r="J81" s="1032"/>
      <c r="K81" s="1032"/>
      <c r="L81" s="1032"/>
      <c r="M81" s="1032"/>
      <c r="N81" s="1032"/>
      <c r="O81" s="1024"/>
      <c r="P81" s="1025"/>
      <c r="Q81" s="781"/>
    </row>
    <row r="82">
      <c r="A82" s="829"/>
      <c r="B82" s="639"/>
      <c r="C82" s="941" t="s">
        <v>1698</v>
      </c>
      <c r="D82" s="942" t="s">
        <v>71</v>
      </c>
      <c r="E82" s="943"/>
      <c r="F82" s="943"/>
      <c r="G82" s="943">
        <v>1.0</v>
      </c>
      <c r="H82" s="944" t="str">
        <f>HYPERLINK("https://d15f34w2p8l1cc.cloudfront.net/hearthstone/810ca71e022653c83999b6e1601075198f17e1a09fdfe934b89ab0071b451a09.png","Image")</f>
        <v>Image</v>
      </c>
      <c r="I82" s="1032"/>
      <c r="J82" s="1032"/>
      <c r="K82" s="1032"/>
      <c r="L82" s="1032"/>
      <c r="M82" s="1032"/>
      <c r="N82" s="1032"/>
      <c r="O82" s="1024"/>
      <c r="P82" s="1025"/>
      <c r="Q82" s="781"/>
    </row>
    <row r="83">
      <c r="A83" s="829"/>
      <c r="B83" s="353"/>
      <c r="C83" s="935" t="s">
        <v>1699</v>
      </c>
      <c r="D83" s="936" t="s">
        <v>71</v>
      </c>
      <c r="E83" s="855"/>
      <c r="F83" s="855"/>
      <c r="G83" s="855">
        <v>3.0</v>
      </c>
      <c r="H83" s="856" t="str">
        <f>HYPERLINK("https://d15f34w2p8l1cc.cloudfront.net/hearthstone/b74212915bc923b0694fe2ba3c5596b636fe52d2958866da89a37758202e5e5f.png","Image")</f>
        <v>Image</v>
      </c>
      <c r="I83" s="1032"/>
      <c r="J83" s="1032"/>
      <c r="K83" s="1032"/>
      <c r="L83" s="1032"/>
      <c r="M83" s="1032"/>
      <c r="N83" s="1032"/>
      <c r="O83" s="1024"/>
      <c r="P83" s="1025"/>
      <c r="Q83" s="781"/>
    </row>
    <row r="84">
      <c r="A84" s="829"/>
      <c r="B84" s="632"/>
      <c r="C84" s="937" t="s">
        <v>1700</v>
      </c>
      <c r="D84" s="938" t="s">
        <v>1638</v>
      </c>
      <c r="E84" s="939">
        <v>3.0</v>
      </c>
      <c r="F84" s="939">
        <v>3.0</v>
      </c>
      <c r="G84" s="939">
        <v>5.0</v>
      </c>
      <c r="H84" s="940" t="str">
        <f>HYPERLINK("https://d15f34w2p8l1cc.cloudfront.net/hearthstone/6e9762d10f063d6941bdcb46b802c6775e06788cc0abedc2fd50dcb236982b0d.png","Image")</f>
        <v>Image</v>
      </c>
      <c r="I84" s="1024"/>
      <c r="J84" s="1024"/>
      <c r="K84" s="1024"/>
      <c r="L84" s="1024"/>
      <c r="M84" s="1024"/>
      <c r="N84" s="1024"/>
      <c r="O84" s="1024"/>
      <c r="P84" s="1025"/>
      <c r="Q84" s="781"/>
    </row>
    <row r="85">
      <c r="A85" s="872"/>
      <c r="B85" s="793"/>
      <c r="C85" s="941" t="s">
        <v>1701</v>
      </c>
      <c r="D85" s="942" t="s">
        <v>27</v>
      </c>
      <c r="E85" s="943">
        <v>5.0</v>
      </c>
      <c r="F85" s="943">
        <v>5.0</v>
      </c>
      <c r="G85" s="943">
        <v>5.0</v>
      </c>
      <c r="H85" s="944" t="str">
        <f>HYPERLINK("https://d15f34w2p8l1cc.cloudfront.net/hearthstone/3c0bd81760dccc3fcdabc646a5d84886eeaf6b0a49a80a9a9464a62cf8d0db04.png","Image")</f>
        <v>Image</v>
      </c>
      <c r="I85" s="1024"/>
      <c r="J85" s="1024"/>
      <c r="K85" s="1024"/>
      <c r="L85" s="1024"/>
      <c r="M85" s="1024"/>
      <c r="N85" s="1024"/>
      <c r="O85" s="1024"/>
      <c r="P85" s="1025"/>
      <c r="Q85" s="781"/>
    </row>
    <row r="86">
      <c r="A86" s="872"/>
      <c r="B86" s="632"/>
      <c r="C86" s="937" t="s">
        <v>1702</v>
      </c>
      <c r="D86" s="938" t="s">
        <v>71</v>
      </c>
      <c r="E86" s="939"/>
      <c r="F86" s="939"/>
      <c r="G86" s="939">
        <v>5.0</v>
      </c>
      <c r="H86" s="940" t="str">
        <f>HYPERLINK("https://d15f34w2p8l1cc.cloudfront.net/hearthstone/c07c6b4813de884e1bb49745404ef383fd02530554dee3b67c91fa6873a67662.png","Image")</f>
        <v>Image</v>
      </c>
      <c r="I86" s="1024"/>
      <c r="J86" s="1024"/>
      <c r="K86" s="1024"/>
      <c r="L86" s="1024"/>
      <c r="M86" s="1024"/>
      <c r="N86" s="1024"/>
      <c r="O86" s="1024"/>
      <c r="P86" s="1025"/>
      <c r="Q86" s="781"/>
    </row>
    <row r="87">
      <c r="A87" s="829"/>
      <c r="B87" s="794"/>
      <c r="C87" s="941" t="s">
        <v>1703</v>
      </c>
      <c r="D87" s="942"/>
      <c r="E87" s="943">
        <v>5.0</v>
      </c>
      <c r="F87" s="943">
        <v>5.0</v>
      </c>
      <c r="G87" s="943">
        <v>5.0</v>
      </c>
      <c r="H87" s="944" t="str">
        <f>HYPERLINK("https://d15f34w2p8l1cc.cloudfront.net/hearthstone/535021e229a2aec5cba71c28d62d49790f52e6b2374ca2d46b9648363039f144.png","Image")</f>
        <v>Image</v>
      </c>
      <c r="I87" s="1024"/>
      <c r="J87" s="1024"/>
      <c r="K87" s="1024"/>
      <c r="L87" s="1024"/>
      <c r="M87" s="1024"/>
      <c r="N87" s="1024"/>
      <c r="O87" s="1024"/>
      <c r="P87" s="1025"/>
      <c r="Q87" s="781"/>
    </row>
    <row r="88">
      <c r="A88" s="872"/>
      <c r="B88" s="353"/>
      <c r="C88" s="945" t="s">
        <v>1704</v>
      </c>
      <c r="D88" s="946" t="s">
        <v>43</v>
      </c>
      <c r="E88" s="947">
        <v>5.0</v>
      </c>
      <c r="F88" s="948">
        <v>5.0</v>
      </c>
      <c r="G88" s="947">
        <v>6.0</v>
      </c>
      <c r="H88" s="949" t="str">
        <f>HYPERLINK("https://d15f34w2p8l1cc.cloudfront.net/hearthstone/312b28e61c02c54051cae4b81e0b40bb4ae66c264ac6598baf449af9e4fb229c.png","Image")</f>
        <v>Image</v>
      </c>
      <c r="I88" s="1024"/>
      <c r="J88" s="1024"/>
      <c r="K88" s="1024"/>
      <c r="L88" s="1024"/>
      <c r="M88" s="1024"/>
      <c r="N88" s="1024"/>
      <c r="O88" s="1024"/>
      <c r="P88" s="1025"/>
      <c r="Q88" s="781"/>
    </row>
    <row r="89">
      <c r="A89" s="829"/>
      <c r="B89" s="355"/>
      <c r="C89" s="864" t="s">
        <v>1705</v>
      </c>
      <c r="D89" s="865" t="s">
        <v>1682</v>
      </c>
      <c r="E89" s="859"/>
      <c r="F89" s="859"/>
      <c r="G89" s="859">
        <v>7.0</v>
      </c>
      <c r="H89" s="860" t="str">
        <f>HYPERLINK("https://d15f34w2p8l1cc.cloudfront.net/hearthstone/8081ef339e9ac987800f5e7580275aeb6e4829238f8bc1ec13cd625d2e9161d6.png","Image")</f>
        <v>Image</v>
      </c>
      <c r="I89" s="1026"/>
      <c r="J89" s="1026"/>
      <c r="K89" s="1026"/>
      <c r="L89" s="1026"/>
      <c r="M89" s="1026"/>
      <c r="N89" s="1026"/>
      <c r="O89" s="1026"/>
      <c r="P89" s="1027"/>
      <c r="Q89" s="781"/>
    </row>
    <row r="90">
      <c r="A90" s="823"/>
      <c r="B90" s="605"/>
      <c r="C90" s="195" t="s">
        <v>123</v>
      </c>
      <c r="D90" s="82"/>
      <c r="E90" s="82"/>
      <c r="F90" s="82"/>
      <c r="G90" s="82"/>
      <c r="H90" s="96"/>
      <c r="I90" s="1029"/>
      <c r="J90" s="1029"/>
      <c r="K90" s="1029"/>
      <c r="L90" s="1029"/>
      <c r="M90" s="1029"/>
      <c r="N90" s="1029"/>
      <c r="O90" s="1029"/>
      <c r="P90" s="1029"/>
      <c r="Q90" s="307"/>
    </row>
    <row r="91" ht="15.75" customHeight="1">
      <c r="A91" s="829"/>
      <c r="B91" s="636"/>
      <c r="C91" s="830"/>
      <c r="D91" s="831"/>
      <c r="E91" s="832"/>
      <c r="F91" s="832"/>
      <c r="G91" s="832"/>
      <c r="H91" s="933"/>
      <c r="I91" s="1028" t="s">
        <v>2</v>
      </c>
      <c r="J91" s="1028" t="s">
        <v>426</v>
      </c>
      <c r="K91" s="1028" t="s">
        <v>1</v>
      </c>
      <c r="L91" s="1028" t="s">
        <v>427</v>
      </c>
      <c r="M91" s="1028" t="s">
        <v>208</v>
      </c>
      <c r="N91" s="1028" t="s">
        <v>3</v>
      </c>
      <c r="O91" s="1028" t="s">
        <v>4</v>
      </c>
      <c r="P91" s="1028" t="s">
        <v>1772</v>
      </c>
      <c r="Q91" s="781"/>
    </row>
    <row r="92">
      <c r="A92" s="829"/>
      <c r="B92" s="950"/>
      <c r="C92" s="705" t="s">
        <v>1706</v>
      </c>
      <c r="D92" s="934" t="s">
        <v>60</v>
      </c>
      <c r="E92" s="185">
        <v>1.0</v>
      </c>
      <c r="F92" s="185">
        <v>1.0</v>
      </c>
      <c r="G92" s="185">
        <v>1.0</v>
      </c>
      <c r="H92" s="840" t="str">
        <f>HYPERLINK("https://d15f34w2p8l1cc.cloudfront.net/hearthstone/b0e6bb6593037d6c6ce7e21952f7d02dd223e70d2f521d5b65a9a5ad38815619.png","Image")</f>
        <v>Image</v>
      </c>
      <c r="I92" s="1022"/>
      <c r="J92" s="1022"/>
      <c r="K92" s="1022"/>
      <c r="L92" s="1022"/>
      <c r="M92" s="1022"/>
      <c r="N92" s="1022"/>
      <c r="O92" s="1022"/>
      <c r="P92" s="1023"/>
      <c r="Q92" s="781"/>
    </row>
    <row r="93">
      <c r="A93" s="829"/>
      <c r="B93" s="353"/>
      <c r="C93" s="935" t="s">
        <v>1707</v>
      </c>
      <c r="D93" s="936" t="s">
        <v>1673</v>
      </c>
      <c r="E93" s="855"/>
      <c r="F93" s="855"/>
      <c r="G93" s="855">
        <v>1.0</v>
      </c>
      <c r="H93" s="856" t="str">
        <f>HYPERLINK("https://d15f34w2p8l1cc.cloudfront.net/hearthstone/41e2d8fb352962f05c7e06331b96ffde683a269a91773e3636693fb9832e72d3.png","Image")</f>
        <v>Image</v>
      </c>
      <c r="I93" s="1024"/>
      <c r="J93" s="1024"/>
      <c r="K93" s="1024"/>
      <c r="L93" s="1024"/>
      <c r="M93" s="1024"/>
      <c r="N93" s="1024"/>
      <c r="O93" s="1024"/>
      <c r="P93" s="1025"/>
      <c r="Q93" s="781"/>
    </row>
    <row r="94">
      <c r="A94" s="829"/>
      <c r="B94" s="632"/>
      <c r="C94" s="937" t="s">
        <v>1708</v>
      </c>
      <c r="D94" s="938" t="s">
        <v>71</v>
      </c>
      <c r="E94" s="939"/>
      <c r="F94" s="939"/>
      <c r="G94" s="939">
        <v>6.0</v>
      </c>
      <c r="H94" s="940" t="str">
        <f>HYPERLINK("https://d15f34w2p8l1cc.cloudfront.net/hearthstone/1c53e08125b01d67fb76adb3adb21e35cfbbfe74f677279c1ef120f8854ad338.png","Image")</f>
        <v>Image</v>
      </c>
      <c r="I94" s="1032"/>
      <c r="J94" s="1032"/>
      <c r="K94" s="1032"/>
      <c r="L94" s="1032"/>
      <c r="M94" s="1032"/>
      <c r="N94" s="1032"/>
      <c r="O94" s="1024"/>
      <c r="P94" s="1025"/>
      <c r="Q94" s="781"/>
    </row>
    <row r="95">
      <c r="A95" s="829"/>
      <c r="B95" s="639"/>
      <c r="C95" s="941" t="s">
        <v>1709</v>
      </c>
      <c r="D95" s="942" t="s">
        <v>71</v>
      </c>
      <c r="E95" s="943"/>
      <c r="F95" s="943"/>
      <c r="G95" s="943">
        <v>1.0</v>
      </c>
      <c r="H95" s="944" t="str">
        <f>HYPERLINK("https://d15f34w2p8l1cc.cloudfront.net/hearthstone/6342dc1b16cd9896621b61a304eb44e6c5cee23f605a59790ed14747d18fbff9.png","Image")</f>
        <v>Image</v>
      </c>
      <c r="I95" s="1032"/>
      <c r="J95" s="1032"/>
      <c r="K95" s="1032"/>
      <c r="L95" s="1032"/>
      <c r="M95" s="1032"/>
      <c r="N95" s="1032"/>
      <c r="O95" s="1024"/>
      <c r="P95" s="1025"/>
      <c r="Q95" s="781"/>
    </row>
    <row r="96">
      <c r="A96" s="829"/>
      <c r="B96" s="353"/>
      <c r="C96" s="935" t="s">
        <v>1710</v>
      </c>
      <c r="D96" s="936" t="s">
        <v>1673</v>
      </c>
      <c r="E96" s="855"/>
      <c r="F96" s="855"/>
      <c r="G96" s="855">
        <v>3.0</v>
      </c>
      <c r="H96" s="856" t="str">
        <f>HYPERLINK("https://d15f34w2p8l1cc.cloudfront.net/hearthstone/194fe34e1348242f9589aa0241ebe2037078c768cbde9ef7567e13481d000ac6.png","Image")</f>
        <v>Image</v>
      </c>
      <c r="I96" s="1032"/>
      <c r="J96" s="1032"/>
      <c r="K96" s="1032"/>
      <c r="L96" s="1032"/>
      <c r="M96" s="1032"/>
      <c r="N96" s="1032"/>
      <c r="O96" s="1024"/>
      <c r="P96" s="1025"/>
      <c r="Q96" s="781"/>
    </row>
    <row r="97">
      <c r="A97" s="872"/>
      <c r="B97" s="632"/>
      <c r="C97" s="937" t="s">
        <v>1711</v>
      </c>
      <c r="D97" s="938"/>
      <c r="E97" s="939">
        <v>4.0</v>
      </c>
      <c r="F97" s="939">
        <v>4.0</v>
      </c>
      <c r="G97" s="939">
        <v>5.0</v>
      </c>
      <c r="H97" s="940" t="str">
        <f>HYPERLINK("https://d15f34w2p8l1cc.cloudfront.net/hearthstone/42192938e02f0adb12336bb4b9aa17b3dfaeb2947e03efa146614320316aee61.png","Image")</f>
        <v>Image</v>
      </c>
      <c r="I97" s="1024"/>
      <c r="J97" s="1024"/>
      <c r="K97" s="1024"/>
      <c r="L97" s="1024"/>
      <c r="M97" s="1024"/>
      <c r="N97" s="1024"/>
      <c r="O97" s="1024"/>
      <c r="P97" s="1025"/>
      <c r="Q97" s="781"/>
    </row>
    <row r="98">
      <c r="A98" s="829"/>
      <c r="B98" s="793"/>
      <c r="C98" s="941" t="s">
        <v>1712</v>
      </c>
      <c r="D98" s="942"/>
      <c r="E98" s="943">
        <v>2.0</v>
      </c>
      <c r="F98" s="943">
        <v>5.0</v>
      </c>
      <c r="G98" s="943">
        <v>4.0</v>
      </c>
      <c r="H98" s="944" t="str">
        <f>HYPERLINK("https://d15f34w2p8l1cc.cloudfront.net/hearthstone/9accbde3a60a1afd91cd0cdc61b039d89543a58f38021b68a098bfa010f0ab0c.png","Image")</f>
        <v>Image</v>
      </c>
      <c r="I98" s="1024"/>
      <c r="J98" s="1024"/>
      <c r="K98" s="1024"/>
      <c r="L98" s="1024"/>
      <c r="M98" s="1024"/>
      <c r="N98" s="1024"/>
      <c r="O98" s="1024"/>
      <c r="P98" s="1025"/>
      <c r="Q98" s="781"/>
    </row>
    <row r="99">
      <c r="A99" s="829"/>
      <c r="B99" s="632"/>
      <c r="C99" s="937" t="s">
        <v>1713</v>
      </c>
      <c r="D99" s="938"/>
      <c r="E99" s="939">
        <v>3.0</v>
      </c>
      <c r="F99" s="939">
        <v>3.0</v>
      </c>
      <c r="G99" s="939">
        <v>4.0</v>
      </c>
      <c r="H99" s="940" t="str">
        <f>HYPERLINK("https://d15f34w2p8l1cc.cloudfront.net/hearthstone/0518dd7a2749babafbf626d5075e4be163a006d772b99a1681cbf95a33a95343.png","Image")</f>
        <v>Image</v>
      </c>
      <c r="I99" s="1024"/>
      <c r="J99" s="1024"/>
      <c r="K99" s="1024"/>
      <c r="L99" s="1024"/>
      <c r="M99" s="1024"/>
      <c r="N99" s="1024"/>
      <c r="O99" s="1024"/>
      <c r="P99" s="1025"/>
      <c r="Q99" s="781"/>
    </row>
    <row r="100">
      <c r="A100" s="829"/>
      <c r="B100" s="794"/>
      <c r="C100" s="941" t="s">
        <v>1714</v>
      </c>
      <c r="D100" s="942" t="s">
        <v>43</v>
      </c>
      <c r="E100" s="943">
        <v>7.0</v>
      </c>
      <c r="F100" s="943">
        <v>5.0</v>
      </c>
      <c r="G100" s="943">
        <v>5.0</v>
      </c>
      <c r="H100" s="944" t="str">
        <f>HYPERLINK("https://d15f34w2p8l1cc.cloudfront.net/hearthstone/dd355fb6e8c48be0f441f90ec246cb73a798afb1f3dd6951695f48792376e7ca.png","Image")</f>
        <v>Image</v>
      </c>
      <c r="I100" s="1024"/>
      <c r="J100" s="1024"/>
      <c r="K100" s="1024"/>
      <c r="L100" s="1024"/>
      <c r="M100" s="1024"/>
      <c r="N100" s="1024"/>
      <c r="O100" s="1024"/>
      <c r="P100" s="1025"/>
      <c r="Q100" s="781"/>
    </row>
    <row r="101">
      <c r="A101" s="829"/>
      <c r="B101" s="353"/>
      <c r="C101" s="945" t="s">
        <v>1715</v>
      </c>
      <c r="D101" s="946"/>
      <c r="E101" s="947">
        <v>4.0</v>
      </c>
      <c r="F101" s="948">
        <v>4.0</v>
      </c>
      <c r="G101" s="947">
        <v>6.0</v>
      </c>
      <c r="H101" s="949" t="str">
        <f>HYPERLINK("https://d15f34w2p8l1cc.cloudfront.net/hearthstone/afe616b2d28f7fe192c755ff880c1dc27431ef4c83b3ecfa969a587649ae9644.png","Image")</f>
        <v>Image</v>
      </c>
      <c r="I101" s="1024"/>
      <c r="J101" s="1024"/>
      <c r="K101" s="1024"/>
      <c r="L101" s="1024"/>
      <c r="M101" s="1024"/>
      <c r="N101" s="1024"/>
      <c r="O101" s="1024"/>
      <c r="P101" s="1025"/>
      <c r="Q101" s="781"/>
    </row>
    <row r="102">
      <c r="A102" s="829"/>
      <c r="B102" s="355"/>
      <c r="C102" s="864" t="s">
        <v>1716</v>
      </c>
      <c r="D102" s="865" t="s">
        <v>1682</v>
      </c>
      <c r="E102" s="859"/>
      <c r="F102" s="859"/>
      <c r="G102" s="859">
        <v>7.0</v>
      </c>
      <c r="H102" s="860" t="str">
        <f>HYPERLINK("https://d15f34w2p8l1cc.cloudfront.net/hearthstone/c475a2ac5dc4a3a6c8240ed8f10a1c25952d3736533eb532c539d75dca905e45.png","Image")</f>
        <v>Image</v>
      </c>
      <c r="I102" s="1026"/>
      <c r="J102" s="1026"/>
      <c r="K102" s="1026"/>
      <c r="L102" s="1026"/>
      <c r="M102" s="1026"/>
      <c r="N102" s="1026"/>
      <c r="O102" s="1026"/>
      <c r="P102" s="1027"/>
      <c r="Q102" s="781"/>
    </row>
    <row r="103">
      <c r="A103" s="823"/>
      <c r="B103" s="605"/>
      <c r="C103" s="195" t="s">
        <v>135</v>
      </c>
      <c r="D103" s="82"/>
      <c r="E103" s="82"/>
      <c r="F103" s="82"/>
      <c r="G103" s="82"/>
      <c r="H103" s="96"/>
      <c r="I103" s="1029"/>
      <c r="J103" s="1029"/>
      <c r="K103" s="1029"/>
      <c r="L103" s="1029"/>
      <c r="M103" s="1029"/>
      <c r="N103" s="1029"/>
      <c r="O103" s="1029"/>
      <c r="P103" s="1029"/>
      <c r="Q103" s="307"/>
    </row>
    <row r="104" ht="15.75" customHeight="1">
      <c r="A104" s="872"/>
      <c r="B104" s="636"/>
      <c r="C104" s="830"/>
      <c r="D104" s="831"/>
      <c r="E104" s="832"/>
      <c r="F104" s="832"/>
      <c r="G104" s="832"/>
      <c r="H104" s="933"/>
      <c r="I104" s="1030" t="s">
        <v>2</v>
      </c>
      <c r="J104" s="1030" t="s">
        <v>426</v>
      </c>
      <c r="K104" s="1030" t="s">
        <v>1</v>
      </c>
      <c r="L104" s="1030" t="s">
        <v>427</v>
      </c>
      <c r="M104" s="1030" t="s">
        <v>208</v>
      </c>
      <c r="N104" s="1030" t="s">
        <v>3</v>
      </c>
      <c r="O104" s="1030" t="s">
        <v>4</v>
      </c>
      <c r="P104" s="1030" t="s">
        <v>1772</v>
      </c>
      <c r="Q104" s="781"/>
    </row>
    <row r="105">
      <c r="A105" s="872"/>
      <c r="B105" s="950"/>
      <c r="C105" s="953" t="s">
        <v>1717</v>
      </c>
      <c r="D105" s="934" t="s">
        <v>1718</v>
      </c>
      <c r="E105" s="185"/>
      <c r="F105" s="185"/>
      <c r="G105" s="185">
        <v>1.0</v>
      </c>
      <c r="H105" s="954" t="str">
        <f>HYPERLINK("https://d15f34w2p8l1cc.cloudfront.net/hearthstone/8a94f59995c69c494ed9329e7ca96aa4148faa71d58082e5fb261fc0a1c80339.png","Image")</f>
        <v>Image</v>
      </c>
      <c r="I105" s="1022"/>
      <c r="J105" s="1022"/>
      <c r="K105" s="1022"/>
      <c r="L105" s="1022"/>
      <c r="M105" s="1022"/>
      <c r="N105" s="1022"/>
      <c r="O105" s="1022"/>
      <c r="P105" s="1023"/>
      <c r="Q105" s="781"/>
    </row>
    <row r="106">
      <c r="A106" s="829"/>
      <c r="B106" s="353"/>
      <c r="C106" s="955" t="s">
        <v>1719</v>
      </c>
      <c r="D106" s="936"/>
      <c r="E106" s="855">
        <v>1.0</v>
      </c>
      <c r="F106" s="855">
        <v>1.0</v>
      </c>
      <c r="G106" s="855">
        <v>2.0</v>
      </c>
      <c r="H106" s="956" t="str">
        <f>HYPERLINK("https://d15f34w2p8l1cc.cloudfront.net/hearthstone/e6e2f6589bcd60d1b5b9eb1c176bba66013bb50e14696ee8e7e4d4166533abbe.png","Image")</f>
        <v>Image</v>
      </c>
      <c r="I106" s="1024"/>
      <c r="J106" s="1024"/>
      <c r="K106" s="1024"/>
      <c r="L106" s="1024"/>
      <c r="M106" s="1024"/>
      <c r="N106" s="1024"/>
      <c r="O106" s="1024"/>
      <c r="P106" s="1025"/>
      <c r="Q106" s="781"/>
    </row>
    <row r="107">
      <c r="A107" s="872"/>
      <c r="B107" s="353"/>
      <c r="C107" s="957" t="s">
        <v>1720</v>
      </c>
      <c r="D107" s="938" t="s">
        <v>43</v>
      </c>
      <c r="E107" s="939">
        <v>4.0</v>
      </c>
      <c r="F107" s="939">
        <v>8.0</v>
      </c>
      <c r="G107" s="939">
        <v>6.0</v>
      </c>
      <c r="H107" s="958" t="str">
        <f>HYPERLINK("https://d15f34w2p8l1cc.cloudfront.net/hearthstone/a29fb5768833726adaf196f592c65926806c967fffe7a3e309289c4e7ee806a9.png","Image")</f>
        <v>Image</v>
      </c>
      <c r="I107" s="1032"/>
      <c r="J107" s="1032"/>
      <c r="K107" s="1032"/>
      <c r="L107" s="1032"/>
      <c r="M107" s="1032"/>
      <c r="N107" s="1032"/>
      <c r="O107" s="1024"/>
      <c r="P107" s="1025"/>
      <c r="Q107" s="781"/>
    </row>
    <row r="108">
      <c r="A108" s="829"/>
      <c r="B108" s="637"/>
      <c r="C108" s="959" t="s">
        <v>1721</v>
      </c>
      <c r="D108" s="942" t="s">
        <v>71</v>
      </c>
      <c r="E108" s="943"/>
      <c r="F108" s="943"/>
      <c r="G108" s="943">
        <v>1.0</v>
      </c>
      <c r="H108" s="960" t="str">
        <f>HYPERLINK("https://d15f34w2p8l1cc.cloudfront.net/hearthstone/1d1bb1f34f99f0a7f017d8b4f55a061e80c7b4e711166ee072cfc4528533ec93.png","Image")</f>
        <v>Image</v>
      </c>
      <c r="I108" s="1032"/>
      <c r="J108" s="1032"/>
      <c r="K108" s="1032"/>
      <c r="L108" s="1032"/>
      <c r="M108" s="1032"/>
      <c r="N108" s="1032"/>
      <c r="O108" s="1024"/>
      <c r="P108" s="1025"/>
      <c r="Q108" s="781"/>
    </row>
    <row r="109">
      <c r="A109" s="829"/>
      <c r="B109" s="353"/>
      <c r="C109" s="955" t="s">
        <v>1722</v>
      </c>
      <c r="D109" s="936" t="s">
        <v>71</v>
      </c>
      <c r="E109" s="855"/>
      <c r="F109" s="855"/>
      <c r="G109" s="855">
        <v>2.0</v>
      </c>
      <c r="H109" s="956" t="str">
        <f>HYPERLINK("https://d15f34w2p8l1cc.cloudfront.net/hearthstone/cbae1a686d55e7d4b0ceb722d6c9d791d746c75b821cf2349046bd126696eed6.png","Image")</f>
        <v>Image</v>
      </c>
      <c r="I109" s="1032"/>
      <c r="J109" s="1032"/>
      <c r="K109" s="1032"/>
      <c r="L109" s="1032"/>
      <c r="M109" s="1032"/>
      <c r="N109" s="1032"/>
      <c r="O109" s="1024"/>
      <c r="P109" s="1025"/>
      <c r="Q109" s="781"/>
    </row>
    <row r="110">
      <c r="A110" s="829"/>
      <c r="B110" s="353"/>
      <c r="C110" s="957" t="s">
        <v>1723</v>
      </c>
      <c r="D110" s="938" t="s">
        <v>71</v>
      </c>
      <c r="E110" s="939"/>
      <c r="F110" s="939"/>
      <c r="G110" s="939">
        <v>5.0</v>
      </c>
      <c r="H110" s="958" t="str">
        <f>HYPERLINK("https://d15f34w2p8l1cc.cloudfront.net/hearthstone/16586a5692f68fb9a35534b28f9cea8736b760486daf983f9022870b94c49fbe.png","Image")</f>
        <v>Image</v>
      </c>
      <c r="I110" s="1024"/>
      <c r="J110" s="1024"/>
      <c r="K110" s="1024"/>
      <c r="L110" s="1024"/>
      <c r="M110" s="1024"/>
      <c r="N110" s="1024"/>
      <c r="O110" s="1024"/>
      <c r="P110" s="1025"/>
      <c r="Q110" s="781"/>
    </row>
    <row r="111">
      <c r="A111" s="829"/>
      <c r="B111" s="961"/>
      <c r="C111" s="959" t="s">
        <v>1724</v>
      </c>
      <c r="D111" s="942" t="s">
        <v>71</v>
      </c>
      <c r="E111" s="943"/>
      <c r="F111" s="943"/>
      <c r="G111" s="943">
        <v>0.0</v>
      </c>
      <c r="H111" s="960" t="str">
        <f>HYPERLINK("https://d15f34w2p8l1cc.cloudfront.net/hearthstone/686a8a44aa30fcfdf001f1f19eba612b9351d74397d60d360d1b277677523bfa.png","Image")</f>
        <v>Image</v>
      </c>
      <c r="I111" s="1024"/>
      <c r="J111" s="1024"/>
      <c r="K111" s="1024"/>
      <c r="L111" s="1024"/>
      <c r="M111" s="1024"/>
      <c r="N111" s="1024"/>
      <c r="O111" s="1024"/>
      <c r="P111" s="1025"/>
      <c r="Q111" s="781"/>
    </row>
    <row r="112">
      <c r="A112" s="829"/>
      <c r="B112" s="353"/>
      <c r="C112" s="957" t="s">
        <v>1725</v>
      </c>
      <c r="D112" s="938" t="s">
        <v>1718</v>
      </c>
      <c r="E112" s="939"/>
      <c r="F112" s="939"/>
      <c r="G112" s="939">
        <v>1.0</v>
      </c>
      <c r="H112" s="958" t="str">
        <f>HYPERLINK("https://d15f34w2p8l1cc.cloudfront.net/hearthstone/9d54d6da0a9f72467dc8b1d224b62194db020f44126cf19ff06e431411ca4cb5.png","Image")</f>
        <v>Image</v>
      </c>
      <c r="I112" s="1024"/>
      <c r="J112" s="1024"/>
      <c r="K112" s="1024"/>
      <c r="L112" s="1024"/>
      <c r="M112" s="1024"/>
      <c r="N112" s="1024"/>
      <c r="O112" s="1024"/>
      <c r="P112" s="1025"/>
      <c r="Q112" s="781"/>
    </row>
    <row r="113">
      <c r="A113" s="872"/>
      <c r="B113" s="962"/>
      <c r="C113" s="959" t="s">
        <v>1726</v>
      </c>
      <c r="D113" s="942"/>
      <c r="E113" s="943">
        <v>5.0</v>
      </c>
      <c r="F113" s="943">
        <v>10.0</v>
      </c>
      <c r="G113" s="943">
        <v>7.0</v>
      </c>
      <c r="H113" s="960" t="str">
        <f>HYPERLINK("https://d15f34w2p8l1cc.cloudfront.net/hearthstone/fb0c1acaf0d48f704fdf419f4a40bb70ed8539f20a7336a74ba92b940997e518.png","Image")</f>
        <v>Image</v>
      </c>
      <c r="I113" s="1024"/>
      <c r="J113" s="1024"/>
      <c r="K113" s="1024"/>
      <c r="L113" s="1024"/>
      <c r="M113" s="1024"/>
      <c r="N113" s="1024"/>
      <c r="O113" s="1024"/>
      <c r="P113" s="1025"/>
      <c r="Q113" s="781"/>
    </row>
    <row r="114">
      <c r="A114" s="872"/>
      <c r="B114" s="355"/>
      <c r="C114" s="963" t="s">
        <v>1727</v>
      </c>
      <c r="D114" s="964" t="s">
        <v>43</v>
      </c>
      <c r="E114" s="859">
        <v>4.0</v>
      </c>
      <c r="F114" s="965">
        <v>12.0</v>
      </c>
      <c r="G114" s="859">
        <v>9.0</v>
      </c>
      <c r="H114" s="966" t="str">
        <f>HYPERLINK("https://d15f34w2p8l1cc.cloudfront.net/hearthstone/f770baf3dbc0642256a6d903eeee6efede121132abe8bd281b0386f225d80d33.png","Image")</f>
        <v>Image</v>
      </c>
      <c r="I114" s="1026"/>
      <c r="J114" s="1026"/>
      <c r="K114" s="1026"/>
      <c r="L114" s="1026"/>
      <c r="M114" s="1026"/>
      <c r="N114" s="1026"/>
      <c r="O114" s="1026"/>
      <c r="P114" s="1027"/>
      <c r="Q114" s="781"/>
    </row>
    <row r="115">
      <c r="A115" s="883"/>
      <c r="B115" s="824"/>
      <c r="C115" s="195" t="s">
        <v>147</v>
      </c>
      <c r="D115" s="82"/>
      <c r="E115" s="82"/>
      <c r="F115" s="82"/>
      <c r="G115" s="82"/>
      <c r="H115" s="96"/>
      <c r="I115" s="1029"/>
      <c r="J115" s="1029"/>
      <c r="K115" s="1029"/>
      <c r="L115" s="1029"/>
      <c r="M115" s="1029"/>
      <c r="N115" s="1029"/>
      <c r="O115" s="1029"/>
      <c r="P115" s="1029"/>
      <c r="Q115" s="307"/>
    </row>
    <row r="116" ht="15.75" customHeight="1">
      <c r="A116" s="872"/>
      <c r="B116" s="636"/>
      <c r="C116" s="830"/>
      <c r="D116" s="831"/>
      <c r="E116" s="832"/>
      <c r="F116" s="832"/>
      <c r="G116" s="832"/>
      <c r="H116" s="933"/>
      <c r="I116" s="1030" t="s">
        <v>2</v>
      </c>
      <c r="J116" s="1030" t="s">
        <v>426</v>
      </c>
      <c r="K116" s="1030" t="s">
        <v>1</v>
      </c>
      <c r="L116" s="1030" t="s">
        <v>427</v>
      </c>
      <c r="M116" s="1030" t="s">
        <v>208</v>
      </c>
      <c r="N116" s="1030" t="s">
        <v>3</v>
      </c>
      <c r="O116" s="1030" t="s">
        <v>4</v>
      </c>
      <c r="P116" s="1030" t="s">
        <v>1772</v>
      </c>
      <c r="Q116" s="781"/>
    </row>
    <row r="117">
      <c r="A117" s="872"/>
      <c r="B117" s="950"/>
      <c r="C117" s="953" t="s">
        <v>1728</v>
      </c>
      <c r="D117" s="934"/>
      <c r="E117" s="185">
        <v>1.0</v>
      </c>
      <c r="F117" s="185">
        <v>3.0</v>
      </c>
      <c r="G117" s="185">
        <v>1.0</v>
      </c>
      <c r="H117" s="954" t="str">
        <f>HYPERLINK("https://d15f34w2p8l1cc.cloudfront.net/hearthstone/e93de3547a7a7382187dd388634c0b1dbb84243780926e650b03c4dd14b92566.png","Image")</f>
        <v>Image</v>
      </c>
      <c r="I117" s="1022"/>
      <c r="J117" s="1022"/>
      <c r="K117" s="1022"/>
      <c r="L117" s="1022"/>
      <c r="M117" s="1022"/>
      <c r="N117" s="1022"/>
      <c r="O117" s="1022"/>
      <c r="P117" s="1023"/>
      <c r="Q117" s="781"/>
    </row>
    <row r="118">
      <c r="A118" s="872"/>
      <c r="B118" s="353"/>
      <c r="C118" s="955" t="s">
        <v>1729</v>
      </c>
      <c r="D118" s="936" t="s">
        <v>71</v>
      </c>
      <c r="E118" s="855"/>
      <c r="F118" s="855"/>
      <c r="G118" s="855">
        <v>2.0</v>
      </c>
      <c r="H118" s="956" t="str">
        <f>HYPERLINK("https://d15f34w2p8l1cc.cloudfront.net/hearthstone/636b037311471c66b694ed810794a05b7675b871486eb5fb1dd2d888813fe522.png","Image")</f>
        <v>Image</v>
      </c>
      <c r="I118" s="1024"/>
      <c r="J118" s="1024"/>
      <c r="K118" s="1024"/>
      <c r="L118" s="1024"/>
      <c r="M118" s="1024"/>
      <c r="N118" s="1024"/>
      <c r="O118" s="1024"/>
      <c r="P118" s="1025"/>
      <c r="Q118" s="781"/>
    </row>
    <row r="119">
      <c r="A119" s="872"/>
      <c r="B119" s="353"/>
      <c r="C119" s="957" t="s">
        <v>1730</v>
      </c>
      <c r="D119" s="938" t="s">
        <v>43</v>
      </c>
      <c r="E119" s="939">
        <v>2.0</v>
      </c>
      <c r="F119" s="939">
        <v>3.0</v>
      </c>
      <c r="G119" s="939">
        <v>3.0</v>
      </c>
      <c r="H119" s="958" t="str">
        <f>HYPERLINK("https://d15f34w2p8l1cc.cloudfront.net/hearthstone/90eec5b9fec67ac72b15d5b4f289b62a66e7c7294b276bda65f06f6b7f98be3e.png","Image")</f>
        <v>Image</v>
      </c>
      <c r="I119" s="1032"/>
      <c r="J119" s="1032"/>
      <c r="K119" s="1032"/>
      <c r="L119" s="1032"/>
      <c r="M119" s="1032"/>
      <c r="N119" s="1032"/>
      <c r="O119" s="1024"/>
      <c r="P119" s="1025"/>
      <c r="Q119" s="781"/>
    </row>
    <row r="120">
      <c r="A120" s="872"/>
      <c r="B120" s="637"/>
      <c r="C120" s="959" t="s">
        <v>1731</v>
      </c>
      <c r="D120" s="942" t="s">
        <v>1718</v>
      </c>
      <c r="E120" s="943"/>
      <c r="F120" s="943"/>
      <c r="G120" s="943">
        <v>1.0</v>
      </c>
      <c r="H120" s="960" t="str">
        <f>HYPERLINK("https://d15f34w2p8l1cc.cloudfront.net/hearthstone/7a943a8ab16977c93bdf18228ee5914a1a5abddeeccce0f4d77845fe242148b6.png","Image")</f>
        <v>Image</v>
      </c>
      <c r="I120" s="1032"/>
      <c r="J120" s="1032"/>
      <c r="K120" s="1032"/>
      <c r="L120" s="1032"/>
      <c r="M120" s="1032"/>
      <c r="N120" s="1032"/>
      <c r="O120" s="1024"/>
      <c r="P120" s="1025"/>
      <c r="Q120" s="781"/>
    </row>
    <row r="121">
      <c r="A121" s="872"/>
      <c r="B121" s="353"/>
      <c r="C121" s="955" t="s">
        <v>1732</v>
      </c>
      <c r="D121" s="936" t="s">
        <v>22</v>
      </c>
      <c r="E121" s="855">
        <v>2.0</v>
      </c>
      <c r="F121" s="855">
        <v>3.0</v>
      </c>
      <c r="G121" s="855">
        <v>2.0</v>
      </c>
      <c r="H121" s="956" t="str">
        <f>HYPERLINK("https://d15f34w2p8l1cc.cloudfront.net/hearthstone/6481a51be26cef81202a2b8c9c50ff9b18e6806147b577b415531fb9fe29562e.png","Image")</f>
        <v>Image</v>
      </c>
      <c r="I121" s="1032"/>
      <c r="J121" s="1032"/>
      <c r="K121" s="1032"/>
      <c r="L121" s="1032"/>
      <c r="M121" s="1032"/>
      <c r="N121" s="1032"/>
      <c r="O121" s="1024"/>
      <c r="P121" s="1025"/>
      <c r="Q121" s="781"/>
    </row>
    <row r="122">
      <c r="A122" s="872"/>
      <c r="B122" s="353"/>
      <c r="C122" s="957" t="s">
        <v>1733</v>
      </c>
      <c r="D122" s="938" t="s">
        <v>22</v>
      </c>
      <c r="E122" s="939">
        <v>4.0</v>
      </c>
      <c r="F122" s="939">
        <v>1.0</v>
      </c>
      <c r="G122" s="939">
        <v>3.0</v>
      </c>
      <c r="H122" s="958" t="str">
        <f>HYPERLINK("https://d15f34w2p8l1cc.cloudfront.net/hearthstone/018f70757abccb57493445c0c99bac61b028cd41cf14b2b3503939b5c1d93ae5.png","Image")</f>
        <v>Image</v>
      </c>
      <c r="I122" s="1024"/>
      <c r="J122" s="1024"/>
      <c r="K122" s="1024"/>
      <c r="L122" s="1024"/>
      <c r="M122" s="1024"/>
      <c r="N122" s="1024"/>
      <c r="O122" s="1024"/>
      <c r="P122" s="1025"/>
      <c r="Q122" s="781"/>
    </row>
    <row r="123">
      <c r="A123" s="872"/>
      <c r="B123" s="961"/>
      <c r="C123" s="959" t="s">
        <v>1734</v>
      </c>
      <c r="D123" s="942" t="s">
        <v>1718</v>
      </c>
      <c r="E123" s="943"/>
      <c r="F123" s="943"/>
      <c r="G123" s="943">
        <v>1.0</v>
      </c>
      <c r="H123" s="960" t="str">
        <f>HYPERLINK("https://d15f34w2p8l1cc.cloudfront.net/hearthstone/5bddb8a4213c582af1af98e77b9aca1d3ddf51bd3c0cfcc6f5256b1df4ebbf22.png","Image")</f>
        <v>Image</v>
      </c>
      <c r="I123" s="1024"/>
      <c r="J123" s="1024"/>
      <c r="K123" s="1024"/>
      <c r="L123" s="1024"/>
      <c r="M123" s="1024"/>
      <c r="N123" s="1024"/>
      <c r="O123" s="1024"/>
      <c r="P123" s="1025"/>
      <c r="Q123" s="781"/>
    </row>
    <row r="124">
      <c r="A124" s="872"/>
      <c r="B124" s="353"/>
      <c r="C124" s="957" t="s">
        <v>1735</v>
      </c>
      <c r="D124" s="938" t="s">
        <v>77</v>
      </c>
      <c r="E124" s="939">
        <v>3.0</v>
      </c>
      <c r="F124" s="939">
        <v>2.0</v>
      </c>
      <c r="G124" s="939">
        <v>3.0</v>
      </c>
      <c r="H124" s="958" t="str">
        <f>HYPERLINK("https://d15f34w2p8l1cc.cloudfront.net/hearthstone/cac10939c83442b9cfe06c9ea0e892edc027c0374ad701eeb2c7848604252804.png","Image")</f>
        <v>Image</v>
      </c>
      <c r="I124" s="1024"/>
      <c r="J124" s="1024"/>
      <c r="K124" s="1024"/>
      <c r="L124" s="1024"/>
      <c r="M124" s="1024"/>
      <c r="N124" s="1024"/>
      <c r="O124" s="1024"/>
      <c r="P124" s="1025"/>
      <c r="Q124" s="781"/>
    </row>
    <row r="125">
      <c r="A125" s="872"/>
      <c r="B125" s="962"/>
      <c r="C125" s="959" t="s">
        <v>1736</v>
      </c>
      <c r="D125" s="942" t="s">
        <v>20</v>
      </c>
      <c r="E125" s="943">
        <v>3.0</v>
      </c>
      <c r="F125" s="943">
        <v>5.0</v>
      </c>
      <c r="G125" s="943">
        <v>4.0</v>
      </c>
      <c r="H125" s="960" t="str">
        <f>HYPERLINK("https://d15f34w2p8l1cc.cloudfront.net/hearthstone/0403ca5b66b9747cba2be26408b6443f4113b7a2c66c56888475c5b99437ace3.png","Image")</f>
        <v>Image</v>
      </c>
      <c r="I125" s="1024"/>
      <c r="J125" s="1024"/>
      <c r="K125" s="1024"/>
      <c r="L125" s="1024"/>
      <c r="M125" s="1024"/>
      <c r="N125" s="1024"/>
      <c r="O125" s="1024"/>
      <c r="P125" s="1025"/>
      <c r="Q125" s="781"/>
    </row>
    <row r="126">
      <c r="A126" s="872"/>
      <c r="B126" s="355"/>
      <c r="C126" s="963" t="s">
        <v>1737</v>
      </c>
      <c r="D126" s="964" t="s">
        <v>43</v>
      </c>
      <c r="E126" s="859">
        <v>7.0</v>
      </c>
      <c r="F126" s="965">
        <v>6.0</v>
      </c>
      <c r="G126" s="859">
        <v>6.0</v>
      </c>
      <c r="H126" s="966" t="str">
        <f>HYPERLINK("https://d15f34w2p8l1cc.cloudfront.net/hearthstone/9d18289973254b3bc66b5ecc46d8e9a965067b799d2af4aa9628ac5c1e17acdf.png","Image")</f>
        <v>Image</v>
      </c>
      <c r="I126" s="1026"/>
      <c r="J126" s="1026"/>
      <c r="K126" s="1026"/>
      <c r="L126" s="1026"/>
      <c r="M126" s="1026"/>
      <c r="N126" s="1026"/>
      <c r="O126" s="1026"/>
      <c r="P126" s="1027"/>
      <c r="Q126" s="781"/>
    </row>
    <row r="127">
      <c r="A127" s="883"/>
      <c r="B127" s="824"/>
      <c r="C127" s="195" t="s">
        <v>158</v>
      </c>
      <c r="D127" s="82"/>
      <c r="E127" s="82"/>
      <c r="F127" s="82"/>
      <c r="G127" s="82"/>
      <c r="H127" s="96"/>
      <c r="I127" s="1029"/>
      <c r="J127" s="1029"/>
      <c r="K127" s="1029"/>
      <c r="L127" s="1029"/>
      <c r="M127" s="1029"/>
      <c r="N127" s="1029"/>
      <c r="O127" s="1029"/>
      <c r="P127" s="1029"/>
      <c r="Q127" s="307"/>
    </row>
    <row r="128" ht="15.75" customHeight="1">
      <c r="A128" s="872"/>
      <c r="B128" s="636"/>
      <c r="C128" s="830"/>
      <c r="D128" s="831"/>
      <c r="E128" s="832"/>
      <c r="F128" s="832"/>
      <c r="G128" s="832"/>
      <c r="H128" s="933"/>
      <c r="I128" s="1028" t="s">
        <v>2</v>
      </c>
      <c r="J128" s="1028" t="s">
        <v>426</v>
      </c>
      <c r="K128" s="1028" t="s">
        <v>1</v>
      </c>
      <c r="L128" s="1028" t="s">
        <v>427</v>
      </c>
      <c r="M128" s="1028" t="s">
        <v>208</v>
      </c>
      <c r="N128" s="1028" t="s">
        <v>3</v>
      </c>
      <c r="O128" s="1028" t="s">
        <v>4</v>
      </c>
      <c r="P128" s="1028" t="s">
        <v>1772</v>
      </c>
      <c r="Q128" s="781"/>
    </row>
    <row r="129">
      <c r="A129" s="872"/>
      <c r="B129" s="950"/>
      <c r="C129" s="705" t="s">
        <v>1738</v>
      </c>
      <c r="D129" s="934" t="s">
        <v>71</v>
      </c>
      <c r="E129" s="185"/>
      <c r="F129" s="185"/>
      <c r="G129" s="185">
        <v>0.0</v>
      </c>
      <c r="H129" s="840" t="str">
        <f>HYPERLINK("https://d15f34w2p8l1cc.cloudfront.net/hearthstone/2f1136cbd502ea1e4f4bf63bb2a20d54555a13e9704fde93184c6a536c1ad283.png","Image")</f>
        <v>Image</v>
      </c>
      <c r="I129" s="1022"/>
      <c r="J129" s="1022"/>
      <c r="K129" s="1022"/>
      <c r="L129" s="1022"/>
      <c r="M129" s="1022"/>
      <c r="N129" s="1022"/>
      <c r="O129" s="1022"/>
      <c r="P129" s="1023"/>
      <c r="Q129" s="781"/>
    </row>
    <row r="130">
      <c r="A130" s="872"/>
      <c r="B130" s="353"/>
      <c r="C130" s="935" t="s">
        <v>1739</v>
      </c>
      <c r="D130" s="936" t="s">
        <v>1638</v>
      </c>
      <c r="E130" s="855">
        <v>1.0</v>
      </c>
      <c r="F130" s="855">
        <v>2.0</v>
      </c>
      <c r="G130" s="855">
        <v>1.0</v>
      </c>
      <c r="H130" s="856" t="str">
        <f>HYPERLINK("https://d15f34w2p8l1cc.cloudfront.net/hearthstone/9abbaba51efdabe8b75abe336f1e318c887ad15242b0998f95f005aa12a32b3b.png","Image")</f>
        <v>Image</v>
      </c>
      <c r="I130" s="1024"/>
      <c r="J130" s="1024"/>
      <c r="K130" s="1024"/>
      <c r="L130" s="1024"/>
      <c r="M130" s="1024"/>
      <c r="N130" s="1024"/>
      <c r="O130" s="1024"/>
      <c r="P130" s="1025"/>
      <c r="Q130" s="781"/>
    </row>
    <row r="131">
      <c r="A131" s="872"/>
      <c r="B131" s="632"/>
      <c r="C131" s="937" t="s">
        <v>1740</v>
      </c>
      <c r="D131" s="938" t="s">
        <v>71</v>
      </c>
      <c r="E131" s="939"/>
      <c r="F131" s="939"/>
      <c r="G131" s="939">
        <v>4.0</v>
      </c>
      <c r="H131" s="940" t="str">
        <f>HYPERLINK("https://d15f34w2p8l1cc.cloudfront.net/hearthstone/872a4aacf679f7248aadd84e4e7b1b934c952b1b37a0ed993b1b95047a62ddf4.png","Image")</f>
        <v>Image</v>
      </c>
      <c r="I131" s="1032"/>
      <c r="J131" s="1032"/>
      <c r="K131" s="1032"/>
      <c r="L131" s="1032"/>
      <c r="M131" s="1032"/>
      <c r="N131" s="1032"/>
      <c r="O131" s="1024"/>
      <c r="P131" s="1025"/>
      <c r="Q131" s="781"/>
    </row>
    <row r="132">
      <c r="A132" s="872"/>
      <c r="B132" s="639"/>
      <c r="C132" s="941" t="s">
        <v>1741</v>
      </c>
      <c r="D132" s="942" t="s">
        <v>1673</v>
      </c>
      <c r="E132" s="943"/>
      <c r="F132" s="943"/>
      <c r="G132" s="943">
        <v>5.0</v>
      </c>
      <c r="H132" s="944" t="str">
        <f>HYPERLINK("https://d15f34w2p8l1cc.cloudfront.net/hearthstone/b9161ae30a07ee3fbcbe4e1363cebc9117a1246ed86bb82dc2b6e24e98c196ac.png","Image")</f>
        <v>Image</v>
      </c>
      <c r="I132" s="1032"/>
      <c r="J132" s="1032"/>
      <c r="K132" s="1032"/>
      <c r="L132" s="1032"/>
      <c r="M132" s="1032"/>
      <c r="N132" s="1032"/>
      <c r="O132" s="1024"/>
      <c r="P132" s="1025"/>
      <c r="Q132" s="781"/>
    </row>
    <row r="133">
      <c r="A133" s="872"/>
      <c r="B133" s="353"/>
      <c r="C133" s="935" t="s">
        <v>1742</v>
      </c>
      <c r="D133" s="936" t="s">
        <v>43</v>
      </c>
      <c r="E133" s="855">
        <v>4.0</v>
      </c>
      <c r="F133" s="855">
        <v>5.0</v>
      </c>
      <c r="G133" s="855">
        <v>5.0</v>
      </c>
      <c r="H133" s="856" t="str">
        <f>HYPERLINK("https://d15f34w2p8l1cc.cloudfront.net/hearthstone/ec77f82d5570f7013361893d8963aa89f662a42d7db2d2cbc188f89737c8e6f5.png","Image")</f>
        <v>Image</v>
      </c>
      <c r="I133" s="1032"/>
      <c r="J133" s="1032"/>
      <c r="K133" s="1032"/>
      <c r="L133" s="1032"/>
      <c r="M133" s="1032"/>
      <c r="N133" s="1032"/>
      <c r="O133" s="1024"/>
      <c r="P133" s="1025"/>
      <c r="Q133" s="781"/>
    </row>
    <row r="134">
      <c r="A134" s="872"/>
      <c r="B134" s="632"/>
      <c r="C134" s="937" t="s">
        <v>1743</v>
      </c>
      <c r="D134" s="938" t="s">
        <v>71</v>
      </c>
      <c r="E134" s="939"/>
      <c r="F134" s="939"/>
      <c r="G134" s="939">
        <v>3.0</v>
      </c>
      <c r="H134" s="940" t="str">
        <f>HYPERLINK("https://d15f34w2p8l1cc.cloudfront.net/hearthstone/7402f26c94982ea5b68cef84b0aec02ad11fcb95bf21825ff3675e7b4c3be31a.png","Image")</f>
        <v>Image</v>
      </c>
      <c r="I134" s="1024"/>
      <c r="J134" s="1024"/>
      <c r="K134" s="1024"/>
      <c r="L134" s="1024"/>
      <c r="M134" s="1024"/>
      <c r="N134" s="1024"/>
      <c r="O134" s="1024"/>
      <c r="P134" s="1025"/>
      <c r="Q134" s="781"/>
    </row>
    <row r="135">
      <c r="A135" s="872"/>
      <c r="B135" s="793"/>
      <c r="C135" s="941" t="s">
        <v>1744</v>
      </c>
      <c r="D135" s="942"/>
      <c r="E135" s="943">
        <v>2.0</v>
      </c>
      <c r="F135" s="943">
        <v>2.0</v>
      </c>
      <c r="G135" s="943">
        <v>2.0</v>
      </c>
      <c r="H135" s="944" t="str">
        <f>HYPERLINK("https://d15f34w2p8l1cc.cloudfront.net/hearthstone/f90e2ff30fe7f9002408a51a1e57e3c9856649df2836472af0e36d61674a11be.png","Image")</f>
        <v>Image</v>
      </c>
      <c r="I135" s="1024"/>
      <c r="J135" s="1024"/>
      <c r="K135" s="1024"/>
      <c r="L135" s="1024"/>
      <c r="M135" s="1024"/>
      <c r="N135" s="1024"/>
      <c r="O135" s="1024"/>
      <c r="P135" s="1025"/>
      <c r="Q135" s="781"/>
    </row>
    <row r="136">
      <c r="A136" s="872"/>
      <c r="B136" s="632"/>
      <c r="C136" s="937" t="s">
        <v>1745</v>
      </c>
      <c r="D136" s="938" t="s">
        <v>43</v>
      </c>
      <c r="E136" s="939">
        <v>3.0</v>
      </c>
      <c r="F136" s="939">
        <v>6.0</v>
      </c>
      <c r="G136" s="939">
        <v>4.0</v>
      </c>
      <c r="H136" s="940" t="str">
        <f>HYPERLINK("https://d15f34w2p8l1cc.cloudfront.net/hearthstone/e3de5665a2458ca67ac73ac43a3f116b848afb60c8438f7518ea4bb8564b36c1.png","Image")</f>
        <v>Image</v>
      </c>
      <c r="I136" s="1024"/>
      <c r="J136" s="1024"/>
      <c r="K136" s="1024"/>
      <c r="L136" s="1024"/>
      <c r="M136" s="1024"/>
      <c r="N136" s="1024"/>
      <c r="O136" s="1024"/>
      <c r="P136" s="1025"/>
      <c r="Q136" s="781"/>
    </row>
    <row r="137">
      <c r="A137" s="872"/>
      <c r="B137" s="794"/>
      <c r="C137" s="941" t="s">
        <v>1771</v>
      </c>
      <c r="D137" s="942"/>
      <c r="E137" s="943">
        <v>3.0</v>
      </c>
      <c r="F137" s="943">
        <v>3.0</v>
      </c>
      <c r="G137" s="943">
        <v>3.0</v>
      </c>
      <c r="H137" s="944" t="str">
        <f>HYPERLINK("https://d15f34w2p8l1cc.cloudfront.net/hearthstone/7e94c72739ecf3142ff839b189aee6abea8f405337f4bfeb30acd4bcb8a182e1.png","Image")</f>
        <v>Image</v>
      </c>
      <c r="I137" s="1024"/>
      <c r="J137" s="1024"/>
      <c r="K137" s="1024"/>
      <c r="L137" s="1024"/>
      <c r="M137" s="1024"/>
      <c r="N137" s="1024"/>
      <c r="O137" s="1024"/>
      <c r="P137" s="1025"/>
      <c r="Q137" s="781"/>
    </row>
    <row r="138">
      <c r="A138" s="872"/>
      <c r="B138" s="353"/>
      <c r="C138" s="945" t="s">
        <v>1747</v>
      </c>
      <c r="D138" s="946" t="s">
        <v>1682</v>
      </c>
      <c r="E138" s="947"/>
      <c r="F138" s="948"/>
      <c r="G138" s="947">
        <v>7.0</v>
      </c>
      <c r="H138" s="949" t="str">
        <f>HYPERLINK("https://d15f34w2p8l1cc.cloudfront.net/hearthstone/3af893d0cd57e8dc159f6be3a73e08ed9a8b8b6665f0de39e61a477195ef8f07.png","Image")</f>
        <v>Image</v>
      </c>
      <c r="I138" s="1024"/>
      <c r="J138" s="1024"/>
      <c r="K138" s="1024"/>
      <c r="L138" s="1024"/>
      <c r="M138" s="1024"/>
      <c r="N138" s="1024"/>
      <c r="O138" s="1024"/>
      <c r="P138" s="1025"/>
      <c r="Q138" s="781"/>
    </row>
    <row r="139">
      <c r="A139" s="872"/>
      <c r="B139" s="355"/>
      <c r="C139" s="864" t="s">
        <v>1748</v>
      </c>
      <c r="D139" s="865" t="s">
        <v>43</v>
      </c>
      <c r="E139" s="859">
        <v>8.0</v>
      </c>
      <c r="F139" s="859">
        <v>8.0</v>
      </c>
      <c r="G139" s="859">
        <v>8.0</v>
      </c>
      <c r="H139" s="860" t="str">
        <f>HYPERLINK("https://d15f34w2p8l1cc.cloudfront.net/hearthstone/b4fe7ff7d3fa162dfbf4f49205fa833e7b83e2c712c2f55a520a88d58085f0b4.png","Image")</f>
        <v>Image</v>
      </c>
      <c r="I139" s="1026"/>
      <c r="J139" s="1026"/>
      <c r="K139" s="1026"/>
      <c r="L139" s="1026"/>
      <c r="M139" s="1026"/>
      <c r="N139" s="1026"/>
      <c r="O139" s="1026"/>
      <c r="P139" s="1027"/>
      <c r="Q139" s="781"/>
    </row>
    <row r="140">
      <c r="A140" s="883"/>
      <c r="B140" s="824"/>
      <c r="C140" s="195" t="s">
        <v>170</v>
      </c>
      <c r="D140" s="82"/>
      <c r="E140" s="82"/>
      <c r="F140" s="82"/>
      <c r="G140" s="82"/>
      <c r="H140" s="96"/>
      <c r="I140" s="1029"/>
      <c r="J140" s="1029"/>
      <c r="K140" s="1029"/>
      <c r="L140" s="1029"/>
      <c r="M140" s="1029"/>
      <c r="N140" s="1029"/>
      <c r="O140" s="1029"/>
      <c r="P140" s="1029"/>
      <c r="Q140" s="307"/>
    </row>
    <row r="141" ht="15.75" customHeight="1">
      <c r="A141" s="872"/>
      <c r="B141" s="636"/>
      <c r="C141" s="830"/>
      <c r="D141" s="831"/>
      <c r="E141" s="832"/>
      <c r="F141" s="832"/>
      <c r="G141" s="832"/>
      <c r="H141" s="933"/>
      <c r="I141" s="1030" t="s">
        <v>2</v>
      </c>
      <c r="J141" s="1030" t="s">
        <v>426</v>
      </c>
      <c r="K141" s="1030" t="s">
        <v>1</v>
      </c>
      <c r="L141" s="1030" t="s">
        <v>427</v>
      </c>
      <c r="M141" s="1030" t="s">
        <v>208</v>
      </c>
      <c r="N141" s="1030" t="s">
        <v>3</v>
      </c>
      <c r="O141" s="1030" t="s">
        <v>4</v>
      </c>
      <c r="P141" s="1030" t="s">
        <v>1772</v>
      </c>
      <c r="Q141" s="781"/>
    </row>
    <row r="142">
      <c r="A142" s="872"/>
      <c r="B142" s="950"/>
      <c r="C142" s="953" t="s">
        <v>1749</v>
      </c>
      <c r="D142" s="934" t="s">
        <v>27</v>
      </c>
      <c r="E142" s="185">
        <v>1.0</v>
      </c>
      <c r="F142" s="185">
        <v>1.0</v>
      </c>
      <c r="G142" s="185">
        <v>1.0</v>
      </c>
      <c r="H142" s="954" t="str">
        <f>HYPERLINK("https://d15f34w2p8l1cc.cloudfront.net/hearthstone/ac3c75c6118a72e105250f4525aa62417f0e0e66a5b3af0c64d074825fe38e70.png","Image")</f>
        <v>Image</v>
      </c>
      <c r="I142" s="1022"/>
      <c r="J142" s="1022"/>
      <c r="K142" s="1022"/>
      <c r="L142" s="1022"/>
      <c r="M142" s="1022"/>
      <c r="N142" s="1022"/>
      <c r="O142" s="1022"/>
      <c r="P142" s="1023"/>
      <c r="Q142" s="781"/>
    </row>
    <row r="143">
      <c r="A143" s="872"/>
      <c r="B143" s="353"/>
      <c r="C143" s="955" t="s">
        <v>1750</v>
      </c>
      <c r="D143" s="936" t="s">
        <v>1718</v>
      </c>
      <c r="E143" s="855"/>
      <c r="F143" s="855"/>
      <c r="G143" s="855">
        <v>1.0</v>
      </c>
      <c r="H143" s="956" t="str">
        <f>HYPERLINK("https://d15f34w2p8l1cc.cloudfront.net/hearthstone/3b1170d1f29f2ef97ad601c3082a9c240df02e089710d9357f335ebf11a59a14.png","Image")</f>
        <v>Image</v>
      </c>
      <c r="I143" s="1024"/>
      <c r="J143" s="1024"/>
      <c r="K143" s="1024"/>
      <c r="L143" s="1024"/>
      <c r="M143" s="1024"/>
      <c r="N143" s="1024"/>
      <c r="O143" s="1024"/>
      <c r="P143" s="1025"/>
      <c r="Q143" s="781"/>
    </row>
    <row r="144">
      <c r="A144" s="872"/>
      <c r="B144" s="353"/>
      <c r="C144" s="957" t="s">
        <v>1751</v>
      </c>
      <c r="D144" s="938" t="s">
        <v>43</v>
      </c>
      <c r="E144" s="939">
        <v>2.0</v>
      </c>
      <c r="F144" s="939">
        <v>3.0</v>
      </c>
      <c r="G144" s="939">
        <v>4.0</v>
      </c>
      <c r="H144" s="958" t="str">
        <f>HYPERLINK("https://d15f34w2p8l1cc.cloudfront.net/hearthstone/f2389ace72a6af4e9760a9a0eb9f7312817bbb5845e7a5eb87b22c961d69a1ff.png","Image")</f>
        <v>Image</v>
      </c>
      <c r="I144" s="1032"/>
      <c r="J144" s="1032"/>
      <c r="K144" s="1032"/>
      <c r="L144" s="1032"/>
      <c r="M144" s="1032"/>
      <c r="N144" s="1032"/>
      <c r="O144" s="1024"/>
      <c r="P144" s="1025"/>
      <c r="Q144" s="781"/>
    </row>
    <row r="145">
      <c r="A145" s="872"/>
      <c r="B145" s="637"/>
      <c r="C145" s="959" t="s">
        <v>1752</v>
      </c>
      <c r="D145" s="942" t="s">
        <v>1718</v>
      </c>
      <c r="E145" s="943"/>
      <c r="F145" s="943"/>
      <c r="G145" s="943">
        <v>1.0</v>
      </c>
      <c r="H145" s="960" t="str">
        <f>HYPERLINK("https://d15f34w2p8l1cc.cloudfront.net/hearthstone/5c73cb313079ca20f4512d33d181300177b95b34e0e3e247dc6f43549c2cb95d.png","Image")</f>
        <v>Image</v>
      </c>
      <c r="I145" s="1032"/>
      <c r="J145" s="1032"/>
      <c r="K145" s="1032"/>
      <c r="L145" s="1032"/>
      <c r="M145" s="1032"/>
      <c r="N145" s="1032"/>
      <c r="O145" s="1024"/>
      <c r="P145" s="1025"/>
      <c r="Q145" s="781"/>
    </row>
    <row r="146">
      <c r="A146" s="872"/>
      <c r="B146" s="353"/>
      <c r="C146" s="955" t="s">
        <v>1753</v>
      </c>
      <c r="D146" s="936" t="s">
        <v>71</v>
      </c>
      <c r="E146" s="855"/>
      <c r="F146" s="855"/>
      <c r="G146" s="855">
        <v>1.0</v>
      </c>
      <c r="H146" s="956" t="str">
        <f>HYPERLINK("https://d15f34w2p8l1cc.cloudfront.net/hearthstone/bd94fe768544e479d8601825285d87ccc609aefe23abacec5864b580b35c982d.png","Image")</f>
        <v>Image</v>
      </c>
      <c r="I146" s="1032"/>
      <c r="J146" s="1032"/>
      <c r="K146" s="1032"/>
      <c r="L146" s="1032"/>
      <c r="M146" s="1032"/>
      <c r="N146" s="1032"/>
      <c r="O146" s="1024"/>
      <c r="P146" s="1025"/>
      <c r="Q146" s="781"/>
    </row>
    <row r="147">
      <c r="A147" s="872"/>
      <c r="B147" s="353"/>
      <c r="C147" s="957" t="s">
        <v>1754</v>
      </c>
      <c r="D147" s="938"/>
      <c r="E147" s="939">
        <v>4.0</v>
      </c>
      <c r="F147" s="939">
        <v>4.0</v>
      </c>
      <c r="G147" s="939">
        <v>6.0</v>
      </c>
      <c r="H147" s="958" t="str">
        <f>HYPERLINK("https://d15f34w2p8l1cc.cloudfront.net/hearthstone/0ace8eb2a451ac68fbe265381b2769c3d81dc4e069b464d9af81d636642b8a07.png","Image")</f>
        <v>Image</v>
      </c>
      <c r="I147" s="1024"/>
      <c r="J147" s="1024"/>
      <c r="K147" s="1024"/>
      <c r="L147" s="1024"/>
      <c r="M147" s="1024"/>
      <c r="N147" s="1024"/>
      <c r="O147" s="1024"/>
      <c r="P147" s="1025"/>
      <c r="Q147" s="781"/>
    </row>
    <row r="148">
      <c r="A148" s="872"/>
      <c r="B148" s="961"/>
      <c r="C148" s="959" t="s">
        <v>1755</v>
      </c>
      <c r="D148" s="942" t="s">
        <v>71</v>
      </c>
      <c r="E148" s="943"/>
      <c r="F148" s="943"/>
      <c r="G148" s="943">
        <v>5.0</v>
      </c>
      <c r="H148" s="960" t="str">
        <f>HYPERLINK("https://d15f34w2p8l1cc.cloudfront.net/hearthstone/f592c1caa538cacd84d274979d5a25a6aaf13efd89288198e6e5b4ae6e94d14b.png","Image")</f>
        <v>Image</v>
      </c>
      <c r="I148" s="1024"/>
      <c r="J148" s="1024"/>
      <c r="K148" s="1024"/>
      <c r="L148" s="1024"/>
      <c r="M148" s="1024"/>
      <c r="N148" s="1024"/>
      <c r="O148" s="1024"/>
      <c r="P148" s="1025"/>
      <c r="Q148" s="781"/>
    </row>
    <row r="149">
      <c r="A149" s="872"/>
      <c r="B149" s="353"/>
      <c r="C149" s="957" t="s">
        <v>1756</v>
      </c>
      <c r="D149" s="938" t="s">
        <v>27</v>
      </c>
      <c r="E149" s="939">
        <v>8.0</v>
      </c>
      <c r="F149" s="939">
        <v>8.0</v>
      </c>
      <c r="G149" s="939">
        <v>8.0</v>
      </c>
      <c r="H149" s="958" t="str">
        <f>HYPERLINK("https://d15f34w2p8l1cc.cloudfront.net/hearthstone/a15b196d5cb2c3125bf9767213f4dacb4a4ef66cb75a6191cd5717a68ed55134.png","Image")</f>
        <v>Image</v>
      </c>
      <c r="I149" s="1024"/>
      <c r="J149" s="1024"/>
      <c r="K149" s="1024"/>
      <c r="L149" s="1024"/>
      <c r="M149" s="1024"/>
      <c r="N149" s="1024"/>
      <c r="O149" s="1024"/>
      <c r="P149" s="1025"/>
      <c r="Q149" s="781"/>
    </row>
    <row r="150">
      <c r="A150" s="872"/>
      <c r="B150" s="962"/>
      <c r="C150" s="959" t="s">
        <v>1757</v>
      </c>
      <c r="D150" s="942" t="s">
        <v>27</v>
      </c>
      <c r="E150" s="943">
        <v>2.0</v>
      </c>
      <c r="F150" s="943">
        <v>5.0</v>
      </c>
      <c r="G150" s="943">
        <v>3.0</v>
      </c>
      <c r="H150" s="960" t="str">
        <f>HYPERLINK("https://d15f34w2p8l1cc.cloudfront.net/hearthstone/bc484da8861056aebc9721c5c32d4c6359720c7809dff4d2f9f4d572ea129106.png","Image")</f>
        <v>Image</v>
      </c>
      <c r="I150" s="1024"/>
      <c r="J150" s="1024"/>
      <c r="K150" s="1024"/>
      <c r="L150" s="1024"/>
      <c r="M150" s="1024"/>
      <c r="N150" s="1024"/>
      <c r="O150" s="1024"/>
      <c r="P150" s="1025"/>
      <c r="Q150" s="781"/>
    </row>
    <row r="151">
      <c r="A151" s="872"/>
      <c r="B151" s="355"/>
      <c r="C151" s="963" t="s">
        <v>1758</v>
      </c>
      <c r="D151" s="964" t="s">
        <v>43</v>
      </c>
      <c r="E151" s="859">
        <v>2.0</v>
      </c>
      <c r="F151" s="965">
        <v>8.0</v>
      </c>
      <c r="G151" s="859">
        <v>5.0</v>
      </c>
      <c r="H151" s="966" t="str">
        <f>HYPERLINK("https://d15f34w2p8l1cc.cloudfront.net/hearthstone/8f903fd22f140d3f345b2375d7496ddcd86d7d043a37b78d5dfbaa3e6e10c245.png","Image")</f>
        <v>Image</v>
      </c>
      <c r="I151" s="1026"/>
      <c r="J151" s="1026"/>
      <c r="K151" s="1026"/>
      <c r="L151" s="1026"/>
      <c r="M151" s="1026"/>
      <c r="N151" s="1026"/>
      <c r="O151" s="1026"/>
      <c r="P151" s="1027"/>
      <c r="Q151" s="781"/>
    </row>
    <row r="152">
      <c r="A152" s="883"/>
      <c r="B152" s="824"/>
      <c r="C152" s="195" t="s">
        <v>182</v>
      </c>
      <c r="D152" s="82"/>
      <c r="E152" s="82"/>
      <c r="F152" s="82"/>
      <c r="G152" s="82"/>
      <c r="H152" s="96"/>
      <c r="I152" s="1029"/>
      <c r="J152" s="1029"/>
      <c r="K152" s="1029"/>
      <c r="L152" s="1029"/>
      <c r="M152" s="1029"/>
      <c r="N152" s="1029"/>
      <c r="O152" s="1029"/>
      <c r="P152" s="1029"/>
      <c r="Q152" s="307"/>
    </row>
    <row r="153" ht="15.75" customHeight="1">
      <c r="A153" s="872"/>
      <c r="B153" s="636"/>
      <c r="C153" s="830"/>
      <c r="D153" s="831"/>
      <c r="E153" s="832"/>
      <c r="F153" s="832"/>
      <c r="G153" s="832"/>
      <c r="H153" s="933"/>
      <c r="I153" s="1030" t="s">
        <v>2</v>
      </c>
      <c r="J153" s="1030" t="s">
        <v>426</v>
      </c>
      <c r="K153" s="1030" t="s">
        <v>1</v>
      </c>
      <c r="L153" s="1030" t="s">
        <v>427</v>
      </c>
      <c r="M153" s="1030" t="s">
        <v>208</v>
      </c>
      <c r="N153" s="1030" t="s">
        <v>3</v>
      </c>
      <c r="O153" s="1030" t="s">
        <v>4</v>
      </c>
      <c r="P153" s="1030" t="s">
        <v>1772</v>
      </c>
      <c r="Q153" s="781"/>
    </row>
    <row r="154">
      <c r="A154" s="872"/>
      <c r="B154" s="950"/>
      <c r="C154" s="953" t="s">
        <v>1759</v>
      </c>
      <c r="D154" s="934" t="s">
        <v>71</v>
      </c>
      <c r="E154" s="185"/>
      <c r="F154" s="185"/>
      <c r="G154" s="185">
        <v>1.0</v>
      </c>
      <c r="H154" s="954" t="str">
        <f>HYPERLINK("https://d15f34w2p8l1cc.cloudfront.net/hearthstone/e8c4a497bd3224498f021bdbefa4c1a33c25f2ff01190d6fd5baa706e7f1fc47.png","Image")</f>
        <v>Image</v>
      </c>
      <c r="I154" s="1022"/>
      <c r="J154" s="1022"/>
      <c r="K154" s="1022"/>
      <c r="L154" s="1022"/>
      <c r="M154" s="1022"/>
      <c r="N154" s="1022"/>
      <c r="O154" s="1022"/>
      <c r="P154" s="1023"/>
      <c r="Q154" s="781"/>
    </row>
    <row r="155">
      <c r="A155" s="872"/>
      <c r="B155" s="353"/>
      <c r="C155" s="955" t="s">
        <v>1760</v>
      </c>
      <c r="D155" s="936" t="s">
        <v>43</v>
      </c>
      <c r="E155" s="855">
        <v>2.0</v>
      </c>
      <c r="F155" s="855">
        <v>3.0</v>
      </c>
      <c r="G155" s="855">
        <v>3.0</v>
      </c>
      <c r="H155" s="956" t="str">
        <f>HYPERLINK("https://d15f34w2p8l1cc.cloudfront.net/hearthstone/747a52f5ae7dc4b352d431342042e497202eebd1e6d1ef872109092b0a6b2266.png","Image")</f>
        <v>Image</v>
      </c>
      <c r="I155" s="1024"/>
      <c r="J155" s="1024"/>
      <c r="K155" s="1024"/>
      <c r="L155" s="1024"/>
      <c r="M155" s="1024"/>
      <c r="N155" s="1024"/>
      <c r="O155" s="1024"/>
      <c r="P155" s="1025"/>
      <c r="Q155" s="781"/>
    </row>
    <row r="156">
      <c r="A156" s="872"/>
      <c r="B156" s="353"/>
      <c r="C156" s="957" t="s">
        <v>1761</v>
      </c>
      <c r="D156" s="938" t="s">
        <v>43</v>
      </c>
      <c r="E156" s="939">
        <v>4.0</v>
      </c>
      <c r="F156" s="939">
        <v>6.0</v>
      </c>
      <c r="G156" s="939">
        <v>5.0</v>
      </c>
      <c r="H156" s="958" t="str">
        <f>HYPERLINK("https://d15f34w2p8l1cc.cloudfront.net/hearthstone/c1124c9277f422acaeb02127fe77155e24b87480e88addc38ba04d2cdd7d5c03.png","Image")</f>
        <v>Image</v>
      </c>
      <c r="I156" s="1032"/>
      <c r="J156" s="1032"/>
      <c r="K156" s="1032"/>
      <c r="L156" s="1032"/>
      <c r="M156" s="1032"/>
      <c r="N156" s="1032"/>
      <c r="O156" s="1024"/>
      <c r="P156" s="1025"/>
      <c r="Q156" s="781"/>
    </row>
    <row r="157">
      <c r="A157" s="872"/>
      <c r="B157" s="637"/>
      <c r="C157" s="959" t="s">
        <v>1762</v>
      </c>
      <c r="D157" s="942" t="s">
        <v>1718</v>
      </c>
      <c r="E157" s="943"/>
      <c r="F157" s="943"/>
      <c r="G157" s="943">
        <v>1.0</v>
      </c>
      <c r="H157" s="960" t="str">
        <f>HYPERLINK("https://d15f34w2p8l1cc.cloudfront.net/hearthstone/28bdb67d48a7f9c3f03fac7a6c5c3fe592583d09b4a94561c4c5b26c0be5321e.png","Image")</f>
        <v>Image</v>
      </c>
      <c r="I157" s="1032"/>
      <c r="J157" s="1032"/>
      <c r="K157" s="1032"/>
      <c r="L157" s="1032"/>
      <c r="M157" s="1032"/>
      <c r="N157" s="1032"/>
      <c r="O157" s="1024"/>
      <c r="P157" s="1025"/>
      <c r="Q157" s="781"/>
    </row>
    <row r="158">
      <c r="A158" s="872"/>
      <c r="B158" s="353"/>
      <c r="C158" s="955" t="s">
        <v>1763</v>
      </c>
      <c r="D158" s="936" t="s">
        <v>20</v>
      </c>
      <c r="E158" s="855">
        <v>1.0</v>
      </c>
      <c r="F158" s="855">
        <v>2.0</v>
      </c>
      <c r="G158" s="855">
        <v>3.0</v>
      </c>
      <c r="H158" s="956" t="str">
        <f>HYPERLINK("https://d15f34w2p8l1cc.cloudfront.net/hearthstone/fcf33b37bc7cb62aaba90a89b026a8f917df411087761239ddae8fd8877fd302.png","Image")</f>
        <v>Image</v>
      </c>
      <c r="I158" s="1032"/>
      <c r="J158" s="1032"/>
      <c r="K158" s="1032"/>
      <c r="L158" s="1032"/>
      <c r="M158" s="1032"/>
      <c r="N158" s="1032"/>
      <c r="O158" s="1024"/>
      <c r="P158" s="1025"/>
      <c r="Q158" s="781"/>
    </row>
    <row r="159">
      <c r="A159" s="872"/>
      <c r="B159" s="353"/>
      <c r="C159" s="957" t="s">
        <v>1764</v>
      </c>
      <c r="D159" s="938"/>
      <c r="E159" s="939">
        <v>4.0</v>
      </c>
      <c r="F159" s="939">
        <v>2.0</v>
      </c>
      <c r="G159" s="939">
        <v>4.0</v>
      </c>
      <c r="H159" s="958" t="str">
        <f>HYPERLINK("https://d15f34w2p8l1cc.cloudfront.net/hearthstone/6c41687ca13975bca72e986b593bc9a28a07cb6065a98940dee704a73fb9d39f.png","Image")</f>
        <v>Image</v>
      </c>
      <c r="I159" s="1024"/>
      <c r="J159" s="1024"/>
      <c r="K159" s="1024"/>
      <c r="L159" s="1024"/>
      <c r="M159" s="1024"/>
      <c r="N159" s="1024"/>
      <c r="O159" s="1024"/>
      <c r="P159" s="1025"/>
      <c r="Q159" s="781"/>
    </row>
    <row r="160">
      <c r="A160" s="872"/>
      <c r="B160" s="961"/>
      <c r="C160" s="959" t="s">
        <v>1765</v>
      </c>
      <c r="D160" s="942" t="s">
        <v>1718</v>
      </c>
      <c r="E160" s="943"/>
      <c r="F160" s="943"/>
      <c r="G160" s="943">
        <v>2.0</v>
      </c>
      <c r="H160" s="960" t="str">
        <f>HYPERLINK("https://d15f34w2p8l1cc.cloudfront.net/hearthstone/c6e97f18a24da60a23b22a6879e2a44bfef43353f1b638f117671b2818ffe889.png","Image")</f>
        <v>Image</v>
      </c>
      <c r="I160" s="1024"/>
      <c r="J160" s="1024"/>
      <c r="K160" s="1024"/>
      <c r="L160" s="1024"/>
      <c r="M160" s="1024"/>
      <c r="N160" s="1024"/>
      <c r="O160" s="1024"/>
      <c r="P160" s="1025"/>
      <c r="Q160" s="781"/>
    </row>
    <row r="161">
      <c r="A161" s="872"/>
      <c r="B161" s="353"/>
      <c r="C161" s="957" t="s">
        <v>1766</v>
      </c>
      <c r="D161" s="938"/>
      <c r="E161" s="939">
        <v>7.0</v>
      </c>
      <c r="F161" s="939">
        <v>7.0</v>
      </c>
      <c r="G161" s="939">
        <v>7.0</v>
      </c>
      <c r="H161" s="958" t="str">
        <f>HYPERLINK("https://d15f34w2p8l1cc.cloudfront.net/hearthstone/aa3b73b1771fd80f474dd49ec497c8cfb452b75a12012e88a03f717da7bcfd8e.png","Image")</f>
        <v>Image</v>
      </c>
      <c r="I161" s="1024"/>
      <c r="J161" s="1024"/>
      <c r="K161" s="1024"/>
      <c r="L161" s="1024"/>
      <c r="M161" s="1024"/>
      <c r="N161" s="1024"/>
      <c r="O161" s="1024"/>
      <c r="P161" s="1025"/>
      <c r="Q161" s="781"/>
    </row>
    <row r="162">
      <c r="A162" s="872"/>
      <c r="B162" s="962"/>
      <c r="C162" s="959" t="s">
        <v>1767</v>
      </c>
      <c r="D162" s="942"/>
      <c r="E162" s="943">
        <v>3.0</v>
      </c>
      <c r="F162" s="943">
        <v>3.0</v>
      </c>
      <c r="G162" s="943">
        <v>3.0</v>
      </c>
      <c r="H162" s="960" t="str">
        <f>HYPERLINK("https://d15f34w2p8l1cc.cloudfront.net/hearthstone/7d02e006e371523fa18675e61359ac93692149b894a14e11ae96f8575671be38.png","Image")</f>
        <v>Image</v>
      </c>
      <c r="I162" s="1024"/>
      <c r="J162" s="1024"/>
      <c r="K162" s="1024"/>
      <c r="L162" s="1024"/>
      <c r="M162" s="1024"/>
      <c r="N162" s="1024"/>
      <c r="O162" s="1024"/>
      <c r="P162" s="1025"/>
      <c r="Q162" s="781"/>
    </row>
    <row r="163">
      <c r="A163" s="872"/>
      <c r="B163" s="355"/>
      <c r="C163" s="963" t="s">
        <v>1768</v>
      </c>
      <c r="D163" s="964" t="s">
        <v>43</v>
      </c>
      <c r="E163" s="859">
        <v>8.0</v>
      </c>
      <c r="F163" s="965">
        <v>8.0</v>
      </c>
      <c r="G163" s="859">
        <v>4.0</v>
      </c>
      <c r="H163" s="966" t="str">
        <f>HYPERLINK("https://d15f34w2p8l1cc.cloudfront.net/hearthstone/3525ec0b6f265f297ee473ae8728bf5c709520422e4c2f9cb02e13acefc9605b.png","Image")</f>
        <v>Image</v>
      </c>
      <c r="I163" s="1026"/>
      <c r="J163" s="1026"/>
      <c r="K163" s="1026"/>
      <c r="L163" s="1026"/>
      <c r="M163" s="1026"/>
      <c r="N163" s="1026"/>
      <c r="O163" s="1026"/>
      <c r="P163" s="1027"/>
      <c r="Q163" s="781"/>
    </row>
    <row r="164" ht="15.75" customHeight="1">
      <c r="A164" s="300"/>
      <c r="B164" s="967"/>
      <c r="C164" s="967"/>
      <c r="D164" s="967"/>
      <c r="E164" s="968"/>
      <c r="F164" s="968"/>
      <c r="G164" s="968"/>
      <c r="H164" s="967"/>
      <c r="I164" s="967"/>
      <c r="J164" s="967"/>
      <c r="K164" s="967"/>
      <c r="L164" s="967"/>
      <c r="M164" s="967"/>
      <c r="N164" s="967"/>
      <c r="O164" s="967"/>
      <c r="P164" s="967"/>
      <c r="Q164" s="300"/>
    </row>
  </sheetData>
  <mergeCells count="60">
    <mergeCell ref="B87:B89"/>
    <mergeCell ref="B92:B94"/>
    <mergeCell ref="B95:B97"/>
    <mergeCell ref="B98:B99"/>
    <mergeCell ref="B100:B102"/>
    <mergeCell ref="B105:B107"/>
    <mergeCell ref="B108:B110"/>
    <mergeCell ref="B150:B151"/>
    <mergeCell ref="B154:B156"/>
    <mergeCell ref="B157:B159"/>
    <mergeCell ref="B160:B161"/>
    <mergeCell ref="B162:B163"/>
    <mergeCell ref="B129:B131"/>
    <mergeCell ref="B132:B134"/>
    <mergeCell ref="B135:B136"/>
    <mergeCell ref="B137:B139"/>
    <mergeCell ref="B142:B144"/>
    <mergeCell ref="B145:B147"/>
    <mergeCell ref="B148:B149"/>
    <mergeCell ref="O1:O2"/>
    <mergeCell ref="P1:P2"/>
    <mergeCell ref="C1:D1"/>
    <mergeCell ref="I1:I2"/>
    <mergeCell ref="J1:J2"/>
    <mergeCell ref="K1:K2"/>
    <mergeCell ref="L1:L2"/>
    <mergeCell ref="M1:M2"/>
    <mergeCell ref="N1:N2"/>
    <mergeCell ref="C2:D2"/>
    <mergeCell ref="C3:H3"/>
    <mergeCell ref="B5:B26"/>
    <mergeCell ref="B28:B36"/>
    <mergeCell ref="B37:B45"/>
    <mergeCell ref="B46:B50"/>
    <mergeCell ref="C51:H51"/>
    <mergeCell ref="B53:B55"/>
    <mergeCell ref="B56:B58"/>
    <mergeCell ref="B59:B60"/>
    <mergeCell ref="B61:B63"/>
    <mergeCell ref="C64:H64"/>
    <mergeCell ref="B66:B68"/>
    <mergeCell ref="B69:B71"/>
    <mergeCell ref="B72:B73"/>
    <mergeCell ref="B74:B76"/>
    <mergeCell ref="C77:H77"/>
    <mergeCell ref="B79:B81"/>
    <mergeCell ref="B82:B84"/>
    <mergeCell ref="B85:B86"/>
    <mergeCell ref="C90:H90"/>
    <mergeCell ref="C103:H103"/>
    <mergeCell ref="B111:B112"/>
    <mergeCell ref="B113:B114"/>
    <mergeCell ref="C115:H115"/>
    <mergeCell ref="B117:B119"/>
    <mergeCell ref="B120:B122"/>
    <mergeCell ref="B123:B124"/>
    <mergeCell ref="B125:B126"/>
    <mergeCell ref="C127:H127"/>
    <mergeCell ref="C140:H140"/>
    <mergeCell ref="C152:H152"/>
  </mergeCells>
  <conditionalFormatting sqref="I3:N80 O3:P164 I83:N94 I96:N106 I110:N118 I122:N130 I133:N143 I147:N155 I159:N164">
    <cfRule type="cellIs" dxfId="0" priority="1" operator="equal">
      <formula>1</formula>
    </cfRule>
  </conditionalFormatting>
  <conditionalFormatting sqref="I3:N80 O3:P164 I83:N94 I96:N106 I110:N118 I122:N130 I133:N143 I147:N155 I159:N164">
    <cfRule type="cellIs" dxfId="6" priority="2" operator="equal">
      <formula>3</formula>
    </cfRule>
  </conditionalFormatting>
  <conditionalFormatting sqref="I3:N80 O3:P164 I83:N94 I96:N106 I110:N118 I122:N130 I133:N143 I147:N155 I159:N164">
    <cfRule type="cellIs" dxfId="0" priority="3" operator="equal">
      <formula>4</formula>
    </cfRule>
  </conditionalFormatting>
  <conditionalFormatting sqref="I3:N80 O3:P164 I83:N94 I96:N106 I110:N118 I122:N130 I133:N143 I147:N155 I159:N164">
    <cfRule type="cellIs" dxfId="3" priority="4" operator="equal">
      <formula>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38"/>
    <col customWidth="1" min="2" max="2" width="2.63"/>
    <col customWidth="1" min="3" max="3" width="26.63"/>
    <col customWidth="1" min="4" max="4" width="5.5"/>
    <col customWidth="1" min="5" max="5" width="16.88"/>
    <col customWidth="1" min="9" max="9" width="10.75"/>
    <col customWidth="1" min="10" max="15" width="12.63"/>
    <col customWidth="1" hidden="1" min="16" max="16" width="12.63"/>
    <col customWidth="1" min="17" max="18" width="12.63"/>
    <col customWidth="1" hidden="1" min="19" max="19" width="3.63"/>
  </cols>
  <sheetData>
    <row r="1">
      <c r="A1" s="346"/>
      <c r="B1" s="347" t="s">
        <v>207</v>
      </c>
      <c r="C1" s="348"/>
      <c r="D1" s="348"/>
      <c r="E1" s="348"/>
      <c r="F1" s="348"/>
      <c r="G1" s="348"/>
      <c r="H1" s="348"/>
      <c r="I1" s="349"/>
      <c r="J1" s="5" t="s">
        <v>1</v>
      </c>
      <c r="K1" s="5" t="s">
        <v>2</v>
      </c>
      <c r="L1" s="5" t="s">
        <v>3</v>
      </c>
      <c r="M1" s="5" t="s">
        <v>208</v>
      </c>
      <c r="N1" s="6" t="s">
        <v>209</v>
      </c>
      <c r="O1" s="5" t="s">
        <v>4</v>
      </c>
      <c r="P1" s="5" t="s">
        <v>210</v>
      </c>
      <c r="Q1" s="350" t="s">
        <v>211</v>
      </c>
      <c r="R1" s="351" t="s">
        <v>9</v>
      </c>
      <c r="S1" s="10"/>
    </row>
    <row r="2">
      <c r="A2" s="11"/>
      <c r="B2" s="352"/>
      <c r="C2" s="13" t="s">
        <v>212</v>
      </c>
      <c r="J2" s="14"/>
      <c r="K2" s="14"/>
      <c r="L2" s="14"/>
      <c r="M2" s="14"/>
      <c r="N2" s="14"/>
      <c r="O2" s="14"/>
      <c r="P2" s="14"/>
      <c r="Q2" s="353"/>
      <c r="R2" s="354"/>
      <c r="S2" s="17"/>
    </row>
    <row r="3" ht="89.25" customHeight="1">
      <c r="A3" s="11"/>
      <c r="B3" s="18"/>
      <c r="C3" s="19"/>
      <c r="J3" s="20"/>
      <c r="K3" s="20"/>
      <c r="L3" s="20"/>
      <c r="M3" s="20"/>
      <c r="N3" s="20"/>
      <c r="O3" s="20"/>
      <c r="P3" s="20"/>
      <c r="Q3" s="355"/>
      <c r="R3" s="356"/>
      <c r="S3" s="17"/>
    </row>
    <row r="4">
      <c r="A4" s="11"/>
      <c r="B4" s="24"/>
      <c r="C4" s="25" t="s">
        <v>11</v>
      </c>
      <c r="J4" s="26"/>
      <c r="K4" s="26"/>
      <c r="L4" s="26"/>
      <c r="M4" s="26"/>
      <c r="N4" s="26"/>
      <c r="O4" s="26"/>
      <c r="P4" s="26"/>
      <c r="Q4" s="26"/>
      <c r="R4" s="357"/>
      <c r="S4" s="17"/>
    </row>
    <row r="5">
      <c r="A5" s="11"/>
      <c r="B5" s="30"/>
      <c r="C5" s="31"/>
      <c r="D5" s="32"/>
      <c r="E5" s="33"/>
      <c r="F5" s="34"/>
      <c r="G5" s="35"/>
      <c r="H5" s="36"/>
      <c r="I5" s="358"/>
      <c r="J5" s="38" t="s">
        <v>1</v>
      </c>
      <c r="K5" s="39" t="s">
        <v>2</v>
      </c>
      <c r="L5" s="40" t="s">
        <v>3</v>
      </c>
      <c r="M5" s="39" t="s">
        <v>208</v>
      </c>
      <c r="N5" s="91" t="s">
        <v>13</v>
      </c>
      <c r="O5" s="90" t="s">
        <v>4</v>
      </c>
      <c r="P5" s="39" t="s">
        <v>210</v>
      </c>
      <c r="Q5" s="93" t="s">
        <v>15</v>
      </c>
      <c r="R5" s="359" t="s">
        <v>9</v>
      </c>
      <c r="S5" s="17"/>
    </row>
    <row r="6" ht="15.75" customHeight="1">
      <c r="A6" s="11"/>
      <c r="B6" s="46"/>
      <c r="C6" s="47" t="s">
        <v>213</v>
      </c>
      <c r="D6" s="48"/>
      <c r="E6" s="74" t="s">
        <v>41</v>
      </c>
      <c r="F6" s="50">
        <v>1.0</v>
      </c>
      <c r="G6" s="50">
        <v>2.0</v>
      </c>
      <c r="H6" s="51">
        <v>1.0</v>
      </c>
      <c r="I6" s="360"/>
      <c r="J6" s="53">
        <v>3.0</v>
      </c>
      <c r="K6" s="54">
        <v>3.0</v>
      </c>
      <c r="L6" s="361">
        <v>2.0</v>
      </c>
      <c r="M6" s="54">
        <v>1.0</v>
      </c>
      <c r="N6" s="362">
        <v>2.0</v>
      </c>
      <c r="O6" s="54">
        <v>3.0</v>
      </c>
      <c r="P6" s="54"/>
      <c r="Q6" s="62">
        <v>1.0</v>
      </c>
      <c r="R6" s="363">
        <v>2.14</v>
      </c>
      <c r="S6" s="17"/>
    </row>
    <row r="7" ht="15.75" customHeight="1">
      <c r="A7" s="11"/>
      <c r="C7" s="47" t="s">
        <v>214</v>
      </c>
      <c r="D7" s="48"/>
      <c r="E7" s="74" t="s">
        <v>41</v>
      </c>
      <c r="F7" s="50">
        <v>0.0</v>
      </c>
      <c r="G7" s="50">
        <v>2.0</v>
      </c>
      <c r="H7" s="51">
        <v>1.0</v>
      </c>
      <c r="I7" s="360"/>
      <c r="J7" s="61">
        <v>3.0</v>
      </c>
      <c r="K7" s="55">
        <v>2.0</v>
      </c>
      <c r="L7" s="364">
        <v>4.0</v>
      </c>
      <c r="M7" s="55">
        <v>2.0</v>
      </c>
      <c r="N7" s="365">
        <v>3.0</v>
      </c>
      <c r="O7" s="55">
        <v>2.0</v>
      </c>
      <c r="P7" s="55"/>
      <c r="Q7" s="62">
        <v>3.0</v>
      </c>
      <c r="R7" s="363">
        <v>2.38</v>
      </c>
      <c r="S7" s="17"/>
    </row>
    <row r="8" ht="15.75" customHeight="1">
      <c r="A8" s="11"/>
      <c r="C8" s="47" t="s">
        <v>215</v>
      </c>
      <c r="D8" s="48"/>
      <c r="E8" s="74" t="s">
        <v>41</v>
      </c>
      <c r="F8" s="50">
        <v>5.0</v>
      </c>
      <c r="G8" s="50">
        <v>5.0</v>
      </c>
      <c r="H8" s="51">
        <v>2.0</v>
      </c>
      <c r="I8" s="360"/>
      <c r="J8" s="61">
        <v>1.0</v>
      </c>
      <c r="K8" s="55">
        <v>1.0</v>
      </c>
      <c r="L8" s="366">
        <v>1.0</v>
      </c>
      <c r="M8" s="55">
        <v>1.0</v>
      </c>
      <c r="N8" s="367">
        <v>1.0</v>
      </c>
      <c r="O8" s="55">
        <v>1.0</v>
      </c>
      <c r="P8" s="55"/>
      <c r="Q8" s="62">
        <v>1.0</v>
      </c>
      <c r="R8" s="363">
        <v>1.48</v>
      </c>
      <c r="S8" s="17"/>
    </row>
    <row r="9" ht="15.75" customHeight="1">
      <c r="A9" s="11"/>
      <c r="C9" s="47" t="s">
        <v>216</v>
      </c>
      <c r="D9" s="48"/>
      <c r="E9" s="74" t="s">
        <v>41</v>
      </c>
      <c r="F9" s="50">
        <v>3.0</v>
      </c>
      <c r="G9" s="50">
        <v>1.0</v>
      </c>
      <c r="H9" s="51">
        <v>2.0</v>
      </c>
      <c r="I9" s="360"/>
      <c r="J9" s="61">
        <v>1.0</v>
      </c>
      <c r="K9" s="55">
        <v>2.0</v>
      </c>
      <c r="L9" s="361">
        <v>2.0</v>
      </c>
      <c r="M9" s="55">
        <v>1.0</v>
      </c>
      <c r="N9" s="367">
        <v>1.0</v>
      </c>
      <c r="O9" s="55">
        <v>1.0</v>
      </c>
      <c r="P9" s="55"/>
      <c r="Q9" s="62">
        <v>1.0</v>
      </c>
      <c r="R9" s="363">
        <v>2.15</v>
      </c>
      <c r="S9" s="17"/>
    </row>
    <row r="10" ht="15.75" customHeight="1">
      <c r="A10" s="11"/>
      <c r="C10" s="47" t="s">
        <v>217</v>
      </c>
      <c r="D10" s="48"/>
      <c r="E10" s="74" t="s">
        <v>41</v>
      </c>
      <c r="F10" s="50">
        <v>2.0</v>
      </c>
      <c r="G10" s="50">
        <v>3.0</v>
      </c>
      <c r="H10" s="51">
        <v>2.0</v>
      </c>
      <c r="I10" s="360"/>
      <c r="J10" s="61">
        <v>3.0</v>
      </c>
      <c r="K10" s="55">
        <v>3.0</v>
      </c>
      <c r="L10" s="366">
        <v>1.0</v>
      </c>
      <c r="M10" s="55">
        <v>1.0</v>
      </c>
      <c r="N10" s="365">
        <v>3.0</v>
      </c>
      <c r="O10" s="55">
        <v>2.0</v>
      </c>
      <c r="P10" s="55"/>
      <c r="Q10" s="62">
        <v>2.0</v>
      </c>
      <c r="R10" s="363">
        <v>2.16</v>
      </c>
      <c r="S10" s="17"/>
    </row>
    <row r="11" ht="15.75" customHeight="1">
      <c r="A11" s="11"/>
      <c r="C11" s="47" t="s">
        <v>218</v>
      </c>
      <c r="D11" s="48"/>
      <c r="E11" s="74" t="s">
        <v>41</v>
      </c>
      <c r="F11" s="50">
        <v>2.0</v>
      </c>
      <c r="G11" s="50">
        <v>2.0</v>
      </c>
      <c r="H11" s="51">
        <v>2.0</v>
      </c>
      <c r="I11" s="360"/>
      <c r="J11" s="61">
        <v>3.0</v>
      </c>
      <c r="K11" s="55">
        <v>2.0</v>
      </c>
      <c r="L11" s="366">
        <v>1.0</v>
      </c>
      <c r="M11" s="55">
        <v>2.0</v>
      </c>
      <c r="N11" s="368">
        <v>2.0</v>
      </c>
      <c r="O11" s="55">
        <v>2.0</v>
      </c>
      <c r="P11" s="55"/>
      <c r="Q11" s="62">
        <v>1.0</v>
      </c>
      <c r="R11" s="363">
        <v>2.28</v>
      </c>
      <c r="S11" s="17"/>
    </row>
    <row r="12" ht="15.75" customHeight="1">
      <c r="A12" s="11"/>
      <c r="C12" s="66" t="s">
        <v>219</v>
      </c>
      <c r="D12" s="48"/>
      <c r="E12" s="74"/>
      <c r="F12" s="67">
        <v>2.0</v>
      </c>
      <c r="G12" s="68">
        <v>1.0</v>
      </c>
      <c r="H12" s="69">
        <v>2.0</v>
      </c>
      <c r="I12" s="360"/>
      <c r="J12" s="61">
        <v>3.0</v>
      </c>
      <c r="K12" s="55">
        <v>2.0</v>
      </c>
      <c r="L12" s="366">
        <v>1.0</v>
      </c>
      <c r="M12" s="55">
        <v>1.0</v>
      </c>
      <c r="N12" s="365">
        <v>3.0</v>
      </c>
      <c r="O12" s="55">
        <v>1.0</v>
      </c>
      <c r="P12" s="55"/>
      <c r="Q12" s="62">
        <v>3.0</v>
      </c>
      <c r="R12" s="363">
        <v>1.96</v>
      </c>
      <c r="S12" s="17"/>
    </row>
    <row r="13" ht="15.75" customHeight="1">
      <c r="A13" s="11"/>
      <c r="C13" s="47" t="s">
        <v>220</v>
      </c>
      <c r="D13" s="48"/>
      <c r="E13" s="74"/>
      <c r="F13" s="50">
        <v>2.0</v>
      </c>
      <c r="G13" s="50">
        <v>2.0</v>
      </c>
      <c r="H13" s="51">
        <v>3.0</v>
      </c>
      <c r="I13" s="369"/>
      <c r="J13" s="61">
        <v>2.0</v>
      </c>
      <c r="K13" s="55">
        <v>1.0</v>
      </c>
      <c r="L13" s="366">
        <v>1.0</v>
      </c>
      <c r="M13" s="55">
        <v>3.0</v>
      </c>
      <c r="N13" s="367">
        <v>1.0</v>
      </c>
      <c r="O13" s="55">
        <v>1.0</v>
      </c>
      <c r="P13" s="55"/>
      <c r="Q13" s="62">
        <v>1.0</v>
      </c>
      <c r="R13" s="363">
        <v>1.71</v>
      </c>
      <c r="S13" s="17"/>
    </row>
    <row r="14" ht="15.75" customHeight="1">
      <c r="A14" s="11"/>
      <c r="C14" s="47" t="s">
        <v>221</v>
      </c>
      <c r="D14" s="48"/>
      <c r="E14" s="74"/>
      <c r="F14" s="70">
        <v>4.0</v>
      </c>
      <c r="G14" s="70">
        <v>5.0</v>
      </c>
      <c r="H14" s="71">
        <v>3.0</v>
      </c>
      <c r="I14" s="360"/>
      <c r="J14" s="61">
        <v>3.0</v>
      </c>
      <c r="K14" s="55">
        <v>2.0</v>
      </c>
      <c r="L14" s="361">
        <v>2.0</v>
      </c>
      <c r="M14" s="55">
        <v>1.0</v>
      </c>
      <c r="N14" s="367">
        <v>1.0</v>
      </c>
      <c r="O14" s="55">
        <v>2.0</v>
      </c>
      <c r="P14" s="55"/>
      <c r="Q14" s="62">
        <v>3.0</v>
      </c>
      <c r="R14" s="363">
        <v>1.68</v>
      </c>
      <c r="S14" s="17"/>
    </row>
    <row r="15" ht="15.75" customHeight="1">
      <c r="A15" s="11"/>
      <c r="C15" s="47" t="s">
        <v>222</v>
      </c>
      <c r="D15" s="48"/>
      <c r="E15" s="74" t="s">
        <v>43</v>
      </c>
      <c r="F15" s="50">
        <v>3.0</v>
      </c>
      <c r="G15" s="50">
        <v>3.0</v>
      </c>
      <c r="H15" s="51">
        <v>3.0</v>
      </c>
      <c r="I15" s="360"/>
      <c r="J15" s="61">
        <v>1.0</v>
      </c>
      <c r="K15" s="55">
        <v>2.0</v>
      </c>
      <c r="L15" s="361">
        <v>2.0</v>
      </c>
      <c r="M15" s="55">
        <v>1.0</v>
      </c>
      <c r="N15" s="368">
        <v>2.0</v>
      </c>
      <c r="O15" s="55">
        <v>2.0</v>
      </c>
      <c r="P15" s="55"/>
      <c r="Q15" s="62">
        <v>4.0</v>
      </c>
      <c r="R15" s="363">
        <v>2.5</v>
      </c>
      <c r="S15" s="17"/>
    </row>
    <row r="16" ht="15.75" customHeight="1">
      <c r="A16" s="11"/>
      <c r="C16" s="47" t="s">
        <v>223</v>
      </c>
      <c r="D16" s="48"/>
      <c r="E16" s="74" t="s">
        <v>41</v>
      </c>
      <c r="F16" s="50">
        <v>3.0</v>
      </c>
      <c r="G16" s="50">
        <v>4.0</v>
      </c>
      <c r="H16" s="51">
        <v>3.0</v>
      </c>
      <c r="I16" s="360"/>
      <c r="J16" s="61">
        <v>3.0</v>
      </c>
      <c r="K16" s="55">
        <v>3.0</v>
      </c>
      <c r="L16" s="361">
        <v>2.0</v>
      </c>
      <c r="M16" s="55">
        <v>1.0</v>
      </c>
      <c r="N16" s="368">
        <v>2.0</v>
      </c>
      <c r="O16" s="55">
        <v>3.0</v>
      </c>
      <c r="P16" s="55"/>
      <c r="Q16" s="62">
        <v>2.0</v>
      </c>
      <c r="R16" s="363">
        <v>2.66</v>
      </c>
      <c r="S16" s="17"/>
    </row>
    <row r="17" ht="15.75" customHeight="1">
      <c r="A17" s="11"/>
      <c r="C17" s="47" t="s">
        <v>224</v>
      </c>
      <c r="D17" s="48"/>
      <c r="E17" s="74" t="s">
        <v>41</v>
      </c>
      <c r="F17" s="50">
        <v>5.0</v>
      </c>
      <c r="G17" s="50">
        <v>4.0</v>
      </c>
      <c r="H17" s="51">
        <v>3.0</v>
      </c>
      <c r="I17" s="360"/>
      <c r="J17" s="61">
        <v>1.0</v>
      </c>
      <c r="K17" s="55">
        <v>2.0</v>
      </c>
      <c r="L17" s="366">
        <v>1.0</v>
      </c>
      <c r="M17" s="55">
        <v>1.0</v>
      </c>
      <c r="N17" s="367">
        <v>1.0</v>
      </c>
      <c r="O17" s="55">
        <v>1.0</v>
      </c>
      <c r="P17" s="55"/>
      <c r="Q17" s="62">
        <v>1.0</v>
      </c>
      <c r="R17" s="363">
        <v>1.55</v>
      </c>
      <c r="S17" s="17"/>
    </row>
    <row r="18" ht="15.75" customHeight="1">
      <c r="A18" s="11"/>
      <c r="C18" s="47" t="s">
        <v>225</v>
      </c>
      <c r="D18" s="48"/>
      <c r="E18" s="74"/>
      <c r="F18" s="50">
        <v>4.0</v>
      </c>
      <c r="G18" s="50">
        <v>2.0</v>
      </c>
      <c r="H18" s="51">
        <v>2.0</v>
      </c>
      <c r="I18" s="360"/>
      <c r="J18" s="61">
        <v>1.0</v>
      </c>
      <c r="K18" s="55">
        <v>1.0</v>
      </c>
      <c r="L18" s="366">
        <v>1.0</v>
      </c>
      <c r="M18" s="55">
        <v>1.0</v>
      </c>
      <c r="N18" s="367">
        <v>1.0</v>
      </c>
      <c r="O18" s="55">
        <v>1.0</v>
      </c>
      <c r="P18" s="55"/>
      <c r="Q18" s="62">
        <v>1.0</v>
      </c>
      <c r="R18" s="363">
        <v>2.11</v>
      </c>
      <c r="S18" s="17"/>
    </row>
    <row r="19" ht="15.75" customHeight="1">
      <c r="A19" s="11"/>
      <c r="C19" s="72" t="s">
        <v>226</v>
      </c>
      <c r="D19" s="73"/>
      <c r="E19" s="74"/>
      <c r="F19" s="70">
        <v>2.0</v>
      </c>
      <c r="G19" s="70">
        <v>5.0</v>
      </c>
      <c r="H19" s="71">
        <v>3.0</v>
      </c>
      <c r="I19" s="360"/>
      <c r="J19" s="61">
        <v>1.0</v>
      </c>
      <c r="K19" s="55">
        <v>1.0</v>
      </c>
      <c r="L19" s="366">
        <v>1.0</v>
      </c>
      <c r="M19" s="55">
        <v>1.0</v>
      </c>
      <c r="N19" s="368">
        <v>2.0</v>
      </c>
      <c r="O19" s="55">
        <v>1.0</v>
      </c>
      <c r="P19" s="55"/>
      <c r="Q19" s="62">
        <v>1.0</v>
      </c>
      <c r="R19" s="363">
        <v>1.57</v>
      </c>
      <c r="S19" s="17"/>
    </row>
    <row r="20" ht="15.75" customHeight="1">
      <c r="A20" s="11"/>
      <c r="C20" s="47" t="s">
        <v>227</v>
      </c>
      <c r="D20" s="48"/>
      <c r="E20" s="74" t="s">
        <v>41</v>
      </c>
      <c r="F20" s="50">
        <v>2.0</v>
      </c>
      <c r="G20" s="50">
        <v>4.0</v>
      </c>
      <c r="H20" s="51">
        <v>3.0</v>
      </c>
      <c r="I20" s="360"/>
      <c r="J20" s="61">
        <v>2.0</v>
      </c>
      <c r="K20" s="55">
        <v>3.0</v>
      </c>
      <c r="L20" s="370">
        <v>3.0</v>
      </c>
      <c r="M20" s="55">
        <v>4.0</v>
      </c>
      <c r="N20" s="368">
        <v>2.0</v>
      </c>
      <c r="O20" s="55">
        <v>4.0</v>
      </c>
      <c r="P20" s="55"/>
      <c r="Q20" s="62">
        <v>1.0</v>
      </c>
      <c r="R20" s="363">
        <v>2.98</v>
      </c>
      <c r="S20" s="17"/>
    </row>
    <row r="21" ht="15.75" customHeight="1">
      <c r="A21" s="11"/>
      <c r="C21" s="47" t="s">
        <v>228</v>
      </c>
      <c r="D21" s="48"/>
      <c r="E21" s="74" t="s">
        <v>41</v>
      </c>
      <c r="F21" s="70">
        <v>4.0</v>
      </c>
      <c r="G21" s="70">
        <v>3.0</v>
      </c>
      <c r="H21" s="71">
        <v>3.0</v>
      </c>
      <c r="I21" s="360"/>
      <c r="J21" s="61">
        <v>1.0</v>
      </c>
      <c r="K21" s="55">
        <v>1.0</v>
      </c>
      <c r="L21" s="366">
        <v>1.0</v>
      </c>
      <c r="M21" s="55">
        <v>1.0</v>
      </c>
      <c r="N21" s="367">
        <v>1.0</v>
      </c>
      <c r="O21" s="55">
        <v>1.0</v>
      </c>
      <c r="P21" s="55"/>
      <c r="Q21" s="62">
        <v>2.0</v>
      </c>
      <c r="R21" s="363">
        <v>1.74</v>
      </c>
      <c r="S21" s="17"/>
    </row>
    <row r="22" ht="15.75" customHeight="1">
      <c r="A22" s="11"/>
      <c r="C22" s="47" t="s">
        <v>229</v>
      </c>
      <c r="D22" s="48"/>
      <c r="E22" s="74"/>
      <c r="F22" s="70">
        <v>4.0</v>
      </c>
      <c r="G22" s="70">
        <v>4.0</v>
      </c>
      <c r="H22" s="71">
        <v>4.0</v>
      </c>
      <c r="I22" s="360"/>
      <c r="J22" s="61">
        <v>1.0</v>
      </c>
      <c r="K22" s="55">
        <v>1.0</v>
      </c>
      <c r="L22" s="366">
        <v>1.0</v>
      </c>
      <c r="M22" s="55">
        <v>1.0</v>
      </c>
      <c r="N22" s="367">
        <v>1.0</v>
      </c>
      <c r="O22" s="55">
        <v>1.0</v>
      </c>
      <c r="P22" s="55"/>
      <c r="Q22" s="62">
        <v>1.0</v>
      </c>
      <c r="R22" s="363">
        <v>1.43</v>
      </c>
      <c r="S22" s="17"/>
    </row>
    <row r="23" ht="15.75" customHeight="1">
      <c r="A23" s="11"/>
      <c r="C23" s="47" t="s">
        <v>230</v>
      </c>
      <c r="D23" s="48"/>
      <c r="E23" s="74"/>
      <c r="F23" s="50">
        <v>2.0</v>
      </c>
      <c r="G23" s="50">
        <v>2.0</v>
      </c>
      <c r="H23" s="51">
        <v>4.0</v>
      </c>
      <c r="I23" s="360"/>
      <c r="J23" s="61">
        <v>1.0</v>
      </c>
      <c r="K23" s="55">
        <v>1.0</v>
      </c>
      <c r="L23" s="370">
        <v>3.0</v>
      </c>
      <c r="M23" s="55">
        <v>2.0</v>
      </c>
      <c r="N23" s="368">
        <v>2.0</v>
      </c>
      <c r="O23" s="55">
        <v>1.0</v>
      </c>
      <c r="P23" s="55"/>
      <c r="Q23" s="62">
        <v>3.0</v>
      </c>
      <c r="R23" s="363">
        <v>2.21</v>
      </c>
      <c r="S23" s="17"/>
    </row>
    <row r="24" ht="15.75" customHeight="1">
      <c r="A24" s="11"/>
      <c r="C24" s="47" t="s">
        <v>231</v>
      </c>
      <c r="D24" s="48"/>
      <c r="E24" s="74" t="s">
        <v>41</v>
      </c>
      <c r="F24" s="70">
        <v>4.0</v>
      </c>
      <c r="G24" s="70">
        <v>6.0</v>
      </c>
      <c r="H24" s="71">
        <v>6.0</v>
      </c>
      <c r="I24" s="360"/>
      <c r="J24" s="105">
        <v>1.0</v>
      </c>
      <c r="K24" s="75">
        <v>1.0</v>
      </c>
      <c r="L24" s="371">
        <v>1.0</v>
      </c>
      <c r="M24" s="75">
        <v>1.0</v>
      </c>
      <c r="N24" s="75">
        <v>1.0</v>
      </c>
      <c r="O24" s="76">
        <v>1.0</v>
      </c>
      <c r="P24" s="76"/>
      <c r="Q24" s="77">
        <v>1.0</v>
      </c>
      <c r="R24" s="372">
        <v>1.45</v>
      </c>
      <c r="S24" s="17"/>
    </row>
    <row r="25" ht="15.75" customHeight="1">
      <c r="A25" s="11"/>
      <c r="B25" s="80"/>
      <c r="C25" s="81"/>
      <c r="D25" s="82"/>
      <c r="E25" s="83"/>
      <c r="F25" s="84"/>
      <c r="G25" s="85"/>
      <c r="H25" s="86"/>
      <c r="I25" s="358"/>
      <c r="J25" s="38" t="s">
        <v>1</v>
      </c>
      <c r="K25" s="39" t="s">
        <v>2</v>
      </c>
      <c r="L25" s="139" t="s">
        <v>3</v>
      </c>
      <c r="M25" s="39" t="s">
        <v>208</v>
      </c>
      <c r="N25" s="91" t="s">
        <v>13</v>
      </c>
      <c r="O25" s="140" t="s">
        <v>4</v>
      </c>
      <c r="P25" s="88" t="s">
        <v>210</v>
      </c>
      <c r="Q25" s="93" t="s">
        <v>15</v>
      </c>
      <c r="R25" s="373" t="s">
        <v>9</v>
      </c>
      <c r="S25" s="17"/>
    </row>
    <row r="26" ht="15.75" customHeight="1">
      <c r="A26" s="11"/>
      <c r="B26" s="97"/>
      <c r="C26" s="66" t="s">
        <v>232</v>
      </c>
      <c r="D26" s="48"/>
      <c r="E26" s="98" t="s">
        <v>41</v>
      </c>
      <c r="F26" s="50">
        <v>2.0</v>
      </c>
      <c r="G26" s="50">
        <v>1.0</v>
      </c>
      <c r="H26" s="51">
        <v>1.0</v>
      </c>
      <c r="I26" s="374"/>
      <c r="J26" s="53">
        <v>3.0</v>
      </c>
      <c r="K26" s="54">
        <v>3.0</v>
      </c>
      <c r="L26" s="366">
        <v>1.0</v>
      </c>
      <c r="M26" s="375" t="s">
        <v>233</v>
      </c>
      <c r="N26" s="362">
        <v>2.0</v>
      </c>
      <c r="O26" s="56">
        <v>3.0</v>
      </c>
      <c r="P26" s="56"/>
      <c r="Q26" s="376">
        <v>1.0</v>
      </c>
      <c r="R26" s="377">
        <v>2.11</v>
      </c>
      <c r="S26" s="17"/>
    </row>
    <row r="27" ht="15.75" customHeight="1">
      <c r="A27" s="11"/>
      <c r="C27" s="66" t="s">
        <v>234</v>
      </c>
      <c r="D27" s="48"/>
      <c r="E27" s="98"/>
      <c r="F27" s="50">
        <v>2.0</v>
      </c>
      <c r="G27" s="50">
        <v>2.0</v>
      </c>
      <c r="H27" s="51">
        <v>2.0</v>
      </c>
      <c r="I27" s="374"/>
      <c r="J27" s="61">
        <v>1.0</v>
      </c>
      <c r="K27" s="55">
        <v>2.0</v>
      </c>
      <c r="L27" s="366">
        <v>1.0</v>
      </c>
      <c r="M27" s="55">
        <v>1.0</v>
      </c>
      <c r="N27" s="368">
        <v>2.0</v>
      </c>
      <c r="O27" s="55">
        <v>2.0</v>
      </c>
      <c r="P27" s="55"/>
      <c r="Q27" s="62">
        <v>2.0</v>
      </c>
      <c r="R27" s="377">
        <v>2.14</v>
      </c>
      <c r="S27" s="17"/>
    </row>
    <row r="28" ht="15.75" customHeight="1">
      <c r="A28" s="11"/>
      <c r="C28" s="66" t="s">
        <v>235</v>
      </c>
      <c r="D28" s="48"/>
      <c r="E28" s="98" t="s">
        <v>41</v>
      </c>
      <c r="F28" s="50">
        <v>5.0</v>
      </c>
      <c r="G28" s="50">
        <v>4.0</v>
      </c>
      <c r="H28" s="51">
        <v>5.0</v>
      </c>
      <c r="I28" s="374"/>
      <c r="J28" s="61">
        <v>1.0</v>
      </c>
      <c r="K28" s="55">
        <v>1.0</v>
      </c>
      <c r="L28" s="366">
        <v>1.0</v>
      </c>
      <c r="M28" s="55">
        <v>3.0</v>
      </c>
      <c r="N28" s="367">
        <v>1.0</v>
      </c>
      <c r="O28" s="55">
        <v>1.0</v>
      </c>
      <c r="P28" s="55"/>
      <c r="Q28" s="62">
        <v>2.0</v>
      </c>
      <c r="R28" s="377">
        <v>2.12</v>
      </c>
      <c r="S28" s="17"/>
    </row>
    <row r="29" ht="15.75" customHeight="1">
      <c r="A29" s="11"/>
      <c r="C29" s="66" t="s">
        <v>236</v>
      </c>
      <c r="D29" s="48"/>
      <c r="E29" s="98"/>
      <c r="F29" s="50">
        <v>4.0</v>
      </c>
      <c r="G29" s="50">
        <v>4.0</v>
      </c>
      <c r="H29" s="51">
        <v>5.0</v>
      </c>
      <c r="I29" s="374"/>
      <c r="J29" s="61">
        <v>2.0</v>
      </c>
      <c r="K29" s="55">
        <v>1.0</v>
      </c>
      <c r="L29" s="366">
        <v>1.0</v>
      </c>
      <c r="M29" s="55">
        <v>1.0</v>
      </c>
      <c r="N29" s="368">
        <v>2.0</v>
      </c>
      <c r="O29" s="55">
        <v>2.0</v>
      </c>
      <c r="P29" s="55"/>
      <c r="Q29" s="62">
        <v>2.0</v>
      </c>
      <c r="R29" s="377">
        <v>2.18</v>
      </c>
      <c r="S29" s="17"/>
    </row>
    <row r="30" ht="15.75" customHeight="1">
      <c r="A30" s="11"/>
      <c r="C30" s="66" t="s">
        <v>237</v>
      </c>
      <c r="D30" s="48"/>
      <c r="E30" s="98" t="s">
        <v>41</v>
      </c>
      <c r="F30" s="50">
        <v>4.0</v>
      </c>
      <c r="G30" s="50">
        <v>6.0</v>
      </c>
      <c r="H30" s="51">
        <v>5.0</v>
      </c>
      <c r="I30" s="374"/>
      <c r="J30" s="61">
        <v>1.0</v>
      </c>
      <c r="K30" s="55">
        <v>1.0</v>
      </c>
      <c r="L30" s="366">
        <v>1.0</v>
      </c>
      <c r="M30" s="55">
        <v>1.0</v>
      </c>
      <c r="N30" s="367">
        <v>1.0</v>
      </c>
      <c r="O30" s="55">
        <v>1.0</v>
      </c>
      <c r="P30" s="55"/>
      <c r="Q30" s="62">
        <v>2.0</v>
      </c>
      <c r="R30" s="377">
        <v>1.7</v>
      </c>
      <c r="S30" s="17"/>
    </row>
    <row r="31" ht="15.75" customHeight="1">
      <c r="A31" s="11"/>
      <c r="C31" s="66" t="s">
        <v>238</v>
      </c>
      <c r="D31" s="48"/>
      <c r="E31" s="98" t="s">
        <v>41</v>
      </c>
      <c r="F31" s="50">
        <v>4.0</v>
      </c>
      <c r="G31" s="50">
        <v>8.0</v>
      </c>
      <c r="H31" s="51">
        <v>9.0</v>
      </c>
      <c r="I31" s="374"/>
      <c r="J31" s="61">
        <v>1.0</v>
      </c>
      <c r="K31" s="55">
        <v>1.0</v>
      </c>
      <c r="L31" s="366">
        <v>1.0</v>
      </c>
      <c r="M31" s="55">
        <v>1.0</v>
      </c>
      <c r="N31" s="367">
        <v>1.0</v>
      </c>
      <c r="O31" s="55">
        <v>1.0</v>
      </c>
      <c r="P31" s="55"/>
      <c r="Q31" s="62">
        <v>1.0</v>
      </c>
      <c r="R31" s="377">
        <v>1.73</v>
      </c>
      <c r="S31" s="17"/>
    </row>
    <row r="32" ht="15.75" customHeight="1">
      <c r="A32" s="11"/>
      <c r="B32" s="378"/>
      <c r="C32" s="66" t="s">
        <v>239</v>
      </c>
      <c r="D32" s="48"/>
      <c r="E32" s="98"/>
      <c r="F32" s="50">
        <v>3.0</v>
      </c>
      <c r="G32" s="50">
        <v>3.0</v>
      </c>
      <c r="H32" s="51">
        <v>3.0</v>
      </c>
      <c r="I32" s="374"/>
      <c r="J32" s="61">
        <v>1.0</v>
      </c>
      <c r="K32" s="55">
        <v>1.0</v>
      </c>
      <c r="L32" s="361">
        <v>2.0</v>
      </c>
      <c r="M32" s="55">
        <v>1.0</v>
      </c>
      <c r="N32" s="368">
        <v>2.0</v>
      </c>
      <c r="O32" s="55">
        <v>1.0</v>
      </c>
      <c r="P32" s="55"/>
      <c r="Q32" s="62">
        <v>2.0</v>
      </c>
      <c r="R32" s="377">
        <v>2.3</v>
      </c>
      <c r="S32" s="17"/>
    </row>
    <row r="33" ht="15.75" customHeight="1">
      <c r="A33" s="11"/>
      <c r="C33" s="66" t="s">
        <v>240</v>
      </c>
      <c r="D33" s="48"/>
      <c r="E33" s="98"/>
      <c r="F33" s="50">
        <v>3.0</v>
      </c>
      <c r="G33" s="50">
        <v>2.0</v>
      </c>
      <c r="H33" s="65">
        <v>3.0</v>
      </c>
      <c r="I33" s="360"/>
      <c r="J33" s="61">
        <v>1.0</v>
      </c>
      <c r="K33" s="55">
        <v>1.0</v>
      </c>
      <c r="L33" s="361">
        <v>2.0</v>
      </c>
      <c r="M33" s="55">
        <v>1.0</v>
      </c>
      <c r="N33" s="367">
        <v>1.0</v>
      </c>
      <c r="O33" s="55">
        <v>1.0</v>
      </c>
      <c r="P33" s="55"/>
      <c r="Q33" s="62">
        <v>1.0</v>
      </c>
      <c r="R33" s="377">
        <v>1.82</v>
      </c>
      <c r="S33" s="17"/>
    </row>
    <row r="34" ht="15.75" customHeight="1">
      <c r="A34" s="11"/>
      <c r="C34" s="66" t="s">
        <v>241</v>
      </c>
      <c r="D34" s="48"/>
      <c r="E34" s="98"/>
      <c r="F34" s="50">
        <v>2.0</v>
      </c>
      <c r="G34" s="50">
        <v>5.0</v>
      </c>
      <c r="H34" s="65">
        <v>3.0</v>
      </c>
      <c r="I34" s="360"/>
      <c r="J34" s="61">
        <v>3.0</v>
      </c>
      <c r="K34" s="55">
        <v>2.0</v>
      </c>
      <c r="L34" s="364">
        <v>4.0</v>
      </c>
      <c r="M34" s="55">
        <v>3.0</v>
      </c>
      <c r="N34" s="365">
        <v>3.0</v>
      </c>
      <c r="O34" s="55">
        <v>4.0</v>
      </c>
      <c r="P34" s="55"/>
      <c r="Q34" s="62">
        <v>2.0</v>
      </c>
      <c r="R34" s="377">
        <v>2.67</v>
      </c>
      <c r="S34" s="17"/>
    </row>
    <row r="35" ht="15.75" customHeight="1">
      <c r="A35" s="11"/>
      <c r="C35" s="66" t="s">
        <v>242</v>
      </c>
      <c r="D35" s="48"/>
      <c r="E35" s="98"/>
      <c r="F35" s="50">
        <v>3.0</v>
      </c>
      <c r="G35" s="50">
        <v>6.0</v>
      </c>
      <c r="H35" s="65">
        <v>4.0</v>
      </c>
      <c r="I35" s="379"/>
      <c r="J35" s="61">
        <v>1.0</v>
      </c>
      <c r="K35" s="55">
        <v>2.0</v>
      </c>
      <c r="L35" s="366">
        <v>1.0</v>
      </c>
      <c r="M35" s="55">
        <v>1.0</v>
      </c>
      <c r="N35" s="368">
        <v>2.0</v>
      </c>
      <c r="O35" s="55">
        <v>1.0</v>
      </c>
      <c r="P35" s="55"/>
      <c r="Q35" s="62">
        <v>1.0</v>
      </c>
      <c r="R35" s="377">
        <v>1.59</v>
      </c>
      <c r="S35" s="17"/>
    </row>
    <row r="36" ht="15.75" customHeight="1">
      <c r="A36" s="11"/>
      <c r="C36" s="66" t="s">
        <v>243</v>
      </c>
      <c r="D36" s="48"/>
      <c r="E36" s="98" t="s">
        <v>41</v>
      </c>
      <c r="F36" s="50">
        <v>4.0</v>
      </c>
      <c r="G36" s="50">
        <v>4.0</v>
      </c>
      <c r="H36" s="65">
        <v>4.0</v>
      </c>
      <c r="I36" s="379"/>
      <c r="J36" s="61">
        <v>3.0</v>
      </c>
      <c r="K36" s="55">
        <v>1.0</v>
      </c>
      <c r="L36" s="366">
        <v>1.0</v>
      </c>
      <c r="M36" s="55">
        <v>1.0</v>
      </c>
      <c r="N36" s="367">
        <v>1.0</v>
      </c>
      <c r="O36" s="55">
        <v>1.0</v>
      </c>
      <c r="P36" s="55"/>
      <c r="Q36" s="62">
        <v>2.0</v>
      </c>
      <c r="R36" s="377">
        <v>2.14</v>
      </c>
      <c r="S36" s="17"/>
    </row>
    <row r="37" ht="15.75" customHeight="1">
      <c r="A37" s="11"/>
      <c r="B37" s="380"/>
      <c r="C37" s="66" t="s">
        <v>244</v>
      </c>
      <c r="D37" s="48"/>
      <c r="E37" s="98"/>
      <c r="F37" s="50">
        <v>2.0</v>
      </c>
      <c r="G37" s="50">
        <v>2.0</v>
      </c>
      <c r="H37" s="65">
        <v>2.0</v>
      </c>
      <c r="I37" s="379"/>
      <c r="J37" s="61">
        <v>4.0</v>
      </c>
      <c r="K37" s="55">
        <v>3.0</v>
      </c>
      <c r="L37" s="364">
        <v>4.0</v>
      </c>
      <c r="M37" s="55">
        <v>4.0</v>
      </c>
      <c r="N37" s="381">
        <v>4.0</v>
      </c>
      <c r="O37" s="55">
        <v>3.0</v>
      </c>
      <c r="P37" s="55"/>
      <c r="Q37" s="62">
        <v>4.0</v>
      </c>
      <c r="R37" s="377">
        <v>3.48</v>
      </c>
      <c r="S37" s="17"/>
    </row>
    <row r="38" ht="15.75" customHeight="1">
      <c r="A38" s="11"/>
      <c r="C38" s="66" t="s">
        <v>245</v>
      </c>
      <c r="D38" s="48"/>
      <c r="E38" s="98" t="s">
        <v>41</v>
      </c>
      <c r="F38" s="50">
        <v>6.0</v>
      </c>
      <c r="G38" s="50">
        <v>6.0</v>
      </c>
      <c r="H38" s="65">
        <v>6.0</v>
      </c>
      <c r="I38" s="379"/>
      <c r="J38" s="61">
        <v>1.0</v>
      </c>
      <c r="K38" s="55">
        <v>5.0</v>
      </c>
      <c r="L38" s="382">
        <v>5.0</v>
      </c>
      <c r="M38" s="55">
        <v>4.0</v>
      </c>
      <c r="N38" s="367">
        <v>1.0</v>
      </c>
      <c r="O38" s="55">
        <v>3.0</v>
      </c>
      <c r="P38" s="55"/>
      <c r="Q38" s="62">
        <v>3.0</v>
      </c>
      <c r="R38" s="377">
        <v>3.18</v>
      </c>
      <c r="S38" s="17"/>
    </row>
    <row r="39" ht="15.75" customHeight="1">
      <c r="A39" s="11"/>
      <c r="C39" s="66" t="s">
        <v>246</v>
      </c>
      <c r="D39" s="48"/>
      <c r="E39" s="98"/>
      <c r="F39" s="50">
        <v>7.0</v>
      </c>
      <c r="G39" s="50">
        <v>7.0</v>
      </c>
      <c r="H39" s="65">
        <v>7.0</v>
      </c>
      <c r="I39" s="379"/>
      <c r="J39" s="61">
        <v>4.0</v>
      </c>
      <c r="K39" s="55">
        <v>3.0</v>
      </c>
      <c r="L39" s="366">
        <v>1.0</v>
      </c>
      <c r="M39" s="55">
        <v>4.0</v>
      </c>
      <c r="N39" s="367">
        <v>1.0</v>
      </c>
      <c r="O39" s="55">
        <v>1.0</v>
      </c>
      <c r="P39" s="55"/>
      <c r="Q39" s="62">
        <v>1.0</v>
      </c>
      <c r="R39" s="377">
        <v>2.49</v>
      </c>
      <c r="S39" s="17"/>
    </row>
    <row r="40" ht="15.75" customHeight="1">
      <c r="A40" s="11"/>
      <c r="C40" s="66" t="s">
        <v>247</v>
      </c>
      <c r="D40" s="48"/>
      <c r="E40" s="98" t="s">
        <v>248</v>
      </c>
      <c r="F40" s="50">
        <v>5.0</v>
      </c>
      <c r="G40" s="50">
        <v>5.0</v>
      </c>
      <c r="H40" s="65">
        <v>8.0</v>
      </c>
      <c r="I40" s="379"/>
      <c r="J40" s="61">
        <v>3.0</v>
      </c>
      <c r="K40" s="55">
        <v>2.0</v>
      </c>
      <c r="L40" s="361">
        <v>2.0</v>
      </c>
      <c r="M40" s="55">
        <v>2.0</v>
      </c>
      <c r="N40" s="365">
        <v>3.0</v>
      </c>
      <c r="O40" s="55">
        <v>2.0</v>
      </c>
      <c r="P40" s="55"/>
      <c r="Q40" s="62">
        <v>3.0</v>
      </c>
      <c r="R40" s="377">
        <v>3.28</v>
      </c>
      <c r="S40" s="17"/>
    </row>
    <row r="41" ht="15.75" customHeight="1">
      <c r="A41" s="11"/>
      <c r="B41" s="22"/>
      <c r="C41" s="66" t="s">
        <v>249</v>
      </c>
      <c r="D41" s="48"/>
      <c r="E41" s="383" t="s">
        <v>162</v>
      </c>
      <c r="F41" s="144" t="s">
        <v>68</v>
      </c>
      <c r="G41" s="144" t="s">
        <v>68</v>
      </c>
      <c r="H41" s="65">
        <v>9.0</v>
      </c>
      <c r="I41" s="384"/>
      <c r="J41" s="105">
        <v>1.0</v>
      </c>
      <c r="K41" s="75">
        <v>2.0</v>
      </c>
      <c r="L41" s="385">
        <v>2.0</v>
      </c>
      <c r="M41" s="75">
        <v>2.0</v>
      </c>
      <c r="N41" s="386">
        <v>1.0</v>
      </c>
      <c r="O41" s="75">
        <v>1.0</v>
      </c>
      <c r="P41" s="75"/>
      <c r="Q41" s="387">
        <v>1.0</v>
      </c>
      <c r="R41" s="377">
        <v>2.31</v>
      </c>
      <c r="S41" s="17"/>
    </row>
    <row r="42" ht="15.75" customHeight="1">
      <c r="A42" s="11"/>
      <c r="B42" s="121"/>
      <c r="C42" s="122" t="s">
        <v>63</v>
      </c>
      <c r="D42" s="123"/>
      <c r="E42" s="124"/>
      <c r="F42" s="125"/>
      <c r="G42" s="125"/>
      <c r="H42" s="125"/>
      <c r="I42" s="127"/>
      <c r="J42" s="388"/>
      <c r="K42" s="389"/>
      <c r="L42" s="129"/>
      <c r="M42" s="389"/>
      <c r="N42" s="390"/>
      <c r="O42" s="389"/>
      <c r="P42" s="390"/>
      <c r="Q42" s="391"/>
      <c r="R42" s="392"/>
      <c r="S42" s="17"/>
    </row>
    <row r="43" ht="15.75" customHeight="1">
      <c r="A43" s="11"/>
      <c r="B43" s="135"/>
      <c r="C43" s="136"/>
      <c r="D43" s="137"/>
      <c r="E43" s="138"/>
      <c r="F43" s="85"/>
      <c r="G43" s="85"/>
      <c r="H43" s="86"/>
      <c r="I43" s="384"/>
      <c r="J43" s="92" t="s">
        <v>1</v>
      </c>
      <c r="K43" s="393" t="s">
        <v>2</v>
      </c>
      <c r="L43" s="89" t="s">
        <v>3</v>
      </c>
      <c r="M43" s="393" t="s">
        <v>208</v>
      </c>
      <c r="N43" s="91" t="s">
        <v>13</v>
      </c>
      <c r="O43" s="394" t="s">
        <v>4</v>
      </c>
      <c r="P43" s="393" t="s">
        <v>210</v>
      </c>
      <c r="Q43" s="93" t="s">
        <v>15</v>
      </c>
      <c r="R43" s="373" t="s">
        <v>9</v>
      </c>
      <c r="S43" s="17"/>
    </row>
    <row r="44" ht="15.75" customHeight="1">
      <c r="A44" s="11"/>
      <c r="B44" s="46" t="s">
        <v>64</v>
      </c>
      <c r="C44" s="141" t="s">
        <v>250</v>
      </c>
      <c r="D44" s="395" t="s">
        <v>75</v>
      </c>
      <c r="E44" s="396" t="s">
        <v>112</v>
      </c>
      <c r="F44" s="144" t="s">
        <v>68</v>
      </c>
      <c r="G44" s="144" t="s">
        <v>68</v>
      </c>
      <c r="H44" s="145">
        <v>0.0</v>
      </c>
      <c r="I44" s="379"/>
      <c r="J44" s="53">
        <v>5.0</v>
      </c>
      <c r="K44" s="54">
        <v>4.0</v>
      </c>
      <c r="L44" s="370">
        <v>3.0</v>
      </c>
      <c r="M44" s="54">
        <v>3.0</v>
      </c>
      <c r="N44" s="54">
        <v>4.0</v>
      </c>
      <c r="O44" s="54">
        <v>4.0</v>
      </c>
      <c r="P44" s="54"/>
      <c r="Q44" s="57">
        <v>4.0</v>
      </c>
      <c r="R44" s="377">
        <v>3.93</v>
      </c>
      <c r="S44" s="17"/>
    </row>
    <row r="45" ht="15.75" customHeight="1">
      <c r="A45" s="11"/>
      <c r="C45" s="397" t="s">
        <v>251</v>
      </c>
      <c r="D45" s="398"/>
      <c r="E45" s="225" t="s">
        <v>41</v>
      </c>
      <c r="F45" s="175">
        <v>1.0</v>
      </c>
      <c r="G45" s="175">
        <v>2.0</v>
      </c>
      <c r="H45" s="399">
        <v>1.0</v>
      </c>
      <c r="I45" s="379"/>
      <c r="J45" s="61">
        <v>3.0</v>
      </c>
      <c r="K45" s="55">
        <v>4.0</v>
      </c>
      <c r="L45" s="366">
        <v>1.0</v>
      </c>
      <c r="M45" s="55">
        <v>2.0</v>
      </c>
      <c r="N45" s="55">
        <v>3.0</v>
      </c>
      <c r="O45" s="55">
        <v>3.0</v>
      </c>
      <c r="P45" s="55"/>
      <c r="Q45" s="62">
        <v>2.0</v>
      </c>
      <c r="R45" s="377">
        <v>2.39</v>
      </c>
      <c r="S45" s="17"/>
    </row>
    <row r="46" ht="15.75" customHeight="1">
      <c r="A46" s="11"/>
      <c r="C46" s="150" t="s">
        <v>252</v>
      </c>
      <c r="D46" s="400" t="s">
        <v>70</v>
      </c>
      <c r="E46" s="98"/>
      <c r="F46" s="175">
        <v>1.0</v>
      </c>
      <c r="G46" s="176">
        <v>2.0</v>
      </c>
      <c r="H46" s="155">
        <v>1.0</v>
      </c>
      <c r="I46" s="379"/>
      <c r="J46" s="61">
        <v>2.0</v>
      </c>
      <c r="K46" s="55">
        <v>3.0</v>
      </c>
      <c r="L46" s="366">
        <v>1.0</v>
      </c>
      <c r="M46" s="55">
        <v>1.0</v>
      </c>
      <c r="N46" s="55">
        <v>2.0</v>
      </c>
      <c r="O46" s="55">
        <v>3.0</v>
      </c>
      <c r="P46" s="55"/>
      <c r="Q46" s="62">
        <v>3.0</v>
      </c>
      <c r="R46" s="377">
        <v>2.26</v>
      </c>
      <c r="S46" s="17"/>
    </row>
    <row r="47" ht="15.75" customHeight="1">
      <c r="A47" s="11"/>
      <c r="C47" s="150" t="s">
        <v>253</v>
      </c>
      <c r="D47" s="400" t="s">
        <v>70</v>
      </c>
      <c r="E47" s="401" t="s">
        <v>77</v>
      </c>
      <c r="F47" s="175">
        <v>2.0</v>
      </c>
      <c r="G47" s="176">
        <v>2.0</v>
      </c>
      <c r="H47" s="155">
        <v>1.0</v>
      </c>
      <c r="I47" s="379"/>
      <c r="J47" s="61">
        <v>3.0</v>
      </c>
      <c r="K47" s="55">
        <v>3.0</v>
      </c>
      <c r="L47" s="370">
        <v>3.0</v>
      </c>
      <c r="M47" s="55">
        <v>2.0</v>
      </c>
      <c r="N47" s="55">
        <v>3.0</v>
      </c>
      <c r="O47" s="55">
        <v>3.0</v>
      </c>
      <c r="P47" s="55"/>
      <c r="Q47" s="62">
        <v>4.0</v>
      </c>
      <c r="R47" s="377">
        <v>3.18</v>
      </c>
      <c r="S47" s="17"/>
    </row>
    <row r="48" ht="15.75" customHeight="1">
      <c r="A48" s="11"/>
      <c r="C48" s="150" t="s">
        <v>254</v>
      </c>
      <c r="D48" s="151" t="s">
        <v>70</v>
      </c>
      <c r="E48" s="152" t="s">
        <v>71</v>
      </c>
      <c r="F48" s="144" t="s">
        <v>68</v>
      </c>
      <c r="G48" s="144" t="s">
        <v>68</v>
      </c>
      <c r="H48" s="399">
        <v>1.0</v>
      </c>
      <c r="I48" s="379"/>
      <c r="J48" s="61">
        <v>3.0</v>
      </c>
      <c r="K48" s="55">
        <v>3.0</v>
      </c>
      <c r="L48" s="361">
        <v>2.0</v>
      </c>
      <c r="M48" s="55">
        <v>3.0</v>
      </c>
      <c r="N48" s="55">
        <v>4.0</v>
      </c>
      <c r="O48" s="55">
        <v>3.0</v>
      </c>
      <c r="P48" s="55"/>
      <c r="Q48" s="62">
        <v>4.0</v>
      </c>
      <c r="R48" s="377">
        <v>3.24</v>
      </c>
      <c r="S48" s="17"/>
    </row>
    <row r="49" ht="15.75" customHeight="1">
      <c r="A49" s="11"/>
      <c r="C49" s="150" t="s">
        <v>255</v>
      </c>
      <c r="D49" s="402"/>
      <c r="E49" s="174" t="s">
        <v>41</v>
      </c>
      <c r="F49" s="175">
        <v>1.0</v>
      </c>
      <c r="G49" s="175">
        <v>3.0</v>
      </c>
      <c r="H49" s="399">
        <v>1.0</v>
      </c>
      <c r="I49" s="379"/>
      <c r="J49" s="61">
        <v>4.0</v>
      </c>
      <c r="K49" s="55">
        <v>4.0</v>
      </c>
      <c r="L49" s="361">
        <v>2.0</v>
      </c>
      <c r="M49" s="55">
        <v>4.0</v>
      </c>
      <c r="N49" s="55">
        <v>4.0</v>
      </c>
      <c r="O49" s="55">
        <v>4.0</v>
      </c>
      <c r="P49" s="55"/>
      <c r="Q49" s="62">
        <v>2.0</v>
      </c>
      <c r="R49" s="377">
        <v>3.28</v>
      </c>
      <c r="S49" s="17"/>
    </row>
    <row r="50" ht="15.75" customHeight="1">
      <c r="A50" s="11"/>
      <c r="C50" s="150" t="s">
        <v>256</v>
      </c>
      <c r="D50" s="402"/>
      <c r="E50" s="152" t="s">
        <v>112</v>
      </c>
      <c r="F50" s="403" t="s">
        <v>68</v>
      </c>
      <c r="G50" s="404" t="s">
        <v>68</v>
      </c>
      <c r="H50" s="155">
        <v>1.0</v>
      </c>
      <c r="I50" s="379"/>
      <c r="J50" s="61">
        <v>5.0</v>
      </c>
      <c r="K50" s="55">
        <v>4.0</v>
      </c>
      <c r="L50" s="361">
        <v>2.0</v>
      </c>
      <c r="M50" s="55">
        <v>3.0</v>
      </c>
      <c r="N50" s="55">
        <v>5.0</v>
      </c>
      <c r="O50" s="55">
        <v>4.0</v>
      </c>
      <c r="P50" s="55"/>
      <c r="Q50" s="62">
        <v>2.0</v>
      </c>
      <c r="R50" s="377">
        <v>3.21</v>
      </c>
      <c r="S50" s="17"/>
    </row>
    <row r="51" ht="15.75" customHeight="1">
      <c r="A51" s="11"/>
      <c r="C51" s="150" t="s">
        <v>257</v>
      </c>
      <c r="D51" s="405" t="s">
        <v>75</v>
      </c>
      <c r="E51" s="98"/>
      <c r="F51" s="175">
        <v>2.0</v>
      </c>
      <c r="G51" s="176">
        <v>3.0</v>
      </c>
      <c r="H51" s="155">
        <v>2.0</v>
      </c>
      <c r="I51" s="379"/>
      <c r="J51" s="61">
        <v>4.0</v>
      </c>
      <c r="K51" s="55">
        <v>3.0</v>
      </c>
      <c r="L51" s="361">
        <v>2.0</v>
      </c>
      <c r="M51" s="55">
        <v>3.0</v>
      </c>
      <c r="N51" s="55">
        <v>4.0</v>
      </c>
      <c r="O51" s="55">
        <v>4.0</v>
      </c>
      <c r="P51" s="55"/>
      <c r="Q51" s="62">
        <v>3.0</v>
      </c>
      <c r="R51" s="377">
        <v>3.12</v>
      </c>
      <c r="S51" s="17"/>
    </row>
    <row r="52" ht="15.75" customHeight="1">
      <c r="A52" s="11"/>
      <c r="C52" s="150" t="s">
        <v>258</v>
      </c>
      <c r="D52" s="400" t="s">
        <v>75</v>
      </c>
      <c r="E52" s="152" t="s">
        <v>112</v>
      </c>
      <c r="F52" s="144" t="s">
        <v>68</v>
      </c>
      <c r="G52" s="144" t="s">
        <v>68</v>
      </c>
      <c r="H52" s="155">
        <v>2.0</v>
      </c>
      <c r="I52" s="379"/>
      <c r="J52" s="61">
        <v>4.0</v>
      </c>
      <c r="K52" s="55">
        <v>4.0</v>
      </c>
      <c r="L52" s="364">
        <v>4.0</v>
      </c>
      <c r="M52" s="55">
        <v>3.0</v>
      </c>
      <c r="N52" s="55">
        <v>4.0</v>
      </c>
      <c r="O52" s="55">
        <v>4.0</v>
      </c>
      <c r="P52" s="55"/>
      <c r="Q52" s="62">
        <v>4.0</v>
      </c>
      <c r="R52" s="377">
        <v>3.51</v>
      </c>
      <c r="S52" s="17"/>
    </row>
    <row r="53" ht="15.75" customHeight="1">
      <c r="A53" s="11"/>
      <c r="C53" s="150" t="s">
        <v>259</v>
      </c>
      <c r="D53" s="405" t="s">
        <v>75</v>
      </c>
      <c r="E53" s="152" t="s">
        <v>104</v>
      </c>
      <c r="F53" s="144" t="s">
        <v>68</v>
      </c>
      <c r="G53" s="144" t="s">
        <v>68</v>
      </c>
      <c r="H53" s="155">
        <v>2.0</v>
      </c>
      <c r="I53" s="379"/>
      <c r="J53" s="61">
        <v>3.0</v>
      </c>
      <c r="K53" s="55">
        <v>3.0</v>
      </c>
      <c r="L53" s="370">
        <v>3.0</v>
      </c>
      <c r="M53" s="55">
        <v>3.0</v>
      </c>
      <c r="N53" s="55">
        <v>3.0</v>
      </c>
      <c r="O53" s="55">
        <v>3.0</v>
      </c>
      <c r="P53" s="55"/>
      <c r="Q53" s="62">
        <v>3.0</v>
      </c>
      <c r="R53" s="377">
        <v>3.14</v>
      </c>
      <c r="S53" s="17"/>
    </row>
    <row r="54" ht="15.75" customHeight="1">
      <c r="A54" s="11"/>
      <c r="C54" s="150" t="s">
        <v>260</v>
      </c>
      <c r="D54" s="400" t="s">
        <v>75</v>
      </c>
      <c r="E54" s="174" t="s">
        <v>41</v>
      </c>
      <c r="F54" s="175">
        <v>2.0</v>
      </c>
      <c r="G54" s="176">
        <v>2.0</v>
      </c>
      <c r="H54" s="155">
        <v>2.0</v>
      </c>
      <c r="I54" s="379"/>
      <c r="J54" s="61">
        <v>4.0</v>
      </c>
      <c r="K54" s="55">
        <v>4.0</v>
      </c>
      <c r="L54" s="361">
        <v>2.0</v>
      </c>
      <c r="M54" s="55">
        <v>3.0</v>
      </c>
      <c r="N54" s="55">
        <v>3.0</v>
      </c>
      <c r="O54" s="55">
        <v>3.0</v>
      </c>
      <c r="P54" s="55"/>
      <c r="Q54" s="62">
        <v>4.0</v>
      </c>
      <c r="R54" s="377">
        <v>2.84</v>
      </c>
      <c r="S54" s="17"/>
    </row>
    <row r="55" ht="15.75" customHeight="1">
      <c r="A55" s="11"/>
      <c r="C55" s="150" t="s">
        <v>261</v>
      </c>
      <c r="D55" s="405" t="s">
        <v>75</v>
      </c>
      <c r="E55" s="98"/>
      <c r="F55" s="175">
        <v>2.0</v>
      </c>
      <c r="G55" s="176">
        <v>3.0</v>
      </c>
      <c r="H55" s="155">
        <v>2.0</v>
      </c>
      <c r="I55" s="379"/>
      <c r="J55" s="61">
        <v>4.0</v>
      </c>
      <c r="K55" s="55">
        <v>3.0</v>
      </c>
      <c r="L55" s="361">
        <v>2.0</v>
      </c>
      <c r="M55" s="55">
        <v>1.0</v>
      </c>
      <c r="N55" s="55">
        <v>1.0</v>
      </c>
      <c r="O55" s="55">
        <v>3.0</v>
      </c>
      <c r="P55" s="55"/>
      <c r="Q55" s="62">
        <v>3.0</v>
      </c>
      <c r="R55" s="377">
        <v>2.49</v>
      </c>
      <c r="S55" s="17"/>
    </row>
    <row r="56" ht="15.75" customHeight="1">
      <c r="A56" s="11"/>
      <c r="C56" s="150" t="s">
        <v>262</v>
      </c>
      <c r="D56" s="405" t="s">
        <v>75</v>
      </c>
      <c r="E56" s="152" t="s">
        <v>104</v>
      </c>
      <c r="F56" s="144" t="s">
        <v>68</v>
      </c>
      <c r="G56" s="144" t="s">
        <v>68</v>
      </c>
      <c r="H56" s="155">
        <v>2.0</v>
      </c>
      <c r="I56" s="379"/>
      <c r="J56" s="61">
        <v>1.0</v>
      </c>
      <c r="K56" s="55">
        <v>3.0</v>
      </c>
      <c r="L56" s="366">
        <v>1.0</v>
      </c>
      <c r="M56" s="55">
        <v>1.0</v>
      </c>
      <c r="N56" s="55">
        <v>2.0</v>
      </c>
      <c r="O56" s="55">
        <v>1.0</v>
      </c>
      <c r="P56" s="55"/>
      <c r="Q56" s="62">
        <v>2.0</v>
      </c>
      <c r="R56" s="377">
        <v>2.44</v>
      </c>
      <c r="S56" s="17"/>
    </row>
    <row r="57" ht="15.75" customHeight="1">
      <c r="A57" s="11"/>
      <c r="C57" s="150" t="s">
        <v>263</v>
      </c>
      <c r="D57" s="400" t="s">
        <v>70</v>
      </c>
      <c r="E57" s="98"/>
      <c r="F57" s="175">
        <v>3.0</v>
      </c>
      <c r="G57" s="176">
        <v>4.0</v>
      </c>
      <c r="H57" s="155">
        <v>3.0</v>
      </c>
      <c r="I57" s="379"/>
      <c r="J57" s="61">
        <v>1.0</v>
      </c>
      <c r="K57" s="55">
        <v>2.0</v>
      </c>
      <c r="L57" s="370">
        <v>3.0</v>
      </c>
      <c r="M57" s="55">
        <v>1.0</v>
      </c>
      <c r="N57" s="55">
        <v>3.0</v>
      </c>
      <c r="O57" s="55">
        <v>1.0</v>
      </c>
      <c r="P57" s="55"/>
      <c r="Q57" s="62">
        <v>3.0</v>
      </c>
      <c r="R57" s="377">
        <v>3.07</v>
      </c>
      <c r="S57" s="17"/>
    </row>
    <row r="58" ht="15.75" customHeight="1">
      <c r="A58" s="11"/>
      <c r="C58" s="150" t="s">
        <v>264</v>
      </c>
      <c r="D58" s="151" t="s">
        <v>75</v>
      </c>
      <c r="E58" s="152" t="s">
        <v>104</v>
      </c>
      <c r="F58" s="144" t="s">
        <v>68</v>
      </c>
      <c r="G58" s="144" t="s">
        <v>68</v>
      </c>
      <c r="H58" s="155">
        <v>3.0</v>
      </c>
      <c r="I58" s="379"/>
      <c r="J58" s="61">
        <v>2.0</v>
      </c>
      <c r="K58" s="55">
        <v>3.0</v>
      </c>
      <c r="L58" s="366">
        <v>1.0</v>
      </c>
      <c r="M58" s="55">
        <v>2.0</v>
      </c>
      <c r="N58" s="55">
        <v>1.0</v>
      </c>
      <c r="O58" s="55">
        <v>2.0</v>
      </c>
      <c r="P58" s="55"/>
      <c r="Q58" s="62">
        <v>3.0</v>
      </c>
      <c r="R58" s="377">
        <v>2.74</v>
      </c>
      <c r="S58" s="17"/>
    </row>
    <row r="59" ht="15.75" customHeight="1">
      <c r="A59" s="11"/>
      <c r="C59" s="150" t="s">
        <v>265</v>
      </c>
      <c r="D59" s="400" t="s">
        <v>75</v>
      </c>
      <c r="E59" s="152" t="s">
        <v>112</v>
      </c>
      <c r="F59" s="144" t="s">
        <v>68</v>
      </c>
      <c r="G59" s="144" t="s">
        <v>68</v>
      </c>
      <c r="H59" s="155">
        <v>3.0</v>
      </c>
      <c r="I59" s="379"/>
      <c r="J59" s="61">
        <v>5.0</v>
      </c>
      <c r="K59" s="55">
        <v>4.0</v>
      </c>
      <c r="L59" s="370">
        <v>3.0</v>
      </c>
      <c r="M59" s="55">
        <v>4.0</v>
      </c>
      <c r="N59" s="55">
        <v>5.0</v>
      </c>
      <c r="O59" s="55">
        <v>4.0</v>
      </c>
      <c r="P59" s="55"/>
      <c r="Q59" s="62">
        <v>4.0</v>
      </c>
      <c r="R59" s="377">
        <v>3.72</v>
      </c>
      <c r="S59" s="17"/>
    </row>
    <row r="60" ht="15.75" customHeight="1">
      <c r="A60" s="11"/>
      <c r="C60" s="150" t="s">
        <v>266</v>
      </c>
      <c r="D60" s="402"/>
      <c r="E60" s="174" t="s">
        <v>41</v>
      </c>
      <c r="F60" s="175">
        <v>2.0</v>
      </c>
      <c r="G60" s="176">
        <v>2.0</v>
      </c>
      <c r="H60" s="155">
        <v>3.0</v>
      </c>
      <c r="I60" s="379"/>
      <c r="J60" s="61">
        <v>4.0</v>
      </c>
      <c r="K60" s="55">
        <v>5.0</v>
      </c>
      <c r="L60" s="370">
        <v>3.0</v>
      </c>
      <c r="M60" s="55">
        <v>4.0</v>
      </c>
      <c r="N60" s="55">
        <v>4.0</v>
      </c>
      <c r="O60" s="55">
        <v>4.0</v>
      </c>
      <c r="P60" s="55"/>
      <c r="Q60" s="62">
        <v>4.0</v>
      </c>
      <c r="R60" s="377">
        <v>3.53</v>
      </c>
      <c r="S60" s="17"/>
    </row>
    <row r="61" ht="15.75" customHeight="1">
      <c r="A61" s="11"/>
      <c r="C61" s="150" t="s">
        <v>267</v>
      </c>
      <c r="D61" s="151" t="s">
        <v>70</v>
      </c>
      <c r="E61" s="401" t="s">
        <v>77</v>
      </c>
      <c r="F61" s="175">
        <v>3.0</v>
      </c>
      <c r="G61" s="176">
        <v>2.0</v>
      </c>
      <c r="H61" s="155">
        <v>3.0</v>
      </c>
      <c r="I61" s="379"/>
      <c r="J61" s="61">
        <v>2.0</v>
      </c>
      <c r="K61" s="55">
        <v>3.0</v>
      </c>
      <c r="L61" s="361">
        <v>2.0</v>
      </c>
      <c r="M61" s="55">
        <v>2.0</v>
      </c>
      <c r="N61" s="55">
        <v>3.0</v>
      </c>
      <c r="O61" s="55">
        <v>3.0</v>
      </c>
      <c r="P61" s="55"/>
      <c r="Q61" s="62">
        <v>4.0</v>
      </c>
      <c r="R61" s="377">
        <v>2.86</v>
      </c>
      <c r="S61" s="17"/>
    </row>
    <row r="62" ht="15.75" customHeight="1">
      <c r="A62" s="11"/>
      <c r="C62" s="150" t="s">
        <v>268</v>
      </c>
      <c r="D62" s="151" t="s">
        <v>70</v>
      </c>
      <c r="E62" s="174" t="s">
        <v>41</v>
      </c>
      <c r="F62" s="175">
        <v>2.0</v>
      </c>
      <c r="G62" s="176">
        <v>5.0</v>
      </c>
      <c r="H62" s="155">
        <v>3.0</v>
      </c>
      <c r="I62" s="379"/>
      <c r="J62" s="61">
        <v>2.0</v>
      </c>
      <c r="K62" s="55">
        <v>2.0</v>
      </c>
      <c r="L62" s="361">
        <v>2.0</v>
      </c>
      <c r="M62" s="55">
        <v>1.0</v>
      </c>
      <c r="N62" s="55">
        <v>2.0</v>
      </c>
      <c r="O62" s="55">
        <v>3.0</v>
      </c>
      <c r="P62" s="55"/>
      <c r="Q62" s="62">
        <v>2.0</v>
      </c>
      <c r="R62" s="377">
        <v>2.24</v>
      </c>
      <c r="S62" s="17"/>
    </row>
    <row r="63" ht="15.75" customHeight="1">
      <c r="A63" s="11"/>
      <c r="C63" s="150" t="s">
        <v>269</v>
      </c>
      <c r="D63" s="400" t="s">
        <v>70</v>
      </c>
      <c r="E63" s="152" t="s">
        <v>112</v>
      </c>
      <c r="F63" s="144" t="s">
        <v>68</v>
      </c>
      <c r="G63" s="144" t="s">
        <v>68</v>
      </c>
      <c r="H63" s="155">
        <v>3.0</v>
      </c>
      <c r="I63" s="379"/>
      <c r="J63" s="61">
        <v>4.0</v>
      </c>
      <c r="K63" s="55">
        <v>4.0</v>
      </c>
      <c r="L63" s="364">
        <v>4.0</v>
      </c>
      <c r="M63" s="55">
        <v>3.0</v>
      </c>
      <c r="N63" s="55">
        <v>4.0</v>
      </c>
      <c r="O63" s="55">
        <v>4.0</v>
      </c>
      <c r="P63" s="55"/>
      <c r="Q63" s="62">
        <v>4.0</v>
      </c>
      <c r="R63" s="377">
        <v>2.92</v>
      </c>
      <c r="S63" s="17"/>
    </row>
    <row r="64" ht="15.75" customHeight="1">
      <c r="A64" s="11"/>
      <c r="C64" s="150" t="s">
        <v>270</v>
      </c>
      <c r="D64" s="400" t="s">
        <v>70</v>
      </c>
      <c r="E64" s="152" t="s">
        <v>71</v>
      </c>
      <c r="F64" s="144" t="s">
        <v>68</v>
      </c>
      <c r="G64" s="144" t="s">
        <v>68</v>
      </c>
      <c r="H64" s="155">
        <v>4.0</v>
      </c>
      <c r="I64" s="379"/>
      <c r="J64" s="61">
        <v>3.0</v>
      </c>
      <c r="K64" s="55">
        <v>3.0</v>
      </c>
      <c r="L64" s="361">
        <v>2.0</v>
      </c>
      <c r="M64" s="55">
        <v>1.0</v>
      </c>
      <c r="N64" s="55">
        <v>2.0</v>
      </c>
      <c r="O64" s="55">
        <v>1.0</v>
      </c>
      <c r="P64" s="55"/>
      <c r="Q64" s="62">
        <v>3.0</v>
      </c>
      <c r="R64" s="377">
        <v>2.71</v>
      </c>
      <c r="S64" s="17"/>
    </row>
    <row r="65" ht="15.75" customHeight="1">
      <c r="A65" s="11"/>
      <c r="C65" s="150" t="s">
        <v>271</v>
      </c>
      <c r="D65" s="405" t="s">
        <v>70</v>
      </c>
      <c r="E65" s="174" t="s">
        <v>41</v>
      </c>
      <c r="F65" s="175">
        <v>1.0</v>
      </c>
      <c r="G65" s="176">
        <v>3.0</v>
      </c>
      <c r="H65" s="155">
        <v>4.0</v>
      </c>
      <c r="I65" s="379"/>
      <c r="J65" s="61">
        <v>2.0</v>
      </c>
      <c r="K65" s="55">
        <v>3.0</v>
      </c>
      <c r="L65" s="370">
        <v>3.0</v>
      </c>
      <c r="M65" s="55">
        <v>1.0</v>
      </c>
      <c r="N65" s="55">
        <v>3.0</v>
      </c>
      <c r="O65" s="55">
        <v>3.0</v>
      </c>
      <c r="P65" s="55"/>
      <c r="Q65" s="62">
        <v>3.0</v>
      </c>
      <c r="R65" s="377">
        <v>2.47</v>
      </c>
      <c r="S65" s="17"/>
    </row>
    <row r="66" ht="15.75" customHeight="1">
      <c r="A66" s="11"/>
      <c r="C66" s="150" t="s">
        <v>272</v>
      </c>
      <c r="D66" s="400" t="s">
        <v>70</v>
      </c>
      <c r="E66" s="152" t="s">
        <v>112</v>
      </c>
      <c r="F66" s="144" t="s">
        <v>68</v>
      </c>
      <c r="G66" s="144" t="s">
        <v>68</v>
      </c>
      <c r="H66" s="155">
        <v>4.0</v>
      </c>
      <c r="I66" s="379"/>
      <c r="J66" s="61">
        <v>4.0</v>
      </c>
      <c r="K66" s="55">
        <v>4.0</v>
      </c>
      <c r="L66" s="364">
        <v>4.0</v>
      </c>
      <c r="M66" s="55">
        <v>3.0</v>
      </c>
      <c r="N66" s="55">
        <v>4.0</v>
      </c>
      <c r="O66" s="55">
        <v>4.0</v>
      </c>
      <c r="P66" s="55"/>
      <c r="Q66" s="62">
        <v>4.0</v>
      </c>
      <c r="R66" s="377">
        <v>3.25</v>
      </c>
      <c r="S66" s="17"/>
    </row>
    <row r="67" ht="15.75" customHeight="1">
      <c r="A67" s="11"/>
      <c r="C67" s="150" t="s">
        <v>273</v>
      </c>
      <c r="D67" s="402"/>
      <c r="E67" s="174" t="s">
        <v>41</v>
      </c>
      <c r="F67" s="175">
        <v>2.0</v>
      </c>
      <c r="G67" s="176">
        <v>4.0</v>
      </c>
      <c r="H67" s="155">
        <v>4.0</v>
      </c>
      <c r="I67" s="379"/>
      <c r="J67" s="61">
        <v>1.0</v>
      </c>
      <c r="K67" s="55">
        <v>3.0</v>
      </c>
      <c r="L67" s="366">
        <v>1.0</v>
      </c>
      <c r="M67" s="55">
        <v>1.0</v>
      </c>
      <c r="N67" s="55">
        <v>3.0</v>
      </c>
      <c r="O67" s="55">
        <v>3.0</v>
      </c>
      <c r="P67" s="55"/>
      <c r="Q67" s="62">
        <v>2.0</v>
      </c>
      <c r="R67" s="377">
        <v>1.99</v>
      </c>
      <c r="S67" s="17"/>
    </row>
    <row r="68" ht="15.75" customHeight="1">
      <c r="A68" s="11"/>
      <c r="C68" s="150" t="s">
        <v>274</v>
      </c>
      <c r="D68" s="405" t="s">
        <v>75</v>
      </c>
      <c r="E68" s="152" t="s">
        <v>104</v>
      </c>
      <c r="F68" s="144" t="s">
        <v>68</v>
      </c>
      <c r="G68" s="144" t="s">
        <v>68</v>
      </c>
      <c r="H68" s="155">
        <v>5.0</v>
      </c>
      <c r="I68" s="379"/>
      <c r="J68" s="61">
        <v>3.0</v>
      </c>
      <c r="K68" s="55">
        <v>4.0</v>
      </c>
      <c r="L68" s="361">
        <v>2.0</v>
      </c>
      <c r="M68" s="55">
        <v>3.0</v>
      </c>
      <c r="N68" s="55">
        <v>2.0</v>
      </c>
      <c r="O68" s="55">
        <v>4.0</v>
      </c>
      <c r="P68" s="55"/>
      <c r="Q68" s="62">
        <v>4.0</v>
      </c>
      <c r="R68" s="377">
        <v>2.9</v>
      </c>
      <c r="S68" s="17"/>
    </row>
    <row r="69" ht="15.75" customHeight="1">
      <c r="A69" s="11"/>
      <c r="C69" s="150" t="s">
        <v>275</v>
      </c>
      <c r="D69" s="405" t="s">
        <v>70</v>
      </c>
      <c r="E69" s="98"/>
      <c r="F69" s="175">
        <v>3.0</v>
      </c>
      <c r="G69" s="176">
        <v>3.0</v>
      </c>
      <c r="H69" s="155">
        <v>5.0</v>
      </c>
      <c r="I69" s="379"/>
      <c r="J69" s="61">
        <v>3.0</v>
      </c>
      <c r="K69" s="55">
        <v>3.0</v>
      </c>
      <c r="L69" s="370">
        <v>3.0</v>
      </c>
      <c r="M69" s="55">
        <v>2.0</v>
      </c>
      <c r="N69" s="55">
        <v>3.0</v>
      </c>
      <c r="O69" s="55">
        <v>3.0</v>
      </c>
      <c r="P69" s="55"/>
      <c r="Q69" s="62">
        <v>4.0</v>
      </c>
      <c r="R69" s="377">
        <v>2.72</v>
      </c>
      <c r="S69" s="17"/>
    </row>
    <row r="70" ht="15.75" customHeight="1">
      <c r="A70" s="11"/>
      <c r="C70" s="150" t="s">
        <v>276</v>
      </c>
      <c r="D70" s="151" t="s">
        <v>70</v>
      </c>
      <c r="E70" s="174" t="s">
        <v>41</v>
      </c>
      <c r="F70" s="175">
        <v>5.0</v>
      </c>
      <c r="G70" s="176">
        <v>6.0</v>
      </c>
      <c r="H70" s="155">
        <v>6.0</v>
      </c>
      <c r="I70" s="379"/>
      <c r="J70" s="61">
        <v>1.0</v>
      </c>
      <c r="K70" s="55">
        <v>1.0</v>
      </c>
      <c r="L70" s="366">
        <v>1.0</v>
      </c>
      <c r="M70" s="55">
        <v>4.0</v>
      </c>
      <c r="N70" s="55">
        <v>2.0</v>
      </c>
      <c r="O70" s="55">
        <v>3.0</v>
      </c>
      <c r="P70" s="55"/>
      <c r="Q70" s="62">
        <v>2.0</v>
      </c>
      <c r="R70" s="377">
        <v>2.93</v>
      </c>
      <c r="S70" s="17"/>
    </row>
    <row r="71" ht="15.75" customHeight="1">
      <c r="A71" s="11"/>
      <c r="C71" s="150" t="s">
        <v>277</v>
      </c>
      <c r="D71" s="151" t="s">
        <v>75</v>
      </c>
      <c r="E71" s="401" t="s">
        <v>77</v>
      </c>
      <c r="F71" s="175">
        <v>5.0</v>
      </c>
      <c r="G71" s="176">
        <v>2.0</v>
      </c>
      <c r="H71" s="155">
        <v>6.0</v>
      </c>
      <c r="I71" s="379"/>
      <c r="J71" s="105">
        <v>1.0</v>
      </c>
      <c r="K71" s="75">
        <v>2.0</v>
      </c>
      <c r="L71" s="371">
        <v>1.0</v>
      </c>
      <c r="M71" s="75">
        <v>1.0</v>
      </c>
      <c r="N71" s="75">
        <v>1.0</v>
      </c>
      <c r="O71" s="75">
        <v>1.0</v>
      </c>
      <c r="P71" s="75"/>
      <c r="Q71" s="387">
        <v>3.0</v>
      </c>
      <c r="R71" s="377">
        <v>1.95</v>
      </c>
      <c r="S71" s="17"/>
    </row>
    <row r="72" ht="15.75" customHeight="1">
      <c r="A72" s="11"/>
      <c r="B72" s="80"/>
      <c r="C72" s="81"/>
      <c r="D72" s="82"/>
      <c r="E72" s="83"/>
      <c r="F72" s="84"/>
      <c r="G72" s="85"/>
      <c r="H72" s="86"/>
      <c r="I72" s="358"/>
      <c r="J72" s="38" t="s">
        <v>1</v>
      </c>
      <c r="K72" s="39" t="s">
        <v>2</v>
      </c>
      <c r="L72" s="89" t="s">
        <v>3</v>
      </c>
      <c r="M72" s="39" t="s">
        <v>208</v>
      </c>
      <c r="N72" s="91" t="s">
        <v>13</v>
      </c>
      <c r="O72" s="90" t="s">
        <v>4</v>
      </c>
      <c r="P72" s="39" t="s">
        <v>210</v>
      </c>
      <c r="Q72" s="93" t="s">
        <v>15</v>
      </c>
      <c r="R72" s="373" t="s">
        <v>9</v>
      </c>
      <c r="S72" s="17"/>
    </row>
    <row r="73" ht="15.75" customHeight="1">
      <c r="A73" s="11"/>
      <c r="B73" s="166"/>
      <c r="C73" s="150" t="s">
        <v>278</v>
      </c>
      <c r="D73" s="151" t="s">
        <v>70</v>
      </c>
      <c r="E73" s="174" t="s">
        <v>41</v>
      </c>
      <c r="F73" s="175">
        <v>1.0</v>
      </c>
      <c r="G73" s="176">
        <v>2.0</v>
      </c>
      <c r="H73" s="155">
        <v>1.0</v>
      </c>
      <c r="I73" s="379"/>
      <c r="J73" s="53">
        <v>4.0</v>
      </c>
      <c r="K73" s="54">
        <v>4.0</v>
      </c>
      <c r="L73" s="370">
        <v>3.0</v>
      </c>
      <c r="M73" s="54">
        <v>4.0</v>
      </c>
      <c r="N73" s="54">
        <v>4.0</v>
      </c>
      <c r="O73" s="54">
        <v>4.0</v>
      </c>
      <c r="P73" s="54"/>
      <c r="Q73" s="57">
        <v>4.0</v>
      </c>
      <c r="R73" s="377">
        <v>2.79</v>
      </c>
      <c r="S73" s="17"/>
    </row>
    <row r="74" ht="15.75" customHeight="1">
      <c r="A74" s="11"/>
      <c r="C74" s="150" t="s">
        <v>279</v>
      </c>
      <c r="D74" s="405" t="s">
        <v>280</v>
      </c>
      <c r="E74" s="152" t="s">
        <v>71</v>
      </c>
      <c r="F74" s="144" t="s">
        <v>68</v>
      </c>
      <c r="G74" s="144" t="s">
        <v>68</v>
      </c>
      <c r="H74" s="155">
        <v>1.0</v>
      </c>
      <c r="I74" s="379"/>
      <c r="J74" s="61">
        <v>3.0</v>
      </c>
      <c r="K74" s="55">
        <v>4.0</v>
      </c>
      <c r="L74" s="361">
        <v>2.0</v>
      </c>
      <c r="M74" s="55">
        <v>2.0</v>
      </c>
      <c r="N74" s="55">
        <v>4.0</v>
      </c>
      <c r="O74" s="55">
        <v>1.0</v>
      </c>
      <c r="P74" s="55"/>
      <c r="Q74" s="62">
        <v>4.0</v>
      </c>
      <c r="R74" s="377">
        <v>3.18</v>
      </c>
      <c r="S74" s="17"/>
    </row>
    <row r="75" ht="15.75" customHeight="1">
      <c r="A75" s="11"/>
      <c r="C75" s="150" t="s">
        <v>281</v>
      </c>
      <c r="D75" s="402"/>
      <c r="E75" s="152" t="s">
        <v>104</v>
      </c>
      <c r="F75" s="144" t="s">
        <v>68</v>
      </c>
      <c r="G75" s="144" t="s">
        <v>68</v>
      </c>
      <c r="H75" s="155">
        <v>1.0</v>
      </c>
      <c r="I75" s="379"/>
      <c r="J75" s="61">
        <v>4.0</v>
      </c>
      <c r="K75" s="55">
        <v>2.0</v>
      </c>
      <c r="L75" s="361">
        <v>2.0</v>
      </c>
      <c r="M75" s="55">
        <v>2.0</v>
      </c>
      <c r="N75" s="55">
        <v>3.0</v>
      </c>
      <c r="O75" s="55">
        <v>4.0</v>
      </c>
      <c r="P75" s="55"/>
      <c r="Q75" s="62">
        <v>4.0</v>
      </c>
      <c r="R75" s="377">
        <v>3.22</v>
      </c>
      <c r="S75" s="17"/>
    </row>
    <row r="76" ht="15.75" customHeight="1">
      <c r="A76" s="11"/>
      <c r="C76" s="150" t="s">
        <v>282</v>
      </c>
      <c r="D76" s="151" t="s">
        <v>75</v>
      </c>
      <c r="E76" s="152" t="s">
        <v>104</v>
      </c>
      <c r="F76" s="144" t="s">
        <v>68</v>
      </c>
      <c r="G76" s="144" t="s">
        <v>68</v>
      </c>
      <c r="H76" s="155">
        <v>2.0</v>
      </c>
      <c r="I76" s="379"/>
      <c r="J76" s="61">
        <v>2.0</v>
      </c>
      <c r="K76" s="55">
        <v>2.0</v>
      </c>
      <c r="L76" s="370">
        <v>3.0</v>
      </c>
      <c r="M76" s="55">
        <v>1.0</v>
      </c>
      <c r="N76" s="55">
        <v>2.0</v>
      </c>
      <c r="O76" s="55">
        <v>1.0</v>
      </c>
      <c r="P76" s="55"/>
      <c r="Q76" s="62">
        <v>3.0</v>
      </c>
      <c r="R76" s="377">
        <v>2.5</v>
      </c>
      <c r="S76" s="17"/>
    </row>
    <row r="77" ht="15.75" customHeight="1">
      <c r="A77" s="11"/>
      <c r="C77" s="150" t="s">
        <v>283</v>
      </c>
      <c r="D77" s="400" t="s">
        <v>70</v>
      </c>
      <c r="E77" s="152" t="s">
        <v>112</v>
      </c>
      <c r="F77" s="144" t="s">
        <v>68</v>
      </c>
      <c r="G77" s="144" t="s">
        <v>68</v>
      </c>
      <c r="H77" s="155">
        <v>2.0</v>
      </c>
      <c r="I77" s="379"/>
      <c r="J77" s="61">
        <v>4.0</v>
      </c>
      <c r="K77" s="55">
        <v>4.0</v>
      </c>
      <c r="L77" s="370">
        <v>3.0</v>
      </c>
      <c r="M77" s="55">
        <v>4.0</v>
      </c>
      <c r="N77" s="55">
        <v>4.0</v>
      </c>
      <c r="O77" s="55">
        <v>4.0</v>
      </c>
      <c r="P77" s="55"/>
      <c r="Q77" s="62">
        <v>4.0</v>
      </c>
      <c r="R77" s="377">
        <v>3.54</v>
      </c>
      <c r="S77" s="17"/>
    </row>
    <row r="78" ht="15.75" customHeight="1">
      <c r="A78" s="11"/>
      <c r="C78" s="150" t="s">
        <v>284</v>
      </c>
      <c r="D78" s="405" t="s">
        <v>70</v>
      </c>
      <c r="E78" s="174" t="s">
        <v>41</v>
      </c>
      <c r="F78" s="175">
        <v>2.0</v>
      </c>
      <c r="G78" s="176">
        <v>2.0</v>
      </c>
      <c r="H78" s="155">
        <v>2.0</v>
      </c>
      <c r="I78" s="379"/>
      <c r="J78" s="61">
        <v>4.0</v>
      </c>
      <c r="K78" s="55">
        <v>4.0</v>
      </c>
      <c r="L78" s="370">
        <v>3.0</v>
      </c>
      <c r="M78" s="55">
        <v>3.0</v>
      </c>
      <c r="N78" s="55">
        <v>4.0</v>
      </c>
      <c r="O78" s="55">
        <v>4.0</v>
      </c>
      <c r="P78" s="55"/>
      <c r="Q78" s="62">
        <v>2.0</v>
      </c>
      <c r="R78" s="377">
        <v>2.46</v>
      </c>
      <c r="S78" s="17"/>
    </row>
    <row r="79" ht="15.75" customHeight="1">
      <c r="A79" s="11"/>
      <c r="C79" s="150" t="s">
        <v>285</v>
      </c>
      <c r="D79" s="151" t="s">
        <v>75</v>
      </c>
      <c r="E79" s="98"/>
      <c r="F79" s="175">
        <v>2.0</v>
      </c>
      <c r="G79" s="176">
        <v>3.0</v>
      </c>
      <c r="H79" s="155">
        <v>2.0</v>
      </c>
      <c r="I79" s="379"/>
      <c r="J79" s="61">
        <v>4.0</v>
      </c>
      <c r="K79" s="55">
        <v>4.0</v>
      </c>
      <c r="L79" s="370">
        <v>3.0</v>
      </c>
      <c r="M79" s="55">
        <v>4.0</v>
      </c>
      <c r="N79" s="55">
        <v>5.0</v>
      </c>
      <c r="O79" s="55">
        <v>4.0</v>
      </c>
      <c r="P79" s="55"/>
      <c r="Q79" s="62">
        <v>3.0</v>
      </c>
      <c r="R79" s="377">
        <v>3.25</v>
      </c>
      <c r="S79" s="17"/>
    </row>
    <row r="80" ht="15.75" customHeight="1">
      <c r="A80" s="11"/>
      <c r="C80" s="406" t="s">
        <v>286</v>
      </c>
      <c r="D80" s="407" t="s">
        <v>75</v>
      </c>
      <c r="E80" s="408" t="s">
        <v>116</v>
      </c>
      <c r="F80" s="409">
        <v>2.0</v>
      </c>
      <c r="G80" s="409">
        <v>3.0</v>
      </c>
      <c r="H80" s="410">
        <v>2.0</v>
      </c>
      <c r="I80" s="379"/>
      <c r="J80" s="61">
        <v>4.0</v>
      </c>
      <c r="K80" s="55">
        <v>4.0</v>
      </c>
      <c r="L80" s="364">
        <v>4.0</v>
      </c>
      <c r="M80" s="55">
        <v>3.0</v>
      </c>
      <c r="N80" s="55">
        <v>4.0</v>
      </c>
      <c r="O80" s="55">
        <v>3.0</v>
      </c>
      <c r="P80" s="55"/>
      <c r="Q80" s="62">
        <v>4.0</v>
      </c>
      <c r="R80" s="377">
        <v>3.07</v>
      </c>
      <c r="S80" s="17"/>
    </row>
    <row r="81" ht="15.75" customHeight="1">
      <c r="A81" s="11"/>
      <c r="C81" s="150" t="s">
        <v>287</v>
      </c>
      <c r="D81" s="151" t="s">
        <v>280</v>
      </c>
      <c r="E81" s="152" t="s">
        <v>71</v>
      </c>
      <c r="F81" s="144" t="s">
        <v>68</v>
      </c>
      <c r="G81" s="144" t="s">
        <v>68</v>
      </c>
      <c r="H81" s="155">
        <v>2.0</v>
      </c>
      <c r="I81" s="379"/>
      <c r="J81" s="61">
        <v>4.0</v>
      </c>
      <c r="K81" s="55">
        <v>4.0</v>
      </c>
      <c r="L81" s="364">
        <v>4.0</v>
      </c>
      <c r="M81" s="55">
        <v>3.0</v>
      </c>
      <c r="N81" s="55">
        <v>4.0</v>
      </c>
      <c r="O81" s="55">
        <v>3.0</v>
      </c>
      <c r="P81" s="55"/>
      <c r="Q81" s="62">
        <v>4.0</v>
      </c>
      <c r="R81" s="377">
        <v>3.62</v>
      </c>
      <c r="S81" s="17"/>
    </row>
    <row r="82" ht="15.75" customHeight="1">
      <c r="A82" s="11"/>
      <c r="C82" s="150" t="s">
        <v>288</v>
      </c>
      <c r="D82" s="151" t="s">
        <v>70</v>
      </c>
      <c r="E82" s="152" t="s">
        <v>22</v>
      </c>
      <c r="F82" s="175">
        <v>3.0</v>
      </c>
      <c r="G82" s="176">
        <v>2.0</v>
      </c>
      <c r="H82" s="155">
        <v>2.0</v>
      </c>
      <c r="I82" s="379"/>
      <c r="J82" s="61">
        <v>1.0</v>
      </c>
      <c r="K82" s="55">
        <v>2.0</v>
      </c>
      <c r="L82" s="361">
        <v>2.0</v>
      </c>
      <c r="M82" s="55">
        <v>1.0</v>
      </c>
      <c r="N82" s="55">
        <v>2.0</v>
      </c>
      <c r="O82" s="55">
        <v>2.0</v>
      </c>
      <c r="P82" s="55"/>
      <c r="Q82" s="62">
        <v>2.0</v>
      </c>
      <c r="R82" s="377">
        <v>1.97</v>
      </c>
      <c r="S82" s="17"/>
    </row>
    <row r="83" ht="15.75" customHeight="1">
      <c r="A83" s="11"/>
      <c r="C83" s="150" t="s">
        <v>289</v>
      </c>
      <c r="D83" s="405" t="s">
        <v>70</v>
      </c>
      <c r="E83" s="152" t="s">
        <v>104</v>
      </c>
      <c r="F83" s="144" t="s">
        <v>68</v>
      </c>
      <c r="G83" s="144" t="s">
        <v>68</v>
      </c>
      <c r="H83" s="155">
        <v>3.0</v>
      </c>
      <c r="I83" s="379"/>
      <c r="J83" s="61">
        <v>2.0</v>
      </c>
      <c r="K83" s="55">
        <v>1.0</v>
      </c>
      <c r="L83" s="366">
        <v>1.0</v>
      </c>
      <c r="M83" s="55">
        <v>1.0</v>
      </c>
      <c r="N83" s="55">
        <v>2.0</v>
      </c>
      <c r="O83" s="55">
        <v>1.0</v>
      </c>
      <c r="P83" s="55"/>
      <c r="Q83" s="62">
        <v>2.0</v>
      </c>
      <c r="R83" s="377">
        <v>2.62</v>
      </c>
      <c r="S83" s="17"/>
    </row>
    <row r="84" ht="15.75" customHeight="1">
      <c r="A84" s="11"/>
      <c r="C84" s="150" t="s">
        <v>290</v>
      </c>
      <c r="D84" s="405" t="s">
        <v>75</v>
      </c>
      <c r="E84" s="174" t="s">
        <v>41</v>
      </c>
      <c r="F84" s="175">
        <v>3.0</v>
      </c>
      <c r="G84" s="176">
        <v>3.0</v>
      </c>
      <c r="H84" s="155">
        <v>3.0</v>
      </c>
      <c r="I84" s="379"/>
      <c r="J84" s="61">
        <v>4.0</v>
      </c>
      <c r="K84" s="55">
        <v>2.0</v>
      </c>
      <c r="L84" s="361">
        <v>2.0</v>
      </c>
      <c r="M84" s="55">
        <v>1.0</v>
      </c>
      <c r="N84" s="55">
        <v>3.0</v>
      </c>
      <c r="O84" s="55">
        <v>2.0</v>
      </c>
      <c r="P84" s="55"/>
      <c r="Q84" s="62">
        <v>2.0</v>
      </c>
      <c r="R84" s="377">
        <v>2.18</v>
      </c>
      <c r="S84" s="17"/>
    </row>
    <row r="85" ht="15.75" customHeight="1">
      <c r="A85" s="11"/>
      <c r="C85" s="150" t="s">
        <v>291</v>
      </c>
      <c r="D85" s="405" t="s">
        <v>75</v>
      </c>
      <c r="E85" s="152" t="s">
        <v>71</v>
      </c>
      <c r="F85" s="144" t="s">
        <v>68</v>
      </c>
      <c r="G85" s="144" t="s">
        <v>68</v>
      </c>
      <c r="H85" s="155">
        <v>3.0</v>
      </c>
      <c r="I85" s="379"/>
      <c r="J85" s="61">
        <v>3.0</v>
      </c>
      <c r="K85" s="55">
        <v>2.0</v>
      </c>
      <c r="L85" s="370">
        <v>3.0</v>
      </c>
      <c r="M85" s="55">
        <v>1.0</v>
      </c>
      <c r="N85" s="55">
        <v>3.0</v>
      </c>
      <c r="O85" s="55">
        <v>2.0</v>
      </c>
      <c r="P85" s="55"/>
      <c r="Q85" s="62">
        <v>3.0</v>
      </c>
      <c r="R85" s="377">
        <v>2.36</v>
      </c>
      <c r="S85" s="17"/>
    </row>
    <row r="86" ht="15.75" customHeight="1">
      <c r="A86" s="11"/>
      <c r="C86" s="150" t="s">
        <v>292</v>
      </c>
      <c r="D86" s="405" t="s">
        <v>70</v>
      </c>
      <c r="E86" s="152" t="s">
        <v>71</v>
      </c>
      <c r="F86" s="144" t="s">
        <v>68</v>
      </c>
      <c r="G86" s="144" t="s">
        <v>68</v>
      </c>
      <c r="H86" s="155">
        <v>3.0</v>
      </c>
      <c r="I86" s="379"/>
      <c r="J86" s="61">
        <v>3.0</v>
      </c>
      <c r="K86" s="55">
        <v>4.0</v>
      </c>
      <c r="L86" s="361">
        <v>2.0</v>
      </c>
      <c r="M86" s="55">
        <v>2.0</v>
      </c>
      <c r="N86" s="55">
        <v>2.0</v>
      </c>
      <c r="O86" s="55">
        <v>3.0</v>
      </c>
      <c r="P86" s="55"/>
      <c r="Q86" s="62">
        <v>3.0</v>
      </c>
      <c r="R86" s="377">
        <v>3.32</v>
      </c>
      <c r="S86" s="17"/>
    </row>
    <row r="87" ht="15.75" customHeight="1">
      <c r="A87" s="11"/>
      <c r="C87" s="406" t="s">
        <v>293</v>
      </c>
      <c r="D87" s="407" t="s">
        <v>75</v>
      </c>
      <c r="E87" s="411" t="s">
        <v>77</v>
      </c>
      <c r="F87" s="409">
        <v>2.0</v>
      </c>
      <c r="G87" s="409">
        <v>3.0</v>
      </c>
      <c r="H87" s="410">
        <v>3.0</v>
      </c>
      <c r="I87" s="379"/>
      <c r="J87" s="61">
        <v>3.0</v>
      </c>
      <c r="K87" s="55">
        <v>2.0</v>
      </c>
      <c r="L87" s="370">
        <v>3.0</v>
      </c>
      <c r="M87" s="55">
        <v>2.0</v>
      </c>
      <c r="N87" s="55">
        <v>2.0</v>
      </c>
      <c r="O87" s="55">
        <v>3.0</v>
      </c>
      <c r="P87" s="55"/>
      <c r="Q87" s="62">
        <v>3.0</v>
      </c>
      <c r="R87" s="377">
        <v>2.85</v>
      </c>
      <c r="S87" s="17"/>
    </row>
    <row r="88" ht="15.75" customHeight="1">
      <c r="A88" s="11"/>
      <c r="C88" s="150" t="s">
        <v>294</v>
      </c>
      <c r="D88" s="405" t="s">
        <v>75</v>
      </c>
      <c r="E88" s="152" t="s">
        <v>104</v>
      </c>
      <c r="F88" s="144" t="s">
        <v>68</v>
      </c>
      <c r="G88" s="144" t="s">
        <v>68</v>
      </c>
      <c r="H88" s="155">
        <v>4.0</v>
      </c>
      <c r="I88" s="379"/>
      <c r="J88" s="61">
        <v>2.0</v>
      </c>
      <c r="K88" s="55">
        <v>4.0</v>
      </c>
      <c r="L88" s="366">
        <v>1.0</v>
      </c>
      <c r="M88" s="55">
        <v>2.0</v>
      </c>
      <c r="N88" s="55">
        <v>3.0</v>
      </c>
      <c r="O88" s="55">
        <v>4.0</v>
      </c>
      <c r="P88" s="55"/>
      <c r="Q88" s="62">
        <v>3.0</v>
      </c>
      <c r="R88" s="377">
        <v>2.68</v>
      </c>
      <c r="S88" s="17"/>
    </row>
    <row r="89" ht="15.75" customHeight="1">
      <c r="A89" s="11"/>
      <c r="C89" s="150" t="s">
        <v>295</v>
      </c>
      <c r="D89" s="151" t="s">
        <v>75</v>
      </c>
      <c r="E89" s="152" t="s">
        <v>104</v>
      </c>
      <c r="F89" s="144" t="s">
        <v>68</v>
      </c>
      <c r="G89" s="144" t="s">
        <v>68</v>
      </c>
      <c r="H89" s="155">
        <v>5.0</v>
      </c>
      <c r="I89" s="379"/>
      <c r="J89" s="61">
        <v>4.0</v>
      </c>
      <c r="K89" s="55">
        <v>3.0</v>
      </c>
      <c r="L89" s="361">
        <v>2.0</v>
      </c>
      <c r="M89" s="55">
        <v>3.0</v>
      </c>
      <c r="N89" s="55">
        <v>4.0</v>
      </c>
      <c r="O89" s="55">
        <v>3.0</v>
      </c>
      <c r="P89" s="55"/>
      <c r="Q89" s="62">
        <v>4.0</v>
      </c>
      <c r="R89" s="377">
        <v>3.48</v>
      </c>
      <c r="S89" s="17"/>
    </row>
    <row r="90" ht="15.75" customHeight="1">
      <c r="A90" s="11"/>
      <c r="C90" s="150" t="s">
        <v>296</v>
      </c>
      <c r="D90" s="402"/>
      <c r="E90" s="174" t="s">
        <v>41</v>
      </c>
      <c r="F90" s="175">
        <v>4.0</v>
      </c>
      <c r="G90" s="176">
        <v>4.0</v>
      </c>
      <c r="H90" s="155">
        <v>5.0</v>
      </c>
      <c r="I90" s="379"/>
      <c r="J90" s="61">
        <v>4.0</v>
      </c>
      <c r="K90" s="55">
        <v>2.0</v>
      </c>
      <c r="L90" s="366">
        <v>1.0</v>
      </c>
      <c r="M90" s="55">
        <v>2.0</v>
      </c>
      <c r="N90" s="55">
        <v>3.0</v>
      </c>
      <c r="O90" s="55">
        <v>2.0</v>
      </c>
      <c r="P90" s="55"/>
      <c r="Q90" s="62">
        <v>2.0</v>
      </c>
      <c r="R90" s="377">
        <v>2.26</v>
      </c>
      <c r="S90" s="17"/>
    </row>
    <row r="91" ht="15.75" customHeight="1">
      <c r="A91" s="11"/>
      <c r="C91" s="150" t="s">
        <v>297</v>
      </c>
      <c r="D91" s="400" t="s">
        <v>70</v>
      </c>
      <c r="E91" s="174" t="s">
        <v>41</v>
      </c>
      <c r="F91" s="175">
        <v>3.0</v>
      </c>
      <c r="G91" s="176">
        <v>3.0</v>
      </c>
      <c r="H91" s="155">
        <v>5.0</v>
      </c>
      <c r="I91" s="379"/>
      <c r="J91" s="61">
        <v>1.0</v>
      </c>
      <c r="K91" s="55">
        <v>2.0</v>
      </c>
      <c r="L91" s="370">
        <v>3.0</v>
      </c>
      <c r="M91" s="55">
        <v>3.0</v>
      </c>
      <c r="N91" s="55">
        <v>1.0</v>
      </c>
      <c r="O91" s="55">
        <v>1.0</v>
      </c>
      <c r="P91" s="55"/>
      <c r="Q91" s="62">
        <v>3.0</v>
      </c>
      <c r="R91" s="377">
        <v>2.13</v>
      </c>
      <c r="S91" s="17"/>
    </row>
    <row r="92" ht="15.75" customHeight="1">
      <c r="A92" s="11"/>
      <c r="C92" s="150" t="s">
        <v>298</v>
      </c>
      <c r="D92" s="400" t="s">
        <v>280</v>
      </c>
      <c r="E92" s="174" t="s">
        <v>41</v>
      </c>
      <c r="F92" s="175">
        <v>5.0</v>
      </c>
      <c r="G92" s="176">
        <v>5.0</v>
      </c>
      <c r="H92" s="155">
        <v>6.0</v>
      </c>
      <c r="I92" s="379"/>
      <c r="J92" s="61">
        <v>2.0</v>
      </c>
      <c r="K92" s="55">
        <v>2.0</v>
      </c>
      <c r="L92" s="370">
        <v>3.0</v>
      </c>
      <c r="M92" s="55">
        <v>2.0</v>
      </c>
      <c r="N92" s="55">
        <v>3.0</v>
      </c>
      <c r="O92" s="55">
        <v>2.0</v>
      </c>
      <c r="P92" s="55"/>
      <c r="Q92" s="62">
        <v>4.0</v>
      </c>
      <c r="R92" s="377">
        <v>2.79</v>
      </c>
      <c r="S92" s="17"/>
    </row>
    <row r="93" ht="15.75" customHeight="1">
      <c r="A93" s="11"/>
      <c r="C93" s="177" t="s">
        <v>299</v>
      </c>
      <c r="D93" s="178" t="s">
        <v>70</v>
      </c>
      <c r="E93" s="174" t="s">
        <v>41</v>
      </c>
      <c r="F93" s="175">
        <v>8.0</v>
      </c>
      <c r="G93" s="176">
        <v>8.0</v>
      </c>
      <c r="H93" s="155">
        <v>8.0</v>
      </c>
      <c r="I93" s="379"/>
      <c r="J93" s="105">
        <v>2.0</v>
      </c>
      <c r="K93" s="75">
        <v>1.0</v>
      </c>
      <c r="L93" s="412">
        <v>3.0</v>
      </c>
      <c r="M93" s="75">
        <v>3.0</v>
      </c>
      <c r="N93" s="75">
        <v>1.0</v>
      </c>
      <c r="O93" s="75">
        <v>1.0</v>
      </c>
      <c r="P93" s="75"/>
      <c r="Q93" s="387">
        <v>4.0</v>
      </c>
      <c r="R93" s="377">
        <v>2.43</v>
      </c>
      <c r="S93" s="17"/>
    </row>
    <row r="94" ht="15.75" customHeight="1">
      <c r="A94" s="11"/>
      <c r="B94" s="413"/>
      <c r="C94" s="414"/>
      <c r="D94" s="96"/>
      <c r="E94" s="415"/>
      <c r="F94" s="416"/>
      <c r="G94" s="416"/>
      <c r="H94" s="415"/>
      <c r="I94" s="415"/>
      <c r="J94" s="417" t="s">
        <v>1</v>
      </c>
      <c r="K94" s="417" t="s">
        <v>2</v>
      </c>
      <c r="L94" s="139" t="s">
        <v>3</v>
      </c>
      <c r="M94" s="417" t="s">
        <v>208</v>
      </c>
      <c r="N94" s="91" t="s">
        <v>13</v>
      </c>
      <c r="O94" s="417" t="s">
        <v>4</v>
      </c>
      <c r="P94" s="417" t="s">
        <v>210</v>
      </c>
      <c r="Q94" s="93" t="s">
        <v>15</v>
      </c>
      <c r="R94" s="373" t="s">
        <v>9</v>
      </c>
      <c r="S94" s="17"/>
    </row>
    <row r="95" ht="15.75" customHeight="1">
      <c r="A95" s="11"/>
      <c r="B95" s="180"/>
      <c r="C95" s="150" t="s">
        <v>300</v>
      </c>
      <c r="D95" s="151" t="s">
        <v>70</v>
      </c>
      <c r="E95" s="152" t="s">
        <v>71</v>
      </c>
      <c r="F95" s="144" t="s">
        <v>68</v>
      </c>
      <c r="G95" s="144" t="s">
        <v>68</v>
      </c>
      <c r="H95" s="155">
        <v>2.0</v>
      </c>
      <c r="I95" s="379"/>
      <c r="J95" s="53">
        <v>2.0</v>
      </c>
      <c r="K95" s="54">
        <v>2.0</v>
      </c>
      <c r="L95" s="366">
        <v>1.0</v>
      </c>
      <c r="M95" s="54">
        <v>3.0</v>
      </c>
      <c r="N95" s="54">
        <v>2.0</v>
      </c>
      <c r="O95" s="54">
        <v>2.0</v>
      </c>
      <c r="P95" s="54"/>
      <c r="Q95" s="57">
        <v>2.0</v>
      </c>
      <c r="R95" s="377">
        <v>3.01</v>
      </c>
      <c r="S95" s="17"/>
    </row>
    <row r="96" ht="15.75" customHeight="1">
      <c r="A96" s="11"/>
      <c r="C96" s="150" t="s">
        <v>301</v>
      </c>
      <c r="D96" s="405" t="s">
        <v>70</v>
      </c>
      <c r="E96" s="174" t="s">
        <v>20</v>
      </c>
      <c r="F96" s="175">
        <v>3.0</v>
      </c>
      <c r="G96" s="176">
        <v>4.0</v>
      </c>
      <c r="H96" s="155">
        <v>3.0</v>
      </c>
      <c r="I96" s="379"/>
      <c r="J96" s="61">
        <v>3.0</v>
      </c>
      <c r="K96" s="55">
        <v>4.0</v>
      </c>
      <c r="L96" s="361">
        <v>2.0</v>
      </c>
      <c r="M96" s="55">
        <v>1.0</v>
      </c>
      <c r="N96" s="55">
        <v>4.0</v>
      </c>
      <c r="O96" s="55">
        <v>3.0</v>
      </c>
      <c r="P96" s="55"/>
      <c r="Q96" s="62">
        <v>4.0</v>
      </c>
      <c r="R96" s="377">
        <v>2.35</v>
      </c>
      <c r="S96" s="17"/>
    </row>
    <row r="97" ht="15.75" customHeight="1">
      <c r="A97" s="11"/>
      <c r="C97" s="150" t="s">
        <v>302</v>
      </c>
      <c r="D97" s="400" t="s">
        <v>70</v>
      </c>
      <c r="E97" s="174" t="s">
        <v>41</v>
      </c>
      <c r="F97" s="175">
        <v>3.0</v>
      </c>
      <c r="G97" s="176">
        <v>6.0</v>
      </c>
      <c r="H97" s="155">
        <v>4.0</v>
      </c>
      <c r="I97" s="379"/>
      <c r="J97" s="61">
        <v>1.0</v>
      </c>
      <c r="K97" s="55">
        <v>1.0</v>
      </c>
      <c r="L97" s="366">
        <v>1.0</v>
      </c>
      <c r="M97" s="55">
        <v>1.0</v>
      </c>
      <c r="N97" s="55">
        <v>1.0</v>
      </c>
      <c r="O97" s="55">
        <v>1.0</v>
      </c>
      <c r="P97" s="55"/>
      <c r="Q97" s="62">
        <v>2.0</v>
      </c>
      <c r="R97" s="377">
        <v>1.79</v>
      </c>
      <c r="S97" s="17"/>
    </row>
    <row r="98" ht="15.75" customHeight="1">
      <c r="A98" s="11"/>
      <c r="C98" s="150" t="s">
        <v>303</v>
      </c>
      <c r="D98" s="400" t="s">
        <v>75</v>
      </c>
      <c r="E98" s="401" t="s">
        <v>77</v>
      </c>
      <c r="F98" s="175">
        <v>4.0</v>
      </c>
      <c r="G98" s="176">
        <v>2.0</v>
      </c>
      <c r="H98" s="155">
        <v>4.0</v>
      </c>
      <c r="I98" s="379"/>
      <c r="J98" s="61">
        <v>2.0</v>
      </c>
      <c r="K98" s="55">
        <v>3.0</v>
      </c>
      <c r="L98" s="370">
        <v>3.0</v>
      </c>
      <c r="M98" s="55">
        <v>2.0</v>
      </c>
      <c r="N98" s="55">
        <v>3.0</v>
      </c>
      <c r="O98" s="55">
        <v>3.0</v>
      </c>
      <c r="P98" s="55"/>
      <c r="Q98" s="62">
        <v>2.0</v>
      </c>
      <c r="R98" s="377">
        <v>2.67</v>
      </c>
      <c r="S98" s="17"/>
    </row>
    <row r="99" ht="15.75" customHeight="1">
      <c r="A99" s="11"/>
      <c r="C99" s="150" t="s">
        <v>304</v>
      </c>
      <c r="D99" s="405" t="s">
        <v>280</v>
      </c>
      <c r="E99" s="152" t="s">
        <v>104</v>
      </c>
      <c r="F99" s="144" t="s">
        <v>68</v>
      </c>
      <c r="G99" s="144" t="s">
        <v>68</v>
      </c>
      <c r="H99" s="155">
        <v>4.0</v>
      </c>
      <c r="I99" s="379"/>
      <c r="J99" s="61">
        <v>4.0</v>
      </c>
      <c r="K99" s="55">
        <v>4.0</v>
      </c>
      <c r="L99" s="364">
        <v>4.0</v>
      </c>
      <c r="M99" s="55">
        <v>2.0</v>
      </c>
      <c r="N99" s="55">
        <v>3.0</v>
      </c>
      <c r="O99" s="55">
        <v>3.0</v>
      </c>
      <c r="P99" s="55"/>
      <c r="Q99" s="62">
        <v>4.0</v>
      </c>
      <c r="R99" s="377">
        <v>3.21</v>
      </c>
      <c r="S99" s="17"/>
    </row>
    <row r="100" ht="15.75" customHeight="1">
      <c r="A100" s="11"/>
      <c r="C100" s="150" t="s">
        <v>305</v>
      </c>
      <c r="D100" s="151" t="s">
        <v>75</v>
      </c>
      <c r="E100" s="152" t="s">
        <v>104</v>
      </c>
      <c r="F100" s="144" t="s">
        <v>68</v>
      </c>
      <c r="G100" s="144" t="s">
        <v>68</v>
      </c>
      <c r="H100" s="155">
        <v>5.0</v>
      </c>
      <c r="I100" s="379"/>
      <c r="J100" s="61">
        <v>3.0</v>
      </c>
      <c r="K100" s="55">
        <v>3.0</v>
      </c>
      <c r="L100" s="361">
        <v>2.0</v>
      </c>
      <c r="M100" s="55">
        <v>3.0</v>
      </c>
      <c r="N100" s="55">
        <v>3.0</v>
      </c>
      <c r="O100" s="55">
        <v>3.0</v>
      </c>
      <c r="P100" s="55"/>
      <c r="Q100" s="62">
        <v>4.0</v>
      </c>
      <c r="R100" s="377">
        <v>3.21</v>
      </c>
      <c r="S100" s="17"/>
    </row>
    <row r="101" ht="15.75" customHeight="1">
      <c r="A101" s="11"/>
      <c r="C101" s="150" t="s">
        <v>306</v>
      </c>
      <c r="D101" s="400" t="s">
        <v>280</v>
      </c>
      <c r="E101" s="152" t="s">
        <v>112</v>
      </c>
      <c r="F101" s="144" t="s">
        <v>68</v>
      </c>
      <c r="G101" s="144" t="s">
        <v>68</v>
      </c>
      <c r="H101" s="155">
        <v>7.0</v>
      </c>
      <c r="I101" s="379"/>
      <c r="J101" s="61">
        <v>3.0</v>
      </c>
      <c r="K101" s="55">
        <v>4.0</v>
      </c>
      <c r="L101" s="370">
        <v>3.0</v>
      </c>
      <c r="M101" s="55">
        <v>3.0</v>
      </c>
      <c r="N101" s="55">
        <v>2.0</v>
      </c>
      <c r="O101" s="55">
        <v>4.0</v>
      </c>
      <c r="P101" s="55"/>
      <c r="Q101" s="62">
        <v>3.0</v>
      </c>
      <c r="R101" s="377">
        <v>3.48</v>
      </c>
      <c r="S101" s="17"/>
    </row>
    <row r="102" ht="15.75" customHeight="1">
      <c r="A102" s="11"/>
      <c r="C102" s="150" t="s">
        <v>307</v>
      </c>
      <c r="D102" s="151" t="s">
        <v>280</v>
      </c>
      <c r="E102" s="174" t="s">
        <v>41</v>
      </c>
      <c r="F102" s="175">
        <v>5.0</v>
      </c>
      <c r="G102" s="176">
        <v>5.0</v>
      </c>
      <c r="H102" s="155">
        <v>8.0</v>
      </c>
      <c r="I102" s="379"/>
      <c r="J102" s="61">
        <v>4.0</v>
      </c>
      <c r="K102" s="55">
        <v>3.0</v>
      </c>
      <c r="L102" s="364">
        <v>4.0</v>
      </c>
      <c r="M102" s="55">
        <v>4.0</v>
      </c>
      <c r="N102" s="55">
        <v>4.0</v>
      </c>
      <c r="O102" s="55">
        <v>2.0</v>
      </c>
      <c r="P102" s="55"/>
      <c r="Q102" s="62">
        <v>4.0</v>
      </c>
      <c r="R102" s="377">
        <v>4.02</v>
      </c>
      <c r="S102" s="17"/>
    </row>
    <row r="103" ht="15.75" customHeight="1">
      <c r="A103" s="11"/>
      <c r="C103" s="159" t="s">
        <v>308</v>
      </c>
      <c r="D103" s="186" t="s">
        <v>75</v>
      </c>
      <c r="E103" s="161" t="s">
        <v>41</v>
      </c>
      <c r="F103" s="118">
        <v>8.0</v>
      </c>
      <c r="G103" s="119">
        <v>8.0</v>
      </c>
      <c r="H103" s="162">
        <v>10.0</v>
      </c>
      <c r="I103" s="379"/>
      <c r="J103" s="61">
        <v>5.0</v>
      </c>
      <c r="K103" s="55">
        <v>4.0</v>
      </c>
      <c r="L103" s="370">
        <v>3.0</v>
      </c>
      <c r="M103" s="55">
        <v>4.0</v>
      </c>
      <c r="N103" s="55">
        <v>4.0</v>
      </c>
      <c r="O103" s="55">
        <v>3.0</v>
      </c>
      <c r="P103" s="55"/>
      <c r="Q103" s="62">
        <v>2.0</v>
      </c>
      <c r="R103" s="377">
        <v>3.9</v>
      </c>
      <c r="S103" s="17"/>
    </row>
    <row r="104" ht="15.75" customHeight="1">
      <c r="A104" s="11"/>
      <c r="B104" s="187"/>
      <c r="C104" s="181" t="s">
        <v>309</v>
      </c>
      <c r="D104" s="188" t="s">
        <v>70</v>
      </c>
      <c r="E104" s="183" t="s">
        <v>22</v>
      </c>
      <c r="F104" s="184">
        <v>3.0</v>
      </c>
      <c r="G104" s="185">
        <v>3.0</v>
      </c>
      <c r="H104" s="171">
        <v>3.0</v>
      </c>
      <c r="I104" s="379"/>
      <c r="J104" s="61">
        <v>2.0</v>
      </c>
      <c r="K104" s="55">
        <v>3.0</v>
      </c>
      <c r="L104" s="418">
        <v>4.0</v>
      </c>
      <c r="M104" s="55">
        <v>2.0</v>
      </c>
      <c r="N104" s="55">
        <v>3.0</v>
      </c>
      <c r="O104" s="55">
        <v>1.0</v>
      </c>
      <c r="P104" s="55"/>
      <c r="Q104" s="62">
        <v>3.0</v>
      </c>
      <c r="R104" s="377">
        <v>3.06</v>
      </c>
      <c r="S104" s="17"/>
    </row>
    <row r="105" ht="15.75" customHeight="1">
      <c r="A105" s="11"/>
      <c r="C105" s="150" t="s">
        <v>310</v>
      </c>
      <c r="D105" s="400" t="s">
        <v>280</v>
      </c>
      <c r="E105" s="174" t="s">
        <v>41</v>
      </c>
      <c r="F105" s="175">
        <v>4.0</v>
      </c>
      <c r="G105" s="176">
        <v>3.0</v>
      </c>
      <c r="H105" s="155">
        <v>4.0</v>
      </c>
      <c r="I105" s="379"/>
      <c r="J105" s="61">
        <v>4.0</v>
      </c>
      <c r="K105" s="55">
        <v>4.0</v>
      </c>
      <c r="L105" s="361">
        <v>2.0</v>
      </c>
      <c r="M105" s="55">
        <v>2.0</v>
      </c>
      <c r="N105" s="55">
        <v>3.0</v>
      </c>
      <c r="O105" s="55">
        <v>3.0</v>
      </c>
      <c r="P105" s="55"/>
      <c r="Q105" s="62">
        <v>5.0</v>
      </c>
      <c r="R105" s="377">
        <v>3.47</v>
      </c>
      <c r="S105" s="17"/>
    </row>
    <row r="106" ht="15.75" customHeight="1">
      <c r="A106" s="11"/>
      <c r="C106" s="150" t="s">
        <v>311</v>
      </c>
      <c r="D106" s="400" t="s">
        <v>70</v>
      </c>
      <c r="E106" s="174" t="s">
        <v>41</v>
      </c>
      <c r="F106" s="175">
        <v>3.0</v>
      </c>
      <c r="G106" s="176">
        <v>3.0</v>
      </c>
      <c r="H106" s="155">
        <v>4.0</v>
      </c>
      <c r="I106" s="379"/>
      <c r="J106" s="61">
        <v>4.0</v>
      </c>
      <c r="K106" s="55">
        <v>3.0</v>
      </c>
      <c r="L106" s="370">
        <v>3.0</v>
      </c>
      <c r="M106" s="55">
        <v>4.0</v>
      </c>
      <c r="N106" s="55">
        <v>4.0</v>
      </c>
      <c r="O106" s="55">
        <v>4.0</v>
      </c>
      <c r="P106" s="55"/>
      <c r="Q106" s="62">
        <v>4.0</v>
      </c>
      <c r="R106" s="377">
        <v>3.09</v>
      </c>
      <c r="S106" s="17"/>
    </row>
    <row r="107" ht="15.75" customHeight="1">
      <c r="A107" s="11"/>
      <c r="C107" s="150" t="s">
        <v>312</v>
      </c>
      <c r="D107" s="151" t="s">
        <v>75</v>
      </c>
      <c r="E107" s="174" t="s">
        <v>41</v>
      </c>
      <c r="F107" s="175">
        <v>3.0</v>
      </c>
      <c r="G107" s="176">
        <v>5.0</v>
      </c>
      <c r="H107" s="155">
        <v>5.0</v>
      </c>
      <c r="I107" s="379"/>
      <c r="J107" s="61">
        <v>1.0</v>
      </c>
      <c r="K107" s="55">
        <v>2.0</v>
      </c>
      <c r="L107" s="366">
        <v>1.0</v>
      </c>
      <c r="M107" s="55">
        <v>3.0</v>
      </c>
      <c r="N107" s="55">
        <v>1.0</v>
      </c>
      <c r="O107" s="55">
        <v>1.0</v>
      </c>
      <c r="P107" s="55"/>
      <c r="Q107" s="62">
        <v>3.0</v>
      </c>
      <c r="R107" s="377">
        <v>2.2</v>
      </c>
      <c r="S107" s="17"/>
    </row>
    <row r="108" ht="15.75" customHeight="1">
      <c r="A108" s="11"/>
      <c r="C108" s="150" t="s">
        <v>313</v>
      </c>
      <c r="D108" s="400" t="s">
        <v>75</v>
      </c>
      <c r="E108" s="98"/>
      <c r="F108" s="175">
        <v>5.0</v>
      </c>
      <c r="G108" s="176">
        <v>6.0</v>
      </c>
      <c r="H108" s="155">
        <v>6.0</v>
      </c>
      <c r="I108" s="379"/>
      <c r="J108" s="61">
        <v>2.0</v>
      </c>
      <c r="K108" s="55">
        <v>3.0</v>
      </c>
      <c r="L108" s="370">
        <v>3.0</v>
      </c>
      <c r="M108" s="55">
        <v>4.0</v>
      </c>
      <c r="N108" s="55">
        <v>4.0</v>
      </c>
      <c r="O108" s="55">
        <v>4.0</v>
      </c>
      <c r="P108" s="55"/>
      <c r="Q108" s="62">
        <v>2.0</v>
      </c>
      <c r="R108" s="377">
        <v>3.18</v>
      </c>
      <c r="S108" s="17"/>
    </row>
    <row r="109" ht="15.75" customHeight="1">
      <c r="A109" s="11"/>
      <c r="C109" s="150" t="s">
        <v>314</v>
      </c>
      <c r="D109" s="151" t="s">
        <v>280</v>
      </c>
      <c r="E109" s="174" t="s">
        <v>41</v>
      </c>
      <c r="F109" s="175">
        <v>7.0</v>
      </c>
      <c r="G109" s="176">
        <v>7.0</v>
      </c>
      <c r="H109" s="155">
        <v>7.0</v>
      </c>
      <c r="I109" s="379"/>
      <c r="J109" s="61">
        <v>1.0</v>
      </c>
      <c r="K109" s="55">
        <v>2.0</v>
      </c>
      <c r="L109" s="366">
        <v>1.0</v>
      </c>
      <c r="M109" s="55">
        <v>2.0</v>
      </c>
      <c r="N109" s="55">
        <v>2.0</v>
      </c>
      <c r="O109" s="55">
        <v>1.0</v>
      </c>
      <c r="P109" s="55"/>
      <c r="Q109" s="62">
        <v>1.0</v>
      </c>
      <c r="R109" s="377">
        <v>3.01</v>
      </c>
      <c r="S109" s="17"/>
    </row>
    <row r="110" ht="15.75" customHeight="1">
      <c r="A110" s="11"/>
      <c r="C110" s="150" t="s">
        <v>315</v>
      </c>
      <c r="D110" s="402"/>
      <c r="E110" s="401" t="s">
        <v>77</v>
      </c>
      <c r="F110" s="175">
        <v>5.0</v>
      </c>
      <c r="G110" s="176">
        <v>3.0</v>
      </c>
      <c r="H110" s="155">
        <v>7.0</v>
      </c>
      <c r="I110" s="379"/>
      <c r="J110" s="61">
        <v>1.0</v>
      </c>
      <c r="K110" s="55">
        <v>2.0</v>
      </c>
      <c r="L110" s="366">
        <v>1.0</v>
      </c>
      <c r="M110" s="55">
        <v>1.0</v>
      </c>
      <c r="N110" s="55">
        <v>1.0</v>
      </c>
      <c r="O110" s="55">
        <v>1.0</v>
      </c>
      <c r="P110" s="55"/>
      <c r="Q110" s="62">
        <v>2.0</v>
      </c>
      <c r="R110" s="377">
        <v>2.25</v>
      </c>
      <c r="S110" s="17"/>
    </row>
    <row r="111" ht="15.75" customHeight="1">
      <c r="A111" s="11"/>
      <c r="C111" s="150" t="s">
        <v>316</v>
      </c>
      <c r="D111" s="151" t="s">
        <v>70</v>
      </c>
      <c r="E111" s="174" t="s">
        <v>41</v>
      </c>
      <c r="F111" s="175">
        <v>4.0</v>
      </c>
      <c r="G111" s="176">
        <v>6.0</v>
      </c>
      <c r="H111" s="190">
        <v>7.0</v>
      </c>
      <c r="I111" s="419"/>
      <c r="J111" s="61">
        <v>5.0</v>
      </c>
      <c r="K111" s="55">
        <v>4.0</v>
      </c>
      <c r="L111" s="382">
        <v>5.0</v>
      </c>
      <c r="M111" s="55">
        <v>5.0</v>
      </c>
      <c r="N111" s="55">
        <v>5.0</v>
      </c>
      <c r="O111" s="55">
        <v>5.0</v>
      </c>
      <c r="P111" s="55"/>
      <c r="Q111" s="62">
        <v>5.0</v>
      </c>
      <c r="R111" s="377">
        <v>4.64</v>
      </c>
      <c r="S111" s="17"/>
    </row>
    <row r="112" ht="15.75" customHeight="1">
      <c r="A112" s="11"/>
      <c r="C112" s="150" t="s">
        <v>317</v>
      </c>
      <c r="D112" s="405" t="s">
        <v>280</v>
      </c>
      <c r="E112" s="174" t="s">
        <v>41</v>
      </c>
      <c r="F112" s="175">
        <v>9.0</v>
      </c>
      <c r="G112" s="176">
        <v>7.0</v>
      </c>
      <c r="H112" s="190">
        <v>8.0</v>
      </c>
      <c r="I112" s="419"/>
      <c r="J112" s="61">
        <v>1.0</v>
      </c>
      <c r="K112" s="55">
        <v>4.0</v>
      </c>
      <c r="L112" s="361">
        <v>2.0</v>
      </c>
      <c r="M112" s="55">
        <v>3.0</v>
      </c>
      <c r="N112" s="55">
        <v>2.0</v>
      </c>
      <c r="O112" s="55">
        <v>2.0</v>
      </c>
      <c r="P112" s="55"/>
      <c r="Q112" s="62">
        <v>3.0</v>
      </c>
      <c r="R112" s="377">
        <v>3.4</v>
      </c>
      <c r="S112" s="17"/>
    </row>
    <row r="113" ht="15.75" customHeight="1">
      <c r="A113" s="11"/>
      <c r="C113" s="150" t="s">
        <v>318</v>
      </c>
      <c r="D113" s="405" t="s">
        <v>75</v>
      </c>
      <c r="E113" s="152" t="s">
        <v>104</v>
      </c>
      <c r="F113" s="144" t="s">
        <v>68</v>
      </c>
      <c r="G113" s="144" t="s">
        <v>68</v>
      </c>
      <c r="H113" s="190">
        <v>9.0</v>
      </c>
      <c r="I113" s="419"/>
      <c r="J113" s="105">
        <v>4.0</v>
      </c>
      <c r="K113" s="75">
        <v>4.0</v>
      </c>
      <c r="L113" s="385">
        <v>2.0</v>
      </c>
      <c r="M113" s="75">
        <v>3.0</v>
      </c>
      <c r="N113" s="75">
        <v>2.0</v>
      </c>
      <c r="O113" s="75">
        <v>3.0</v>
      </c>
      <c r="P113" s="75"/>
      <c r="Q113" s="387">
        <v>2.0</v>
      </c>
      <c r="R113" s="377">
        <v>3.04</v>
      </c>
      <c r="S113" s="17"/>
    </row>
    <row r="114" ht="15.75" customHeight="1">
      <c r="A114" s="11"/>
      <c r="B114" s="121"/>
      <c r="C114" s="195" t="s">
        <v>83</v>
      </c>
      <c r="D114" s="196"/>
      <c r="E114" s="124"/>
      <c r="F114" s="125"/>
      <c r="G114" s="125"/>
      <c r="H114" s="125"/>
      <c r="I114" s="127"/>
      <c r="J114" s="388"/>
      <c r="K114" s="389"/>
      <c r="L114" s="129"/>
      <c r="M114" s="389"/>
      <c r="N114" s="390"/>
      <c r="O114" s="389"/>
      <c r="P114" s="390"/>
      <c r="Q114" s="391"/>
      <c r="R114" s="392"/>
      <c r="S114" s="17"/>
    </row>
    <row r="115" ht="15.75" customHeight="1">
      <c r="A115" s="11"/>
      <c r="B115" s="135"/>
      <c r="C115" s="136"/>
      <c r="D115" s="137"/>
      <c r="E115" s="197"/>
      <c r="F115" s="85"/>
      <c r="G115" s="85"/>
      <c r="H115" s="86"/>
      <c r="I115" s="384"/>
      <c r="J115" s="92" t="s">
        <v>1</v>
      </c>
      <c r="K115" s="393" t="s">
        <v>2</v>
      </c>
      <c r="L115" s="139" t="s">
        <v>3</v>
      </c>
      <c r="M115" s="393" t="s">
        <v>208</v>
      </c>
      <c r="N115" s="91" t="s">
        <v>13</v>
      </c>
      <c r="O115" s="394" t="s">
        <v>4</v>
      </c>
      <c r="P115" s="393" t="s">
        <v>210</v>
      </c>
      <c r="Q115" s="420" t="s">
        <v>15</v>
      </c>
      <c r="R115" s="373" t="s">
        <v>9</v>
      </c>
      <c r="S115" s="17"/>
    </row>
    <row r="116" ht="15.75" customHeight="1">
      <c r="A116" s="11"/>
      <c r="B116" s="46" t="s">
        <v>64</v>
      </c>
      <c r="C116" s="66" t="s">
        <v>319</v>
      </c>
      <c r="D116" s="48"/>
      <c r="E116" s="421" t="s">
        <v>94</v>
      </c>
      <c r="F116" s="144" t="s">
        <v>68</v>
      </c>
      <c r="G116" s="144" t="s">
        <v>68</v>
      </c>
      <c r="H116" s="69">
        <v>2.0</v>
      </c>
      <c r="I116" s="379"/>
      <c r="J116" s="53">
        <v>3.0</v>
      </c>
      <c r="K116" s="54">
        <v>2.0</v>
      </c>
      <c r="L116" s="366">
        <v>1.0</v>
      </c>
      <c r="M116" s="54">
        <v>3.0</v>
      </c>
      <c r="N116" s="362">
        <v>2.0</v>
      </c>
      <c r="O116" s="54">
        <v>2.0</v>
      </c>
      <c r="P116" s="54"/>
      <c r="Q116" s="57">
        <v>3.0</v>
      </c>
      <c r="R116" s="377">
        <v>2.67</v>
      </c>
      <c r="S116" s="17"/>
    </row>
    <row r="117" ht="15.75" customHeight="1">
      <c r="A117" s="11"/>
      <c r="C117" s="66" t="s">
        <v>320</v>
      </c>
      <c r="D117" s="48"/>
      <c r="E117" s="199" t="s">
        <v>94</v>
      </c>
      <c r="F117" s="144" t="s">
        <v>68</v>
      </c>
      <c r="G117" s="144" t="s">
        <v>68</v>
      </c>
      <c r="H117" s="69">
        <v>4.0</v>
      </c>
      <c r="I117" s="379"/>
      <c r="J117" s="61">
        <v>1.0</v>
      </c>
      <c r="K117" s="55">
        <v>3.0</v>
      </c>
      <c r="L117" s="364">
        <v>4.0</v>
      </c>
      <c r="M117" s="55">
        <v>4.0</v>
      </c>
      <c r="N117" s="422">
        <v>5.0</v>
      </c>
      <c r="O117" s="55">
        <v>4.0</v>
      </c>
      <c r="P117" s="55"/>
      <c r="Q117" s="62">
        <v>4.0</v>
      </c>
      <c r="R117" s="377">
        <v>3.77</v>
      </c>
      <c r="S117" s="17"/>
    </row>
    <row r="118" ht="15.75" customHeight="1">
      <c r="A118" s="11"/>
      <c r="C118" s="117" t="s">
        <v>321</v>
      </c>
      <c r="D118" s="23"/>
      <c r="E118" s="200"/>
      <c r="F118" s="201">
        <v>4.0</v>
      </c>
      <c r="G118" s="202">
        <v>8.0</v>
      </c>
      <c r="H118" s="203">
        <v>6.0</v>
      </c>
      <c r="I118" s="379"/>
      <c r="J118" s="61">
        <v>1.0</v>
      </c>
      <c r="K118" s="55">
        <v>1.0</v>
      </c>
      <c r="L118" s="366">
        <v>1.0</v>
      </c>
      <c r="M118" s="55">
        <v>3.0</v>
      </c>
      <c r="N118" s="367">
        <v>1.0</v>
      </c>
      <c r="O118" s="55">
        <v>1.0</v>
      </c>
      <c r="P118" s="55"/>
      <c r="Q118" s="62">
        <v>1.0</v>
      </c>
      <c r="R118" s="377">
        <v>1.71</v>
      </c>
      <c r="S118" s="17"/>
    </row>
    <row r="119" ht="15.75" customHeight="1">
      <c r="A119" s="11"/>
      <c r="B119" s="166"/>
      <c r="C119" s="107" t="s">
        <v>322</v>
      </c>
      <c r="D119" s="108"/>
      <c r="E119" s="168" t="s">
        <v>94</v>
      </c>
      <c r="F119" s="204" t="s">
        <v>68</v>
      </c>
      <c r="G119" s="204" t="s">
        <v>68</v>
      </c>
      <c r="H119" s="205">
        <v>2.0</v>
      </c>
      <c r="I119" s="379"/>
      <c r="J119" s="61">
        <v>1.0</v>
      </c>
      <c r="K119" s="55">
        <v>2.0</v>
      </c>
      <c r="L119" s="361">
        <v>2.0</v>
      </c>
      <c r="M119" s="55">
        <v>3.0</v>
      </c>
      <c r="N119" s="367">
        <v>1.0</v>
      </c>
      <c r="O119" s="55">
        <v>1.0</v>
      </c>
      <c r="P119" s="55"/>
      <c r="Q119" s="62">
        <v>1.0</v>
      </c>
      <c r="R119" s="377">
        <v>1.85</v>
      </c>
      <c r="S119" s="17"/>
    </row>
    <row r="120" ht="15.75" customHeight="1">
      <c r="A120" s="11"/>
      <c r="C120" s="66" t="s">
        <v>323</v>
      </c>
      <c r="D120" s="48"/>
      <c r="E120" s="206" t="s">
        <v>71</v>
      </c>
      <c r="F120" s="144" t="s">
        <v>68</v>
      </c>
      <c r="G120" s="144" t="s">
        <v>68</v>
      </c>
      <c r="H120" s="69">
        <v>4.0</v>
      </c>
      <c r="I120" s="379"/>
      <c r="J120" s="61">
        <v>1.0</v>
      </c>
      <c r="K120" s="55">
        <v>2.0</v>
      </c>
      <c r="L120" s="366">
        <v>1.0</v>
      </c>
      <c r="M120" s="55">
        <v>3.0</v>
      </c>
      <c r="N120" s="367">
        <v>1.0</v>
      </c>
      <c r="O120" s="55">
        <v>1.0</v>
      </c>
      <c r="P120" s="55"/>
      <c r="Q120" s="62">
        <v>1.0</v>
      </c>
      <c r="R120" s="377">
        <v>1.6</v>
      </c>
      <c r="S120" s="17"/>
    </row>
    <row r="121" ht="15.75" customHeight="1">
      <c r="A121" s="11"/>
      <c r="C121" s="101" t="s">
        <v>324</v>
      </c>
      <c r="D121" s="16"/>
      <c r="E121" s="423" t="s">
        <v>94</v>
      </c>
      <c r="F121" s="144" t="s">
        <v>68</v>
      </c>
      <c r="G121" s="144" t="s">
        <v>68</v>
      </c>
      <c r="H121" s="208">
        <v>4.0</v>
      </c>
      <c r="I121" s="379"/>
      <c r="J121" s="61">
        <v>3.0</v>
      </c>
      <c r="K121" s="55">
        <v>2.0</v>
      </c>
      <c r="L121" s="366">
        <v>1.0</v>
      </c>
      <c r="M121" s="55">
        <v>3.0</v>
      </c>
      <c r="N121" s="368">
        <v>2.0</v>
      </c>
      <c r="O121" s="55">
        <v>2.0</v>
      </c>
      <c r="P121" s="55"/>
      <c r="Q121" s="62">
        <v>2.0</v>
      </c>
      <c r="R121" s="377">
        <v>2.58</v>
      </c>
      <c r="S121" s="17"/>
    </row>
    <row r="122" ht="15.75" customHeight="1">
      <c r="A122" s="11"/>
      <c r="B122" s="180"/>
      <c r="C122" s="107" t="s">
        <v>325</v>
      </c>
      <c r="D122" s="108"/>
      <c r="E122" s="226"/>
      <c r="F122" s="250">
        <v>1.0</v>
      </c>
      <c r="G122" s="251">
        <v>3.0</v>
      </c>
      <c r="H122" s="205">
        <v>1.0</v>
      </c>
      <c r="I122" s="379"/>
      <c r="J122" s="61">
        <v>3.0</v>
      </c>
      <c r="K122" s="55">
        <v>3.0</v>
      </c>
      <c r="L122" s="361">
        <v>2.0</v>
      </c>
      <c r="M122" s="55">
        <v>3.0</v>
      </c>
      <c r="N122" s="365">
        <v>3.0</v>
      </c>
      <c r="O122" s="55">
        <v>3.0</v>
      </c>
      <c r="P122" s="55"/>
      <c r="Q122" s="62">
        <v>2.0</v>
      </c>
      <c r="R122" s="377">
        <v>2.76</v>
      </c>
      <c r="S122" s="17"/>
    </row>
    <row r="123" ht="15.75" customHeight="1">
      <c r="A123" s="11"/>
      <c r="C123" s="66" t="s">
        <v>326</v>
      </c>
      <c r="D123" s="48"/>
      <c r="E123" s="225"/>
      <c r="F123" s="67">
        <v>4.0</v>
      </c>
      <c r="G123" s="68">
        <v>5.0</v>
      </c>
      <c r="H123" s="69">
        <v>5.0</v>
      </c>
      <c r="I123" s="379"/>
      <c r="J123" s="61">
        <v>3.0</v>
      </c>
      <c r="K123" s="55">
        <v>2.0</v>
      </c>
      <c r="L123" s="366">
        <v>1.0</v>
      </c>
      <c r="M123" s="55">
        <v>2.0</v>
      </c>
      <c r="N123" s="368">
        <v>2.0</v>
      </c>
      <c r="O123" s="55">
        <v>3.0</v>
      </c>
      <c r="P123" s="55"/>
      <c r="Q123" s="62">
        <v>4.0</v>
      </c>
      <c r="R123" s="377">
        <v>2.96</v>
      </c>
      <c r="S123" s="17"/>
    </row>
    <row r="124" ht="15.75" customHeight="1">
      <c r="A124" s="11"/>
      <c r="B124" s="187"/>
      <c r="C124" s="66" t="s">
        <v>327</v>
      </c>
      <c r="D124" s="48"/>
      <c r="E124" s="225"/>
      <c r="F124" s="67">
        <v>3.0</v>
      </c>
      <c r="G124" s="68">
        <v>3.0</v>
      </c>
      <c r="H124" s="69">
        <v>3.0</v>
      </c>
      <c r="I124" s="379"/>
      <c r="J124" s="61">
        <v>4.0</v>
      </c>
      <c r="K124" s="55">
        <v>2.0</v>
      </c>
      <c r="L124" s="361">
        <v>2.0</v>
      </c>
      <c r="M124" s="55">
        <v>3.0</v>
      </c>
      <c r="N124" s="368">
        <v>2.0</v>
      </c>
      <c r="O124" s="55">
        <v>2.0</v>
      </c>
      <c r="P124" s="55"/>
      <c r="Q124" s="62">
        <v>2.0</v>
      </c>
      <c r="R124" s="377">
        <v>2.96</v>
      </c>
      <c r="S124" s="17"/>
    </row>
    <row r="125" ht="15.75" customHeight="1">
      <c r="A125" s="11"/>
      <c r="C125" s="101" t="s">
        <v>328</v>
      </c>
      <c r="D125" s="16"/>
      <c r="E125" s="230" t="s">
        <v>116</v>
      </c>
      <c r="F125" s="231">
        <v>4.0</v>
      </c>
      <c r="G125" s="232">
        <v>4.0</v>
      </c>
      <c r="H125" s="208">
        <v>4.0</v>
      </c>
      <c r="I125" s="379"/>
      <c r="J125" s="105">
        <v>3.0</v>
      </c>
      <c r="K125" s="75">
        <v>2.0</v>
      </c>
      <c r="L125" s="412">
        <v>3.0</v>
      </c>
      <c r="M125" s="75">
        <v>4.0</v>
      </c>
      <c r="N125" s="424">
        <v>3.0</v>
      </c>
      <c r="O125" s="75">
        <v>1.0</v>
      </c>
      <c r="P125" s="75"/>
      <c r="Q125" s="387">
        <v>4.0</v>
      </c>
      <c r="R125" s="377">
        <v>2.97</v>
      </c>
      <c r="S125" s="17"/>
    </row>
    <row r="126" ht="15.75" customHeight="1">
      <c r="A126" s="11"/>
      <c r="B126" s="121"/>
      <c r="C126" s="195" t="s">
        <v>95</v>
      </c>
      <c r="D126" s="196"/>
      <c r="E126" s="124"/>
      <c r="F126" s="125"/>
      <c r="G126" s="125"/>
      <c r="H126" s="125"/>
      <c r="I126" s="127"/>
      <c r="J126" s="388"/>
      <c r="K126" s="132"/>
      <c r="L126" s="129"/>
      <c r="M126" s="132"/>
      <c r="N126" s="390"/>
      <c r="O126" s="132"/>
      <c r="P126" s="390"/>
      <c r="Q126" s="391"/>
      <c r="R126" s="392"/>
      <c r="S126" s="17"/>
    </row>
    <row r="127" ht="15.75" customHeight="1">
      <c r="A127" s="11"/>
      <c r="B127" s="135"/>
      <c r="C127" s="136"/>
      <c r="D127" s="137"/>
      <c r="E127" s="138"/>
      <c r="F127" s="85"/>
      <c r="G127" s="85"/>
      <c r="H127" s="86"/>
      <c r="I127" s="384"/>
      <c r="J127" s="393" t="s">
        <v>1</v>
      </c>
      <c r="K127" s="393" t="s">
        <v>2</v>
      </c>
      <c r="L127" s="139" t="s">
        <v>3</v>
      </c>
      <c r="M127" s="393" t="s">
        <v>208</v>
      </c>
      <c r="N127" s="91" t="s">
        <v>13</v>
      </c>
      <c r="O127" s="394" t="s">
        <v>4</v>
      </c>
      <c r="P127" s="393" t="s">
        <v>210</v>
      </c>
      <c r="Q127" s="93" t="s">
        <v>15</v>
      </c>
      <c r="R127" s="373" t="s">
        <v>9</v>
      </c>
      <c r="S127" s="17"/>
    </row>
    <row r="128" ht="15.75" customHeight="1">
      <c r="A128" s="11"/>
      <c r="B128" s="46"/>
      <c r="C128" s="66" t="s">
        <v>329</v>
      </c>
      <c r="D128" s="48"/>
      <c r="E128" s="206" t="s">
        <v>71</v>
      </c>
      <c r="F128" s="216" t="s">
        <v>68</v>
      </c>
      <c r="G128" s="217" t="s">
        <v>68</v>
      </c>
      <c r="H128" s="69">
        <v>3.0</v>
      </c>
      <c r="I128" s="379"/>
      <c r="J128" s="53">
        <v>4.0</v>
      </c>
      <c r="K128" s="54">
        <v>4.0</v>
      </c>
      <c r="L128" s="364">
        <v>4.0</v>
      </c>
      <c r="M128" s="54">
        <v>4.0</v>
      </c>
      <c r="N128" s="425">
        <v>4.0</v>
      </c>
      <c r="O128" s="54">
        <v>4.0</v>
      </c>
      <c r="P128" s="426"/>
      <c r="Q128" s="57">
        <v>4.0</v>
      </c>
      <c r="R128" s="377">
        <v>3.98</v>
      </c>
      <c r="S128" s="17"/>
    </row>
    <row r="129" ht="15.75" customHeight="1">
      <c r="A129" s="11"/>
      <c r="C129" s="66" t="s">
        <v>330</v>
      </c>
      <c r="D129" s="48"/>
      <c r="E129" s="225" t="s">
        <v>41</v>
      </c>
      <c r="F129" s="67">
        <v>2.0</v>
      </c>
      <c r="G129" s="68">
        <v>5.0</v>
      </c>
      <c r="H129" s="69">
        <v>3.0</v>
      </c>
      <c r="I129" s="379"/>
      <c r="J129" s="61">
        <v>2.0</v>
      </c>
      <c r="K129" s="55">
        <v>1.0</v>
      </c>
      <c r="L129" s="370">
        <v>3.0</v>
      </c>
      <c r="M129" s="55">
        <v>1.0</v>
      </c>
      <c r="N129" s="365">
        <v>3.0</v>
      </c>
      <c r="O129" s="55">
        <v>1.0</v>
      </c>
      <c r="P129" s="55"/>
      <c r="Q129" s="62">
        <v>1.0</v>
      </c>
      <c r="R129" s="377">
        <v>2.7</v>
      </c>
      <c r="S129" s="17"/>
    </row>
    <row r="130" ht="15.75" customHeight="1">
      <c r="A130" s="11"/>
      <c r="C130" s="117" t="s">
        <v>331</v>
      </c>
      <c r="D130" s="23"/>
      <c r="E130" s="427"/>
      <c r="F130" s="201">
        <v>4.0</v>
      </c>
      <c r="G130" s="202">
        <v>4.0</v>
      </c>
      <c r="H130" s="203">
        <v>6.0</v>
      </c>
      <c r="I130" s="379"/>
      <c r="J130" s="61">
        <v>1.0</v>
      </c>
      <c r="K130" s="55">
        <v>2.0</v>
      </c>
      <c r="L130" s="361">
        <v>2.0</v>
      </c>
      <c r="M130" s="55">
        <v>1.0</v>
      </c>
      <c r="N130" s="367">
        <v>1.0</v>
      </c>
      <c r="O130" s="55">
        <v>3.0</v>
      </c>
      <c r="P130" s="428"/>
      <c r="Q130" s="62">
        <v>1.0</v>
      </c>
      <c r="R130" s="377">
        <v>2.14</v>
      </c>
      <c r="S130" s="17"/>
    </row>
    <row r="131" ht="15.75" customHeight="1">
      <c r="A131" s="11"/>
      <c r="B131" s="166"/>
      <c r="C131" s="66" t="s">
        <v>332</v>
      </c>
      <c r="D131" s="48"/>
      <c r="E131" s="206" t="s">
        <v>104</v>
      </c>
      <c r="F131" s="216" t="s">
        <v>68</v>
      </c>
      <c r="G131" s="217" t="s">
        <v>68</v>
      </c>
      <c r="H131" s="69">
        <v>4.0</v>
      </c>
      <c r="I131" s="379"/>
      <c r="J131" s="61">
        <v>2.0</v>
      </c>
      <c r="K131" s="55">
        <v>2.0</v>
      </c>
      <c r="L131" s="366">
        <v>1.0</v>
      </c>
      <c r="M131" s="55">
        <v>1.0</v>
      </c>
      <c r="N131" s="367">
        <v>1.0</v>
      </c>
      <c r="O131" s="55">
        <v>2.0</v>
      </c>
      <c r="P131" s="55"/>
      <c r="Q131" s="62">
        <v>2.0</v>
      </c>
      <c r="R131" s="377">
        <v>2.32</v>
      </c>
      <c r="S131" s="17"/>
    </row>
    <row r="132" ht="15.75" customHeight="1">
      <c r="A132" s="11"/>
      <c r="C132" s="66" t="s">
        <v>333</v>
      </c>
      <c r="D132" s="48"/>
      <c r="E132" s="206" t="s">
        <v>104</v>
      </c>
      <c r="F132" s="216" t="s">
        <v>68</v>
      </c>
      <c r="G132" s="217" t="s">
        <v>68</v>
      </c>
      <c r="H132" s="69">
        <v>5.0</v>
      </c>
      <c r="I132" s="379"/>
      <c r="J132" s="61">
        <v>1.0</v>
      </c>
      <c r="K132" s="55">
        <v>2.0</v>
      </c>
      <c r="L132" s="361">
        <v>2.0</v>
      </c>
      <c r="M132" s="55">
        <v>1.0</v>
      </c>
      <c r="N132" s="367">
        <v>1.0</v>
      </c>
      <c r="O132" s="55">
        <v>1.0</v>
      </c>
      <c r="P132" s="55"/>
      <c r="Q132" s="62">
        <v>1.0</v>
      </c>
      <c r="R132" s="377">
        <v>2.29</v>
      </c>
      <c r="S132" s="17"/>
    </row>
    <row r="133" ht="15.75" customHeight="1">
      <c r="A133" s="11"/>
      <c r="C133" s="117" t="s">
        <v>334</v>
      </c>
      <c r="D133" s="23"/>
      <c r="E133" s="427" t="s">
        <v>41</v>
      </c>
      <c r="F133" s="201">
        <v>7.0</v>
      </c>
      <c r="G133" s="202">
        <v>7.0</v>
      </c>
      <c r="H133" s="203">
        <v>5.0</v>
      </c>
      <c r="I133" s="379"/>
      <c r="J133" s="61">
        <v>1.0</v>
      </c>
      <c r="K133" s="55">
        <v>1.0</v>
      </c>
      <c r="L133" s="366">
        <v>1.0</v>
      </c>
      <c r="M133" s="55">
        <v>1.0</v>
      </c>
      <c r="N133" s="367">
        <v>1.0</v>
      </c>
      <c r="O133" s="55">
        <v>1.0</v>
      </c>
      <c r="P133" s="55"/>
      <c r="Q133" s="62">
        <v>1.0</v>
      </c>
      <c r="R133" s="377">
        <v>2.34</v>
      </c>
      <c r="S133" s="17"/>
    </row>
    <row r="134" ht="15.75" customHeight="1">
      <c r="A134" s="11"/>
      <c r="B134" s="180"/>
      <c r="C134" s="221" t="s">
        <v>335</v>
      </c>
      <c r="D134" s="222"/>
      <c r="E134" s="429" t="s">
        <v>71</v>
      </c>
      <c r="F134" s="216" t="s">
        <v>68</v>
      </c>
      <c r="G134" s="217" t="s">
        <v>68</v>
      </c>
      <c r="H134" s="224">
        <v>2.0</v>
      </c>
      <c r="I134" s="379"/>
      <c r="J134" s="61">
        <v>2.0</v>
      </c>
      <c r="K134" s="55">
        <v>2.0</v>
      </c>
      <c r="L134" s="361">
        <v>2.0</v>
      </c>
      <c r="M134" s="55">
        <v>3.0</v>
      </c>
      <c r="N134" s="430" t="s">
        <v>336</v>
      </c>
      <c r="O134" s="55">
        <v>2.0</v>
      </c>
      <c r="P134" s="55"/>
      <c r="Q134" s="62">
        <v>2.0</v>
      </c>
      <c r="R134" s="377">
        <v>2.82</v>
      </c>
      <c r="S134" s="17"/>
    </row>
    <row r="135" ht="15.75" customHeight="1">
      <c r="A135" s="11"/>
      <c r="C135" s="66" t="s">
        <v>337</v>
      </c>
      <c r="D135" s="48"/>
      <c r="E135" s="225"/>
      <c r="F135" s="67">
        <v>5.0</v>
      </c>
      <c r="G135" s="68">
        <v>3.0</v>
      </c>
      <c r="H135" s="69">
        <v>5.0</v>
      </c>
      <c r="I135" s="379"/>
      <c r="J135" s="61">
        <v>1.0</v>
      </c>
      <c r="K135" s="55">
        <v>1.0</v>
      </c>
      <c r="L135" s="361">
        <v>2.0</v>
      </c>
      <c r="M135" s="55">
        <v>1.0</v>
      </c>
      <c r="N135" s="368">
        <v>2.0</v>
      </c>
      <c r="O135" s="55">
        <v>1.0</v>
      </c>
      <c r="P135" s="55"/>
      <c r="Q135" s="62">
        <v>1.0</v>
      </c>
      <c r="R135" s="377">
        <v>2.31</v>
      </c>
      <c r="S135" s="17"/>
    </row>
    <row r="136" ht="15.75" customHeight="1">
      <c r="A136" s="11"/>
      <c r="B136" s="187"/>
      <c r="C136" s="107" t="s">
        <v>338</v>
      </c>
      <c r="D136" s="108"/>
      <c r="E136" s="226" t="s">
        <v>41</v>
      </c>
      <c r="F136" s="250">
        <v>1.0</v>
      </c>
      <c r="G136" s="251">
        <v>3.0</v>
      </c>
      <c r="H136" s="205">
        <v>1.0</v>
      </c>
      <c r="I136" s="379"/>
      <c r="J136" s="61">
        <v>2.0</v>
      </c>
      <c r="K136" s="55">
        <v>2.0</v>
      </c>
      <c r="L136" s="364">
        <v>4.0</v>
      </c>
      <c r="M136" s="55">
        <v>3.0</v>
      </c>
      <c r="N136" s="368">
        <v>2.0</v>
      </c>
      <c r="O136" s="55">
        <v>2.0</v>
      </c>
      <c r="P136" s="55"/>
      <c r="Q136" s="62">
        <v>1.0</v>
      </c>
      <c r="R136" s="377">
        <v>3.1</v>
      </c>
      <c r="S136" s="17"/>
    </row>
    <row r="137" ht="15.75" customHeight="1">
      <c r="A137" s="11"/>
      <c r="C137" s="101" t="s">
        <v>339</v>
      </c>
      <c r="D137" s="16"/>
      <c r="E137" s="230" t="s">
        <v>41</v>
      </c>
      <c r="F137" s="231">
        <v>6.0</v>
      </c>
      <c r="G137" s="232">
        <v>6.0</v>
      </c>
      <c r="H137" s="208">
        <v>8.0</v>
      </c>
      <c r="I137" s="379"/>
      <c r="J137" s="105">
        <v>1.0</v>
      </c>
      <c r="K137" s="75">
        <v>1.0</v>
      </c>
      <c r="L137" s="385">
        <v>2.0</v>
      </c>
      <c r="M137" s="75">
        <v>1.0</v>
      </c>
      <c r="N137" s="431">
        <v>1.0</v>
      </c>
      <c r="O137" s="75">
        <v>1.0</v>
      </c>
      <c r="P137" s="75"/>
      <c r="Q137" s="387">
        <v>2.0</v>
      </c>
      <c r="R137" s="377">
        <v>2.5</v>
      </c>
      <c r="S137" s="17"/>
    </row>
    <row r="138" ht="15.75" customHeight="1">
      <c r="A138" s="11"/>
      <c r="B138" s="121"/>
      <c r="C138" s="195" t="s">
        <v>109</v>
      </c>
      <c r="D138" s="196"/>
      <c r="E138" s="124"/>
      <c r="F138" s="125"/>
      <c r="G138" s="125"/>
      <c r="H138" s="125"/>
      <c r="I138" s="127"/>
      <c r="J138" s="388"/>
      <c r="K138" s="389"/>
      <c r="L138" s="129"/>
      <c r="M138" s="389"/>
      <c r="N138" s="390"/>
      <c r="O138" s="389"/>
      <c r="P138" s="390"/>
      <c r="Q138" s="391"/>
      <c r="R138" s="392"/>
      <c r="S138" s="17"/>
    </row>
    <row r="139" ht="15.75" customHeight="1">
      <c r="A139" s="11"/>
      <c r="B139" s="135"/>
      <c r="C139" s="136"/>
      <c r="D139" s="137"/>
      <c r="E139" s="138"/>
      <c r="F139" s="85"/>
      <c r="G139" s="85"/>
      <c r="H139" s="86"/>
      <c r="I139" s="384"/>
      <c r="J139" s="87" t="s">
        <v>1</v>
      </c>
      <c r="K139" s="88" t="s">
        <v>2</v>
      </c>
      <c r="L139" s="139" t="s">
        <v>3</v>
      </c>
      <c r="M139" s="88" t="s">
        <v>208</v>
      </c>
      <c r="N139" s="91" t="s">
        <v>13</v>
      </c>
      <c r="O139" s="140" t="s">
        <v>4</v>
      </c>
      <c r="P139" s="88" t="s">
        <v>210</v>
      </c>
      <c r="Q139" s="93" t="s">
        <v>15</v>
      </c>
      <c r="R139" s="373" t="s">
        <v>9</v>
      </c>
      <c r="S139" s="17"/>
    </row>
    <row r="140" ht="15.75" customHeight="1">
      <c r="A140" s="11"/>
      <c r="B140" s="46"/>
      <c r="C140" s="66" t="s">
        <v>340</v>
      </c>
      <c r="D140" s="48"/>
      <c r="E140" s="168" t="s">
        <v>104</v>
      </c>
      <c r="F140" s="216" t="s">
        <v>68</v>
      </c>
      <c r="G140" s="217" t="s">
        <v>68</v>
      </c>
      <c r="H140" s="69">
        <v>2.0</v>
      </c>
      <c r="I140" s="384"/>
      <c r="J140" s="432">
        <v>2.0</v>
      </c>
      <c r="K140" s="54">
        <v>2.0</v>
      </c>
      <c r="L140" s="361">
        <v>2.0</v>
      </c>
      <c r="M140" s="54">
        <v>3.0</v>
      </c>
      <c r="N140" s="433">
        <v>3.0</v>
      </c>
      <c r="O140" s="54">
        <v>3.0</v>
      </c>
      <c r="P140" s="55"/>
      <c r="Q140" s="57">
        <v>1.0</v>
      </c>
      <c r="R140" s="377">
        <v>2.68</v>
      </c>
      <c r="S140" s="17"/>
    </row>
    <row r="141" ht="15.75" customHeight="1">
      <c r="A141" s="11"/>
      <c r="C141" s="66" t="s">
        <v>341</v>
      </c>
      <c r="D141" s="48"/>
      <c r="E141" s="225" t="s">
        <v>41</v>
      </c>
      <c r="F141" s="67">
        <v>3.0</v>
      </c>
      <c r="G141" s="68">
        <v>2.0</v>
      </c>
      <c r="H141" s="69">
        <v>3.0</v>
      </c>
      <c r="I141" s="384"/>
      <c r="J141" s="434">
        <v>3.0</v>
      </c>
      <c r="K141" s="55">
        <v>3.0</v>
      </c>
      <c r="L141" s="361">
        <v>2.0</v>
      </c>
      <c r="M141" s="55">
        <v>2.0</v>
      </c>
      <c r="N141" s="435">
        <v>4.0</v>
      </c>
      <c r="O141" s="55">
        <v>3.0</v>
      </c>
      <c r="P141" s="62"/>
      <c r="Q141" s="62">
        <v>3.0</v>
      </c>
      <c r="R141" s="377">
        <v>2.7</v>
      </c>
      <c r="S141" s="17"/>
    </row>
    <row r="142" ht="15.75" customHeight="1">
      <c r="A142" s="11"/>
      <c r="C142" s="117" t="s">
        <v>342</v>
      </c>
      <c r="D142" s="23"/>
      <c r="E142" s="427" t="s">
        <v>41</v>
      </c>
      <c r="F142" s="201">
        <v>2.0</v>
      </c>
      <c r="G142" s="202">
        <v>2.0</v>
      </c>
      <c r="H142" s="203">
        <v>5.0</v>
      </c>
      <c r="I142" s="384"/>
      <c r="J142" s="434">
        <v>1.0</v>
      </c>
      <c r="K142" s="55">
        <v>1.0</v>
      </c>
      <c r="L142" s="366">
        <v>1.0</v>
      </c>
      <c r="M142" s="55">
        <v>1.0</v>
      </c>
      <c r="N142" s="436">
        <v>1.0</v>
      </c>
      <c r="O142" s="55">
        <v>1.0</v>
      </c>
      <c r="P142" s="55"/>
      <c r="Q142" s="62">
        <v>4.0</v>
      </c>
      <c r="R142" s="377">
        <v>2.09</v>
      </c>
      <c r="S142" s="17"/>
    </row>
    <row r="143" ht="15.75" customHeight="1">
      <c r="A143" s="11"/>
      <c r="B143" s="166"/>
      <c r="C143" s="66" t="s">
        <v>343</v>
      </c>
      <c r="D143" s="48"/>
      <c r="E143" s="168" t="s">
        <v>104</v>
      </c>
      <c r="F143" s="216" t="s">
        <v>68</v>
      </c>
      <c r="G143" s="217" t="s">
        <v>68</v>
      </c>
      <c r="H143" s="69">
        <v>3.0</v>
      </c>
      <c r="I143" s="384"/>
      <c r="J143" s="434">
        <v>2.0</v>
      </c>
      <c r="K143" s="55">
        <v>2.0</v>
      </c>
      <c r="L143" s="364">
        <v>4.0</v>
      </c>
      <c r="M143" s="55">
        <v>3.0</v>
      </c>
      <c r="N143" s="437">
        <v>2.0</v>
      </c>
      <c r="O143" s="55">
        <v>2.0</v>
      </c>
      <c r="P143" s="62"/>
      <c r="Q143" s="62">
        <v>1.0</v>
      </c>
      <c r="R143" s="377">
        <v>2.59</v>
      </c>
      <c r="S143" s="17"/>
    </row>
    <row r="144" ht="15.75" customHeight="1">
      <c r="A144" s="11"/>
      <c r="C144" s="66" t="s">
        <v>344</v>
      </c>
      <c r="D144" s="48"/>
      <c r="E144" s="206" t="s">
        <v>104</v>
      </c>
      <c r="F144" s="216" t="s">
        <v>68</v>
      </c>
      <c r="G144" s="217" t="s">
        <v>68</v>
      </c>
      <c r="H144" s="69">
        <v>4.0</v>
      </c>
      <c r="I144" s="384"/>
      <c r="J144" s="434">
        <v>2.0</v>
      </c>
      <c r="K144" s="55">
        <v>2.0</v>
      </c>
      <c r="L144" s="370">
        <v>3.0</v>
      </c>
      <c r="M144" s="55">
        <v>2.0</v>
      </c>
      <c r="N144" s="436">
        <v>1.0</v>
      </c>
      <c r="O144" s="55">
        <v>1.0</v>
      </c>
      <c r="P144" s="55"/>
      <c r="Q144" s="62">
        <v>4.0</v>
      </c>
      <c r="R144" s="377">
        <v>2.39</v>
      </c>
      <c r="S144" s="17"/>
    </row>
    <row r="145" ht="15.75" customHeight="1">
      <c r="A145" s="11"/>
      <c r="C145" s="117" t="s">
        <v>345</v>
      </c>
      <c r="D145" s="23"/>
      <c r="E145" s="206" t="s">
        <v>104</v>
      </c>
      <c r="F145" s="219" t="s">
        <v>68</v>
      </c>
      <c r="G145" s="220" t="s">
        <v>68</v>
      </c>
      <c r="H145" s="203">
        <v>10.0</v>
      </c>
      <c r="I145" s="384"/>
      <c r="J145" s="434">
        <v>2.0</v>
      </c>
      <c r="K145" s="55">
        <v>1.0</v>
      </c>
      <c r="L145" s="366">
        <v>1.0</v>
      </c>
      <c r="M145" s="55">
        <v>1.0</v>
      </c>
      <c r="N145" s="437">
        <v>2.0</v>
      </c>
      <c r="O145" s="55">
        <v>1.0</v>
      </c>
      <c r="P145" s="55"/>
      <c r="Q145" s="62">
        <v>3.0</v>
      </c>
      <c r="R145" s="377">
        <v>2.1</v>
      </c>
      <c r="S145" s="17"/>
    </row>
    <row r="146" ht="15.75" customHeight="1">
      <c r="A146" s="11"/>
      <c r="B146" s="180"/>
      <c r="C146" s="107" t="s">
        <v>346</v>
      </c>
      <c r="D146" s="108"/>
      <c r="E146" s="226" t="s">
        <v>41</v>
      </c>
      <c r="F146" s="250">
        <v>1.0</v>
      </c>
      <c r="G146" s="251">
        <v>3.0</v>
      </c>
      <c r="H146" s="205">
        <v>1.0</v>
      </c>
      <c r="I146" s="384"/>
      <c r="J146" s="434">
        <v>2.0</v>
      </c>
      <c r="K146" s="55">
        <v>2.0</v>
      </c>
      <c r="L146" s="370">
        <v>3.0</v>
      </c>
      <c r="M146" s="55">
        <v>3.0</v>
      </c>
      <c r="N146" s="438">
        <v>3.0</v>
      </c>
      <c r="O146" s="55">
        <v>4.0</v>
      </c>
      <c r="P146" s="62"/>
      <c r="Q146" s="62">
        <v>1.0</v>
      </c>
      <c r="R146" s="377">
        <v>2.71</v>
      </c>
      <c r="S146" s="17"/>
    </row>
    <row r="147" ht="15.75" customHeight="1">
      <c r="A147" s="11"/>
      <c r="C147" s="117" t="s">
        <v>347</v>
      </c>
      <c r="D147" s="23"/>
      <c r="E147" s="229" t="s">
        <v>41</v>
      </c>
      <c r="F147" s="201">
        <v>3.0</v>
      </c>
      <c r="G147" s="202">
        <v>8.0</v>
      </c>
      <c r="H147" s="203">
        <v>8.0</v>
      </c>
      <c r="I147" s="384"/>
      <c r="J147" s="434">
        <v>3.0</v>
      </c>
      <c r="K147" s="55">
        <v>2.0</v>
      </c>
      <c r="L147" s="361">
        <v>2.0</v>
      </c>
      <c r="M147" s="55">
        <v>1.0</v>
      </c>
      <c r="N147" s="437">
        <v>2.0</v>
      </c>
      <c r="O147" s="55">
        <v>2.0</v>
      </c>
      <c r="P147" s="428"/>
      <c r="Q147" s="62">
        <v>3.0</v>
      </c>
      <c r="R147" s="377">
        <v>2.31</v>
      </c>
      <c r="S147" s="17"/>
    </row>
    <row r="148" ht="15.75" customHeight="1">
      <c r="A148" s="11"/>
      <c r="B148" s="187"/>
      <c r="C148" s="107" t="s">
        <v>348</v>
      </c>
      <c r="D148" s="108"/>
      <c r="E148" s="226" t="s">
        <v>349</v>
      </c>
      <c r="F148" s="67">
        <v>3.0</v>
      </c>
      <c r="G148" s="68">
        <v>6.0</v>
      </c>
      <c r="H148" s="205">
        <v>5.0</v>
      </c>
      <c r="I148" s="384"/>
      <c r="J148" s="434">
        <v>4.0</v>
      </c>
      <c r="K148" s="55">
        <v>3.0</v>
      </c>
      <c r="L148" s="370">
        <v>3.0</v>
      </c>
      <c r="M148" s="55">
        <v>4.0</v>
      </c>
      <c r="N148" s="438">
        <v>3.0</v>
      </c>
      <c r="O148" s="55">
        <v>3.0</v>
      </c>
      <c r="P148" s="62"/>
      <c r="Q148" s="62">
        <v>4.0</v>
      </c>
      <c r="R148" s="377">
        <v>3.38</v>
      </c>
      <c r="S148" s="17"/>
    </row>
    <row r="149" ht="15.75" customHeight="1">
      <c r="A149" s="11"/>
      <c r="C149" s="101" t="s">
        <v>350</v>
      </c>
      <c r="D149" s="16"/>
      <c r="E149" s="230"/>
      <c r="F149" s="439">
        <v>6.0</v>
      </c>
      <c r="G149" s="440">
        <v>8.0</v>
      </c>
      <c r="H149" s="249">
        <v>9.0</v>
      </c>
      <c r="I149" s="384"/>
      <c r="J149" s="441">
        <v>1.0</v>
      </c>
      <c r="K149" s="442">
        <v>1.0</v>
      </c>
      <c r="L149" s="371">
        <v>1.0</v>
      </c>
      <c r="M149" s="442">
        <v>1.0</v>
      </c>
      <c r="N149" s="443">
        <v>2.0</v>
      </c>
      <c r="O149" s="442">
        <v>2.0</v>
      </c>
      <c r="P149" s="62"/>
      <c r="Q149" s="444">
        <v>3.0</v>
      </c>
      <c r="R149" s="377">
        <v>2.56</v>
      </c>
      <c r="S149" s="17"/>
    </row>
    <row r="150" ht="15.75" customHeight="1">
      <c r="A150" s="11"/>
      <c r="B150" s="121"/>
      <c r="C150" s="195" t="s">
        <v>123</v>
      </c>
      <c r="D150" s="196"/>
      <c r="E150" s="124"/>
      <c r="F150" s="125"/>
      <c r="G150" s="125"/>
      <c r="H150" s="125"/>
      <c r="I150" s="127"/>
      <c r="J150" s="127"/>
      <c r="K150" s="128"/>
      <c r="L150" s="129"/>
      <c r="M150" s="128"/>
      <c r="N150" s="130"/>
      <c r="O150" s="128"/>
      <c r="P150" s="130"/>
      <c r="Q150" s="445"/>
      <c r="R150" s="392"/>
      <c r="S150" s="17"/>
    </row>
    <row r="151" ht="15.75" customHeight="1">
      <c r="A151" s="11"/>
      <c r="B151" s="135"/>
      <c r="C151" s="136"/>
      <c r="D151" s="137"/>
      <c r="E151" s="138"/>
      <c r="F151" s="85"/>
      <c r="G151" s="85"/>
      <c r="H151" s="86"/>
      <c r="I151" s="384"/>
      <c r="J151" s="87" t="s">
        <v>1</v>
      </c>
      <c r="K151" s="88" t="s">
        <v>2</v>
      </c>
      <c r="L151" s="139" t="s">
        <v>3</v>
      </c>
      <c r="M151" s="88" t="s">
        <v>208</v>
      </c>
      <c r="N151" s="91" t="s">
        <v>13</v>
      </c>
      <c r="O151" s="140" t="s">
        <v>4</v>
      </c>
      <c r="P151" s="88" t="s">
        <v>210</v>
      </c>
      <c r="Q151" s="93" t="s">
        <v>15</v>
      </c>
      <c r="R151" s="373" t="s">
        <v>9</v>
      </c>
      <c r="S151" s="17"/>
    </row>
    <row r="152" ht="15.75" customHeight="1">
      <c r="A152" s="11"/>
      <c r="B152" s="46"/>
      <c r="C152" s="66" t="s">
        <v>351</v>
      </c>
      <c r="D152" s="48"/>
      <c r="E152" s="225"/>
      <c r="F152" s="67">
        <v>1.0</v>
      </c>
      <c r="G152" s="68">
        <v>2.0</v>
      </c>
      <c r="H152" s="69">
        <v>1.0</v>
      </c>
      <c r="I152" s="384"/>
      <c r="J152" s="432">
        <v>4.0</v>
      </c>
      <c r="K152" s="54">
        <v>4.0</v>
      </c>
      <c r="L152" s="446">
        <v>4.0</v>
      </c>
      <c r="M152" s="54">
        <v>4.0</v>
      </c>
      <c r="N152" s="447">
        <v>4.0</v>
      </c>
      <c r="O152" s="54">
        <v>3.0</v>
      </c>
      <c r="P152" s="426"/>
      <c r="Q152" s="57">
        <v>4.0</v>
      </c>
      <c r="R152" s="377">
        <v>3.51</v>
      </c>
      <c r="S152" s="17"/>
    </row>
    <row r="153" ht="15.75" customHeight="1">
      <c r="A153" s="11"/>
      <c r="C153" s="66" t="s">
        <v>352</v>
      </c>
      <c r="D153" s="48"/>
      <c r="E153" s="281" t="s">
        <v>71</v>
      </c>
      <c r="F153" s="216" t="s">
        <v>68</v>
      </c>
      <c r="G153" s="217" t="s">
        <v>68</v>
      </c>
      <c r="H153" s="69">
        <v>1.0</v>
      </c>
      <c r="I153" s="384"/>
      <c r="J153" s="434">
        <v>3.0</v>
      </c>
      <c r="K153" s="55">
        <v>4.0</v>
      </c>
      <c r="L153" s="448">
        <v>3.0</v>
      </c>
      <c r="M153" s="55">
        <v>3.0</v>
      </c>
      <c r="N153" s="435">
        <v>4.0</v>
      </c>
      <c r="O153" s="55">
        <v>4.0</v>
      </c>
      <c r="P153" s="55"/>
      <c r="Q153" s="62">
        <v>4.0</v>
      </c>
      <c r="R153" s="377">
        <v>3.51</v>
      </c>
      <c r="S153" s="17"/>
    </row>
    <row r="154" ht="15.75" customHeight="1">
      <c r="A154" s="11"/>
      <c r="C154" s="101" t="s">
        <v>353</v>
      </c>
      <c r="D154" s="16"/>
      <c r="E154" s="230" t="s">
        <v>248</v>
      </c>
      <c r="F154" s="231">
        <v>2.0</v>
      </c>
      <c r="G154" s="232">
        <v>1.0</v>
      </c>
      <c r="H154" s="208">
        <v>1.0</v>
      </c>
      <c r="I154" s="384"/>
      <c r="J154" s="434">
        <v>1.0</v>
      </c>
      <c r="K154" s="55">
        <v>2.0</v>
      </c>
      <c r="L154" s="449">
        <v>1.0</v>
      </c>
      <c r="M154" s="55">
        <v>1.0</v>
      </c>
      <c r="N154" s="437">
        <v>2.0</v>
      </c>
      <c r="O154" s="55">
        <v>2.0</v>
      </c>
      <c r="P154" s="55"/>
      <c r="Q154" s="62">
        <v>1.0</v>
      </c>
      <c r="R154" s="377">
        <v>2.47</v>
      </c>
      <c r="S154" s="17"/>
    </row>
    <row r="155" ht="15.75" customHeight="1">
      <c r="A155" s="11"/>
      <c r="B155" s="166"/>
      <c r="C155" s="107" t="s">
        <v>354</v>
      </c>
      <c r="D155" s="108"/>
      <c r="E155" s="168" t="s">
        <v>71</v>
      </c>
      <c r="F155" s="169" t="s">
        <v>68</v>
      </c>
      <c r="G155" s="170" t="s">
        <v>68</v>
      </c>
      <c r="H155" s="205">
        <v>2.0</v>
      </c>
      <c r="I155" s="384"/>
      <c r="J155" s="434">
        <v>4.0</v>
      </c>
      <c r="K155" s="55">
        <v>4.0</v>
      </c>
      <c r="L155" s="446">
        <v>4.0</v>
      </c>
      <c r="M155" s="55">
        <v>4.0</v>
      </c>
      <c r="N155" s="435">
        <v>4.0</v>
      </c>
      <c r="O155" s="55">
        <v>3.0</v>
      </c>
      <c r="P155" s="55"/>
      <c r="Q155" s="62">
        <v>5.0</v>
      </c>
      <c r="R155" s="377">
        <v>3.45</v>
      </c>
      <c r="S155" s="17"/>
    </row>
    <row r="156" ht="15.75" customHeight="1">
      <c r="A156" s="11"/>
      <c r="C156" s="66" t="s">
        <v>355</v>
      </c>
      <c r="D156" s="48"/>
      <c r="E156" s="225" t="s">
        <v>41</v>
      </c>
      <c r="F156" s="67">
        <v>3.0</v>
      </c>
      <c r="G156" s="68">
        <v>2.0</v>
      </c>
      <c r="H156" s="69">
        <v>2.0</v>
      </c>
      <c r="I156" s="384"/>
      <c r="J156" s="434">
        <v>4.0</v>
      </c>
      <c r="K156" s="55">
        <v>4.0</v>
      </c>
      <c r="L156" s="450">
        <v>2.0</v>
      </c>
      <c r="M156" s="55">
        <v>3.0</v>
      </c>
      <c r="N156" s="435">
        <v>4.0</v>
      </c>
      <c r="O156" s="55">
        <v>3.0</v>
      </c>
      <c r="P156" s="428"/>
      <c r="Q156" s="62">
        <v>3.0</v>
      </c>
      <c r="R156" s="377">
        <v>3.4</v>
      </c>
      <c r="S156" s="17"/>
    </row>
    <row r="157" ht="15.75" customHeight="1">
      <c r="A157" s="11"/>
      <c r="C157" s="101" t="s">
        <v>356</v>
      </c>
      <c r="D157" s="16"/>
      <c r="E157" s="230"/>
      <c r="F157" s="231">
        <v>2.0</v>
      </c>
      <c r="G157" s="232">
        <v>5.0</v>
      </c>
      <c r="H157" s="208">
        <v>4.0</v>
      </c>
      <c r="I157" s="384"/>
      <c r="J157" s="434">
        <v>2.0</v>
      </c>
      <c r="K157" s="55">
        <v>3.0</v>
      </c>
      <c r="L157" s="446">
        <v>4.0</v>
      </c>
      <c r="M157" s="55">
        <v>2.0</v>
      </c>
      <c r="N157" s="437">
        <v>2.0</v>
      </c>
      <c r="O157" s="55">
        <v>3.0</v>
      </c>
      <c r="P157" s="55"/>
      <c r="Q157" s="62">
        <v>2.0</v>
      </c>
      <c r="R157" s="377">
        <v>2.38</v>
      </c>
      <c r="S157" s="17"/>
    </row>
    <row r="158" ht="15.75" customHeight="1">
      <c r="A158" s="11"/>
      <c r="B158" s="180"/>
      <c r="C158" s="221" t="s">
        <v>357</v>
      </c>
      <c r="D158" s="234"/>
      <c r="E158" s="198" t="s">
        <v>41</v>
      </c>
      <c r="F158" s="268">
        <v>2.0</v>
      </c>
      <c r="G158" s="269">
        <v>4.0</v>
      </c>
      <c r="H158" s="236">
        <v>3.0</v>
      </c>
      <c r="I158" s="451"/>
      <c r="J158" s="434">
        <v>3.0</v>
      </c>
      <c r="K158" s="55">
        <v>4.0</v>
      </c>
      <c r="L158" s="446">
        <v>4.0</v>
      </c>
      <c r="M158" s="55">
        <v>3.0</v>
      </c>
      <c r="N158" s="437">
        <v>2.0</v>
      </c>
      <c r="O158" s="55">
        <v>3.0</v>
      </c>
      <c r="P158" s="428"/>
      <c r="Q158" s="62">
        <v>3.0</v>
      </c>
      <c r="R158" s="377">
        <v>2.71</v>
      </c>
      <c r="S158" s="17"/>
    </row>
    <row r="159" ht="15.75" customHeight="1">
      <c r="A159" s="11"/>
      <c r="C159" s="238" t="s">
        <v>358</v>
      </c>
      <c r="D159" s="239"/>
      <c r="E159" s="452" t="s">
        <v>41</v>
      </c>
      <c r="F159" s="240">
        <v>4.0</v>
      </c>
      <c r="G159" s="241">
        <v>4.0</v>
      </c>
      <c r="H159" s="242">
        <v>4.0</v>
      </c>
      <c r="I159" s="451"/>
      <c r="J159" s="434">
        <v>1.0</v>
      </c>
      <c r="K159" s="55">
        <v>2.0</v>
      </c>
      <c r="L159" s="448">
        <v>3.0</v>
      </c>
      <c r="M159" s="55">
        <v>4.0</v>
      </c>
      <c r="N159" s="437">
        <v>2.0</v>
      </c>
      <c r="O159" s="55">
        <v>2.0</v>
      </c>
      <c r="P159" s="428"/>
      <c r="Q159" s="62">
        <v>2.0</v>
      </c>
      <c r="R159" s="377">
        <v>2.64</v>
      </c>
      <c r="S159" s="17"/>
    </row>
    <row r="160" ht="15.75" customHeight="1">
      <c r="A160" s="11"/>
      <c r="B160" s="187"/>
      <c r="C160" s="66" t="s">
        <v>359</v>
      </c>
      <c r="D160" s="48"/>
      <c r="E160" s="206" t="s">
        <v>104</v>
      </c>
      <c r="F160" s="216" t="s">
        <v>68</v>
      </c>
      <c r="G160" s="216" t="s">
        <v>68</v>
      </c>
      <c r="H160" s="453" t="s">
        <v>360</v>
      </c>
      <c r="I160" s="384"/>
      <c r="J160" s="434">
        <v>5.0</v>
      </c>
      <c r="K160" s="55">
        <v>5.0</v>
      </c>
      <c r="L160" s="446">
        <v>4.0</v>
      </c>
      <c r="M160" s="55">
        <v>4.0</v>
      </c>
      <c r="N160" s="454">
        <v>5.0</v>
      </c>
      <c r="O160" s="55">
        <v>3.0</v>
      </c>
      <c r="P160" s="428"/>
      <c r="Q160" s="62">
        <v>5.0</v>
      </c>
      <c r="R160" s="377">
        <v>4.29</v>
      </c>
      <c r="S160" s="17"/>
    </row>
    <row r="161" ht="15.75" customHeight="1">
      <c r="A161" s="11"/>
      <c r="C161" s="101" t="s">
        <v>361</v>
      </c>
      <c r="D161" s="16"/>
      <c r="E161" s="230" t="s">
        <v>41</v>
      </c>
      <c r="F161" s="231">
        <v>1.0</v>
      </c>
      <c r="G161" s="232">
        <v>4.0</v>
      </c>
      <c r="H161" s="208">
        <v>2.0</v>
      </c>
      <c r="I161" s="384"/>
      <c r="J161" s="441">
        <v>4.0</v>
      </c>
      <c r="K161" s="442">
        <v>4.0</v>
      </c>
      <c r="L161" s="455">
        <v>4.0</v>
      </c>
      <c r="M161" s="442">
        <v>4.0</v>
      </c>
      <c r="N161" s="456">
        <v>4.0</v>
      </c>
      <c r="O161" s="442">
        <v>3.0</v>
      </c>
      <c r="P161" s="428"/>
      <c r="Q161" s="62">
        <v>4.0</v>
      </c>
      <c r="R161" s="377">
        <v>3.43</v>
      </c>
      <c r="S161" s="17"/>
    </row>
    <row r="162" ht="15.75" customHeight="1">
      <c r="A162" s="11"/>
      <c r="B162" s="121"/>
      <c r="C162" s="195" t="s">
        <v>135</v>
      </c>
      <c r="D162" s="196"/>
      <c r="E162" s="124"/>
      <c r="F162" s="125"/>
      <c r="G162" s="125"/>
      <c r="H162" s="125"/>
      <c r="I162" s="127"/>
      <c r="J162" s="127"/>
      <c r="K162" s="128"/>
      <c r="L162" s="129"/>
      <c r="M162" s="128"/>
      <c r="N162" s="130"/>
      <c r="O162" s="128"/>
      <c r="P162" s="130"/>
      <c r="Q162" s="445"/>
      <c r="R162" s="392"/>
      <c r="S162" s="17"/>
    </row>
    <row r="163" ht="15.75" customHeight="1">
      <c r="A163" s="11"/>
      <c r="B163" s="135"/>
      <c r="C163" s="136"/>
      <c r="D163" s="137"/>
      <c r="E163" s="138"/>
      <c r="F163" s="85"/>
      <c r="G163" s="85"/>
      <c r="H163" s="86"/>
      <c r="I163" s="384"/>
      <c r="J163" s="87" t="s">
        <v>1</v>
      </c>
      <c r="K163" s="88" t="s">
        <v>2</v>
      </c>
      <c r="L163" s="139" t="s">
        <v>3</v>
      </c>
      <c r="M163" s="88" t="s">
        <v>208</v>
      </c>
      <c r="N163" s="91" t="s">
        <v>13</v>
      </c>
      <c r="O163" s="140" t="s">
        <v>4</v>
      </c>
      <c r="P163" s="88" t="s">
        <v>210</v>
      </c>
      <c r="Q163" s="93" t="s">
        <v>15</v>
      </c>
      <c r="R163" s="373" t="s">
        <v>9</v>
      </c>
      <c r="S163" s="17"/>
    </row>
    <row r="164" ht="15.75" customHeight="1">
      <c r="A164" s="11"/>
      <c r="B164" s="46"/>
      <c r="C164" s="66" t="s">
        <v>362</v>
      </c>
      <c r="D164" s="48"/>
      <c r="E164" s="225" t="s">
        <v>363</v>
      </c>
      <c r="F164" s="67">
        <v>1.0</v>
      </c>
      <c r="G164" s="68">
        <v>1.0</v>
      </c>
      <c r="H164" s="69">
        <v>1.0</v>
      </c>
      <c r="I164" s="384"/>
      <c r="J164" s="457">
        <v>5.0</v>
      </c>
      <c r="K164" s="56">
        <v>4.0</v>
      </c>
      <c r="L164" s="364">
        <v>4.0</v>
      </c>
      <c r="M164" s="56">
        <v>4.0</v>
      </c>
      <c r="N164" s="454">
        <v>5.0</v>
      </c>
      <c r="O164" s="56">
        <v>4.0</v>
      </c>
      <c r="P164" s="55"/>
      <c r="Q164" s="458">
        <v>4.0</v>
      </c>
      <c r="R164" s="377">
        <v>3.71</v>
      </c>
      <c r="S164" s="17"/>
    </row>
    <row r="165" ht="15.75" customHeight="1">
      <c r="A165" s="11"/>
      <c r="C165" s="66" t="s">
        <v>364</v>
      </c>
      <c r="D165" s="48"/>
      <c r="E165" s="225" t="s">
        <v>363</v>
      </c>
      <c r="F165" s="67">
        <v>2.0</v>
      </c>
      <c r="G165" s="68">
        <v>3.0</v>
      </c>
      <c r="H165" s="69">
        <v>2.0</v>
      </c>
      <c r="I165" s="384"/>
      <c r="J165" s="434">
        <v>4.0</v>
      </c>
      <c r="K165" s="55">
        <v>3.0</v>
      </c>
      <c r="L165" s="366">
        <v>1.0</v>
      </c>
      <c r="M165" s="55">
        <v>1.0</v>
      </c>
      <c r="N165" s="435">
        <v>4.0</v>
      </c>
      <c r="O165" s="55">
        <v>3.0</v>
      </c>
      <c r="P165" s="55"/>
      <c r="Q165" s="62">
        <v>2.0</v>
      </c>
      <c r="R165" s="377">
        <v>2.66</v>
      </c>
      <c r="S165" s="17"/>
    </row>
    <row r="166" ht="15.75" customHeight="1">
      <c r="A166" s="11"/>
      <c r="C166" s="66" t="s">
        <v>365</v>
      </c>
      <c r="D166" s="48"/>
      <c r="E166" s="206" t="s">
        <v>71</v>
      </c>
      <c r="F166" s="216" t="s">
        <v>68</v>
      </c>
      <c r="G166" s="217" t="s">
        <v>68</v>
      </c>
      <c r="H166" s="69">
        <v>6.0</v>
      </c>
      <c r="I166" s="384"/>
      <c r="J166" s="434">
        <v>3.0</v>
      </c>
      <c r="K166" s="55">
        <v>2.0</v>
      </c>
      <c r="L166" s="364">
        <v>4.0</v>
      </c>
      <c r="M166" s="55">
        <v>2.0</v>
      </c>
      <c r="N166" s="435">
        <v>4.0</v>
      </c>
      <c r="O166" s="55">
        <v>2.0</v>
      </c>
      <c r="P166" s="55"/>
      <c r="Q166" s="62">
        <v>3.0</v>
      </c>
      <c r="R166" s="377">
        <v>2.66</v>
      </c>
      <c r="S166" s="17"/>
    </row>
    <row r="167" ht="15.75" customHeight="1">
      <c r="A167" s="11"/>
      <c r="C167" s="244" t="s">
        <v>366</v>
      </c>
      <c r="D167" s="245"/>
      <c r="E167" s="459" t="s">
        <v>41</v>
      </c>
      <c r="F167" s="460">
        <v>4.0</v>
      </c>
      <c r="G167" s="461">
        <v>6.0</v>
      </c>
      <c r="H167" s="249">
        <v>8.0</v>
      </c>
      <c r="I167" s="384"/>
      <c r="J167" s="434">
        <v>4.0</v>
      </c>
      <c r="K167" s="55">
        <v>2.0</v>
      </c>
      <c r="L167" s="370">
        <v>3.0</v>
      </c>
      <c r="M167" s="55">
        <v>3.0</v>
      </c>
      <c r="N167" s="438">
        <v>3.0</v>
      </c>
      <c r="O167" s="55">
        <v>3.0</v>
      </c>
      <c r="P167" s="55"/>
      <c r="Q167" s="62">
        <v>3.0</v>
      </c>
      <c r="R167" s="377">
        <v>3.18</v>
      </c>
      <c r="S167" s="17"/>
    </row>
    <row r="168" ht="15.75" customHeight="1">
      <c r="A168" s="11"/>
      <c r="B168" s="166"/>
      <c r="C168" s="107" t="s">
        <v>367</v>
      </c>
      <c r="D168" s="108"/>
      <c r="E168" s="209" t="s">
        <v>71</v>
      </c>
      <c r="F168" s="169" t="s">
        <v>68</v>
      </c>
      <c r="G168" s="170" t="s">
        <v>68</v>
      </c>
      <c r="H168" s="205">
        <v>2.0</v>
      </c>
      <c r="I168" s="384"/>
      <c r="J168" s="434">
        <v>1.0</v>
      </c>
      <c r="K168" s="55">
        <v>2.0</v>
      </c>
      <c r="L168" s="366">
        <v>1.0</v>
      </c>
      <c r="M168" s="55">
        <v>1.0</v>
      </c>
      <c r="N168" s="437">
        <v>2.0</v>
      </c>
      <c r="O168" s="55">
        <v>1.0</v>
      </c>
      <c r="P168" s="55"/>
      <c r="Q168" s="62">
        <v>1.0</v>
      </c>
      <c r="R168" s="377">
        <v>2.58</v>
      </c>
      <c r="S168" s="17"/>
    </row>
    <row r="169" ht="15.75" customHeight="1">
      <c r="A169" s="11"/>
      <c r="C169" s="117" t="s">
        <v>368</v>
      </c>
      <c r="D169" s="23"/>
      <c r="E169" s="218" t="s">
        <v>71</v>
      </c>
      <c r="F169" s="219" t="s">
        <v>68</v>
      </c>
      <c r="G169" s="220" t="s">
        <v>68</v>
      </c>
      <c r="H169" s="203">
        <v>5.0</v>
      </c>
      <c r="I169" s="384"/>
      <c r="J169" s="434">
        <v>1.0</v>
      </c>
      <c r="K169" s="55">
        <v>1.0</v>
      </c>
      <c r="L169" s="366">
        <v>1.0</v>
      </c>
      <c r="M169" s="55">
        <v>1.0</v>
      </c>
      <c r="N169" s="436">
        <v>1.0</v>
      </c>
      <c r="O169" s="55">
        <v>1.0</v>
      </c>
      <c r="P169" s="55"/>
      <c r="Q169" s="62">
        <v>1.0</v>
      </c>
      <c r="R169" s="377">
        <v>2.4</v>
      </c>
      <c r="S169" s="17"/>
    </row>
    <row r="170" ht="15.75" customHeight="1">
      <c r="A170" s="11"/>
      <c r="B170" s="180"/>
      <c r="C170" s="107" t="s">
        <v>369</v>
      </c>
      <c r="D170" s="108"/>
      <c r="E170" s="209" t="s">
        <v>118</v>
      </c>
      <c r="F170" s="169" t="s">
        <v>68</v>
      </c>
      <c r="G170" s="170" t="s">
        <v>68</v>
      </c>
      <c r="H170" s="205">
        <v>2.0</v>
      </c>
      <c r="I170" s="384"/>
      <c r="J170" s="434">
        <v>4.0</v>
      </c>
      <c r="K170" s="55">
        <v>2.0</v>
      </c>
      <c r="L170" s="366">
        <v>1.0</v>
      </c>
      <c r="M170" s="55">
        <v>1.0</v>
      </c>
      <c r="N170" s="435">
        <v>4.0</v>
      </c>
      <c r="O170" s="55">
        <v>2.0</v>
      </c>
      <c r="P170" s="55"/>
      <c r="Q170" s="62">
        <v>2.0</v>
      </c>
      <c r="R170" s="377">
        <v>2.46</v>
      </c>
      <c r="S170" s="17"/>
    </row>
    <row r="171" ht="15.75" customHeight="1">
      <c r="A171" s="11"/>
      <c r="C171" s="117" t="s">
        <v>370</v>
      </c>
      <c r="D171" s="23"/>
      <c r="E171" s="427" t="s">
        <v>41</v>
      </c>
      <c r="F171" s="201">
        <v>6.0</v>
      </c>
      <c r="G171" s="202">
        <v>6.0</v>
      </c>
      <c r="H171" s="203">
        <v>7.0</v>
      </c>
      <c r="I171" s="384"/>
      <c r="J171" s="434">
        <v>3.0</v>
      </c>
      <c r="K171" s="55">
        <v>2.0</v>
      </c>
      <c r="L171" s="370">
        <v>3.0</v>
      </c>
      <c r="M171" s="55">
        <v>4.0</v>
      </c>
      <c r="N171" s="437">
        <v>2.0</v>
      </c>
      <c r="O171" s="55">
        <v>2.0</v>
      </c>
      <c r="P171" s="55"/>
      <c r="Q171" s="62">
        <v>4.0</v>
      </c>
      <c r="R171" s="377">
        <v>2.86</v>
      </c>
      <c r="S171" s="17"/>
    </row>
    <row r="172" ht="15.75" customHeight="1">
      <c r="A172" s="11"/>
      <c r="B172" s="187"/>
      <c r="C172" s="107" t="s">
        <v>371</v>
      </c>
      <c r="D172" s="108"/>
      <c r="E172" s="226" t="s">
        <v>41</v>
      </c>
      <c r="F172" s="250">
        <v>5.0</v>
      </c>
      <c r="G172" s="251">
        <v>4.0</v>
      </c>
      <c r="H172" s="205">
        <v>5.0</v>
      </c>
      <c r="I172" s="384"/>
      <c r="J172" s="434">
        <v>4.0</v>
      </c>
      <c r="K172" s="55">
        <v>3.0</v>
      </c>
      <c r="L172" s="366">
        <v>1.0</v>
      </c>
      <c r="M172" s="55">
        <v>2.0</v>
      </c>
      <c r="N172" s="435">
        <v>4.0</v>
      </c>
      <c r="O172" s="55">
        <v>4.0</v>
      </c>
      <c r="P172" s="55"/>
      <c r="Q172" s="62">
        <v>2.0</v>
      </c>
      <c r="R172" s="377">
        <v>3.03</v>
      </c>
      <c r="S172" s="17"/>
    </row>
    <row r="173" ht="15.75" customHeight="1">
      <c r="A173" s="11"/>
      <c r="C173" s="101" t="s">
        <v>372</v>
      </c>
      <c r="D173" s="16"/>
      <c r="E173" s="230" t="s">
        <v>41</v>
      </c>
      <c r="F173" s="231">
        <v>7.0</v>
      </c>
      <c r="G173" s="232">
        <v>7.0</v>
      </c>
      <c r="H173" s="208">
        <v>8.0</v>
      </c>
      <c r="I173" s="384"/>
      <c r="J173" s="441">
        <v>2.0</v>
      </c>
      <c r="K173" s="442">
        <v>3.0</v>
      </c>
      <c r="L173" s="462">
        <v>4.0</v>
      </c>
      <c r="M173" s="442">
        <v>5.0</v>
      </c>
      <c r="N173" s="456">
        <v>4.0</v>
      </c>
      <c r="O173" s="442">
        <v>1.0</v>
      </c>
      <c r="P173" s="55"/>
      <c r="Q173" s="444">
        <v>2.0</v>
      </c>
      <c r="R173" s="377">
        <v>3.68</v>
      </c>
      <c r="S173" s="17"/>
    </row>
    <row r="174" ht="15.75" customHeight="1">
      <c r="A174" s="11"/>
      <c r="B174" s="121"/>
      <c r="C174" s="195" t="s">
        <v>147</v>
      </c>
      <c r="D174" s="196"/>
      <c r="E174" s="124"/>
      <c r="F174" s="125"/>
      <c r="G174" s="125"/>
      <c r="H174" s="125"/>
      <c r="I174" s="127"/>
      <c r="J174" s="127"/>
      <c r="K174" s="128"/>
      <c r="L174" s="129"/>
      <c r="M174" s="128"/>
      <c r="N174" s="130"/>
      <c r="O174" s="128"/>
      <c r="P174" s="130"/>
      <c r="Q174" s="445"/>
      <c r="R174" s="392"/>
      <c r="S174" s="17"/>
    </row>
    <row r="175" ht="15.75" customHeight="1">
      <c r="A175" s="11"/>
      <c r="B175" s="135"/>
      <c r="C175" s="136"/>
      <c r="D175" s="137"/>
      <c r="E175" s="138"/>
      <c r="F175" s="85"/>
      <c r="G175" s="85"/>
      <c r="H175" s="86"/>
      <c r="I175" s="384"/>
      <c r="J175" s="87" t="s">
        <v>1</v>
      </c>
      <c r="K175" s="88" t="s">
        <v>2</v>
      </c>
      <c r="L175" s="139" t="s">
        <v>3</v>
      </c>
      <c r="M175" s="88" t="s">
        <v>208</v>
      </c>
      <c r="N175" s="91" t="s">
        <v>13</v>
      </c>
      <c r="O175" s="140" t="s">
        <v>4</v>
      </c>
      <c r="P175" s="88" t="s">
        <v>210</v>
      </c>
      <c r="Q175" s="93" t="s">
        <v>15</v>
      </c>
      <c r="R175" s="373" t="s">
        <v>9</v>
      </c>
      <c r="S175" s="17"/>
    </row>
    <row r="176" ht="15.75" customHeight="1">
      <c r="A176" s="11"/>
      <c r="B176" s="46"/>
      <c r="C176" s="66" t="s">
        <v>373</v>
      </c>
      <c r="D176" s="48"/>
      <c r="E176" s="281" t="s">
        <v>176</v>
      </c>
      <c r="F176" s="169" t="s">
        <v>68</v>
      </c>
      <c r="G176" s="170" t="s">
        <v>68</v>
      </c>
      <c r="H176" s="69">
        <v>1.0</v>
      </c>
      <c r="I176" s="384"/>
      <c r="J176" s="432">
        <v>3.0</v>
      </c>
      <c r="K176" s="54">
        <v>2.0</v>
      </c>
      <c r="L176" s="450">
        <v>2.0</v>
      </c>
      <c r="M176" s="55">
        <v>3.0</v>
      </c>
      <c r="N176" s="447">
        <v>4.0</v>
      </c>
      <c r="O176" s="54">
        <v>2.0</v>
      </c>
      <c r="P176" s="156"/>
      <c r="Q176" s="57">
        <v>2.0</v>
      </c>
      <c r="R176" s="377">
        <v>3.0</v>
      </c>
      <c r="S176" s="17"/>
    </row>
    <row r="177" ht="15.75" customHeight="1">
      <c r="A177" s="11"/>
      <c r="C177" s="66" t="s">
        <v>374</v>
      </c>
      <c r="D177" s="48"/>
      <c r="E177" s="225" t="s">
        <v>22</v>
      </c>
      <c r="F177" s="67">
        <v>2.0</v>
      </c>
      <c r="G177" s="68">
        <v>2.0</v>
      </c>
      <c r="H177" s="69">
        <v>2.0</v>
      </c>
      <c r="I177" s="384"/>
      <c r="J177" s="434">
        <v>2.0</v>
      </c>
      <c r="K177" s="55">
        <v>2.0</v>
      </c>
      <c r="L177" s="448">
        <v>3.0</v>
      </c>
      <c r="M177" s="55">
        <v>2.0</v>
      </c>
      <c r="N177" s="437">
        <v>2.0</v>
      </c>
      <c r="O177" s="55">
        <v>2.0</v>
      </c>
      <c r="P177" s="156"/>
      <c r="Q177" s="62">
        <v>1.0</v>
      </c>
      <c r="R177" s="377">
        <v>2.44</v>
      </c>
      <c r="S177" s="17"/>
    </row>
    <row r="178" ht="15.75" customHeight="1">
      <c r="A178" s="11"/>
      <c r="C178" s="101" t="s">
        <v>375</v>
      </c>
      <c r="D178" s="16"/>
      <c r="E178" s="230"/>
      <c r="F178" s="231">
        <v>3.0</v>
      </c>
      <c r="G178" s="232">
        <v>4.0</v>
      </c>
      <c r="H178" s="208">
        <v>3.0</v>
      </c>
      <c r="I178" s="384"/>
      <c r="J178" s="434">
        <v>2.0</v>
      </c>
      <c r="K178" s="55">
        <v>2.0</v>
      </c>
      <c r="L178" s="449">
        <v>1.0</v>
      </c>
      <c r="M178" s="55">
        <v>2.0</v>
      </c>
      <c r="N178" s="436">
        <v>1.0</v>
      </c>
      <c r="O178" s="55">
        <v>2.0</v>
      </c>
      <c r="P178" s="156"/>
      <c r="Q178" s="62">
        <v>2.0</v>
      </c>
      <c r="R178" s="377">
        <v>2.31</v>
      </c>
      <c r="S178" s="17"/>
    </row>
    <row r="179" ht="15.75" customHeight="1">
      <c r="A179" s="11"/>
      <c r="B179" s="166"/>
      <c r="C179" s="107" t="s">
        <v>376</v>
      </c>
      <c r="D179" s="108"/>
      <c r="E179" s="168" t="s">
        <v>176</v>
      </c>
      <c r="F179" s="169" t="s">
        <v>68</v>
      </c>
      <c r="G179" s="170" t="s">
        <v>68</v>
      </c>
      <c r="H179" s="205">
        <v>2.0</v>
      </c>
      <c r="I179" s="384"/>
      <c r="J179" s="434">
        <v>3.0</v>
      </c>
      <c r="K179" s="55">
        <v>3.0</v>
      </c>
      <c r="L179" s="448">
        <v>3.0</v>
      </c>
      <c r="M179" s="55">
        <v>3.0</v>
      </c>
      <c r="N179" s="435">
        <v>4.0</v>
      </c>
      <c r="O179" s="55">
        <v>3.0</v>
      </c>
      <c r="P179" s="156"/>
      <c r="Q179" s="62">
        <v>4.0</v>
      </c>
      <c r="R179" s="377">
        <v>3.56</v>
      </c>
      <c r="S179" s="17"/>
    </row>
    <row r="180" ht="15.75" customHeight="1">
      <c r="A180" s="11"/>
      <c r="C180" s="66" t="s">
        <v>377</v>
      </c>
      <c r="D180" s="48"/>
      <c r="E180" s="225"/>
      <c r="F180" s="67">
        <v>2.0</v>
      </c>
      <c r="G180" s="68">
        <v>3.0</v>
      </c>
      <c r="H180" s="69">
        <v>2.0</v>
      </c>
      <c r="I180" s="384"/>
      <c r="J180" s="434">
        <v>2.0</v>
      </c>
      <c r="K180" s="55">
        <v>2.0</v>
      </c>
      <c r="L180" s="450">
        <v>2.0</v>
      </c>
      <c r="M180" s="55">
        <v>1.0</v>
      </c>
      <c r="N180" s="436">
        <v>1.0</v>
      </c>
      <c r="O180" s="55">
        <v>1.0</v>
      </c>
      <c r="P180" s="156"/>
      <c r="Q180" s="62">
        <v>3.0</v>
      </c>
      <c r="R180" s="377">
        <v>2.65</v>
      </c>
      <c r="S180" s="17"/>
    </row>
    <row r="181" ht="15.75" customHeight="1">
      <c r="A181" s="11"/>
      <c r="C181" s="101" t="s">
        <v>378</v>
      </c>
      <c r="D181" s="16"/>
      <c r="E181" s="282" t="s">
        <v>176</v>
      </c>
      <c r="F181" s="219" t="s">
        <v>68</v>
      </c>
      <c r="G181" s="220" t="s">
        <v>68</v>
      </c>
      <c r="H181" s="208">
        <v>4.0</v>
      </c>
      <c r="I181" s="384"/>
      <c r="J181" s="434">
        <v>2.0</v>
      </c>
      <c r="K181" s="55">
        <v>3.0</v>
      </c>
      <c r="L181" s="450">
        <v>2.0</v>
      </c>
      <c r="M181" s="55">
        <v>1.0</v>
      </c>
      <c r="N181" s="437">
        <v>2.0</v>
      </c>
      <c r="O181" s="55">
        <v>1.0</v>
      </c>
      <c r="P181" s="463"/>
      <c r="Q181" s="62">
        <v>3.0</v>
      </c>
      <c r="R181" s="377">
        <v>2.87</v>
      </c>
      <c r="S181" s="17"/>
    </row>
    <row r="182" ht="15.75" customHeight="1">
      <c r="A182" s="11"/>
      <c r="B182" s="180"/>
      <c r="C182" s="107" t="s">
        <v>379</v>
      </c>
      <c r="D182" s="108"/>
      <c r="E182" s="168" t="s">
        <v>176</v>
      </c>
      <c r="F182" s="169" t="s">
        <v>68</v>
      </c>
      <c r="G182" s="170" t="s">
        <v>68</v>
      </c>
      <c r="H182" s="205">
        <v>2.0</v>
      </c>
      <c r="I182" s="384"/>
      <c r="J182" s="434">
        <v>3.0</v>
      </c>
      <c r="K182" s="55">
        <v>2.0</v>
      </c>
      <c r="L182" s="449">
        <v>1.0</v>
      </c>
      <c r="M182" s="55">
        <v>3.0</v>
      </c>
      <c r="N182" s="435">
        <v>4.0</v>
      </c>
      <c r="O182" s="55">
        <v>2.0</v>
      </c>
      <c r="P182" s="463"/>
      <c r="Q182" s="62">
        <v>3.0</v>
      </c>
      <c r="R182" s="377">
        <v>2.86</v>
      </c>
      <c r="S182" s="17"/>
    </row>
    <row r="183" ht="15.75" customHeight="1">
      <c r="A183" s="11"/>
      <c r="C183" s="101" t="s">
        <v>380</v>
      </c>
      <c r="D183" s="16"/>
      <c r="E183" s="427" t="s">
        <v>41</v>
      </c>
      <c r="F183" s="231">
        <v>2.0</v>
      </c>
      <c r="G183" s="232">
        <v>2.0</v>
      </c>
      <c r="H183" s="208">
        <v>2.0</v>
      </c>
      <c r="I183" s="384"/>
      <c r="J183" s="434">
        <v>3.0</v>
      </c>
      <c r="K183" s="55">
        <v>2.0</v>
      </c>
      <c r="L183" s="448">
        <v>3.0</v>
      </c>
      <c r="M183" s="55">
        <v>1.0</v>
      </c>
      <c r="N183" s="438">
        <v>3.0</v>
      </c>
      <c r="O183" s="55">
        <v>3.0</v>
      </c>
      <c r="P183" s="156"/>
      <c r="Q183" s="62">
        <v>3.0</v>
      </c>
      <c r="R183" s="377">
        <v>2.8</v>
      </c>
      <c r="S183" s="17"/>
    </row>
    <row r="184" ht="15.75" customHeight="1">
      <c r="A184" s="11"/>
      <c r="B184" s="187"/>
      <c r="C184" s="221" t="s">
        <v>381</v>
      </c>
      <c r="D184" s="222"/>
      <c r="E184" s="464"/>
      <c r="F184" s="252">
        <v>3.0</v>
      </c>
      <c r="G184" s="253">
        <v>4.0</v>
      </c>
      <c r="H184" s="224">
        <v>3.0</v>
      </c>
      <c r="I184" s="384"/>
      <c r="J184" s="434">
        <v>2.0</v>
      </c>
      <c r="K184" s="55">
        <v>1.0</v>
      </c>
      <c r="L184" s="449">
        <v>1.0</v>
      </c>
      <c r="M184" s="55">
        <v>1.0</v>
      </c>
      <c r="N184" s="435">
        <v>4.0</v>
      </c>
      <c r="O184" s="55">
        <v>1.0</v>
      </c>
      <c r="P184" s="156"/>
      <c r="Q184" s="62">
        <v>4.0</v>
      </c>
      <c r="R184" s="377">
        <v>3.17</v>
      </c>
      <c r="S184" s="17"/>
    </row>
    <row r="185" ht="15.75" customHeight="1">
      <c r="A185" s="11"/>
      <c r="C185" s="66" t="s">
        <v>382</v>
      </c>
      <c r="D185" s="48"/>
      <c r="E185" s="258" t="s">
        <v>77</v>
      </c>
      <c r="F185" s="67">
        <v>4.0</v>
      </c>
      <c r="G185" s="68">
        <v>2.0</v>
      </c>
      <c r="H185" s="69">
        <v>6.0</v>
      </c>
      <c r="I185" s="384"/>
      <c r="J185" s="441">
        <v>1.0</v>
      </c>
      <c r="K185" s="442">
        <v>1.0</v>
      </c>
      <c r="L185" s="465">
        <v>1.0</v>
      </c>
      <c r="M185" s="442">
        <v>1.0</v>
      </c>
      <c r="N185" s="466" t="s">
        <v>383</v>
      </c>
      <c r="O185" s="442">
        <v>1.0</v>
      </c>
      <c r="P185" s="156"/>
      <c r="Q185" s="444">
        <v>3.0</v>
      </c>
      <c r="R185" s="377">
        <v>2.45</v>
      </c>
      <c r="S185" s="17"/>
    </row>
    <row r="186" ht="15.75" customHeight="1">
      <c r="A186" s="11"/>
      <c r="B186" s="121"/>
      <c r="C186" s="195" t="s">
        <v>158</v>
      </c>
      <c r="D186" s="196"/>
      <c r="E186" s="124"/>
      <c r="F186" s="125"/>
      <c r="G186" s="125"/>
      <c r="H186" s="125"/>
      <c r="I186" s="127"/>
      <c r="J186" s="127"/>
      <c r="K186" s="128"/>
      <c r="L186" s="129"/>
      <c r="M186" s="128"/>
      <c r="N186" s="130"/>
      <c r="O186" s="128"/>
      <c r="P186" s="130"/>
      <c r="Q186" s="445"/>
      <c r="R186" s="392"/>
      <c r="S186" s="17"/>
    </row>
    <row r="187" ht="15.75" customHeight="1">
      <c r="A187" s="11"/>
      <c r="B187" s="135"/>
      <c r="C187" s="136"/>
      <c r="D187" s="137"/>
      <c r="E187" s="138"/>
      <c r="F187" s="85"/>
      <c r="G187" s="85"/>
      <c r="H187" s="86"/>
      <c r="I187" s="384"/>
      <c r="J187" s="87" t="s">
        <v>1</v>
      </c>
      <c r="K187" s="88" t="s">
        <v>2</v>
      </c>
      <c r="L187" s="139" t="s">
        <v>3</v>
      </c>
      <c r="M187" s="88" t="s">
        <v>208</v>
      </c>
      <c r="N187" s="91" t="s">
        <v>13</v>
      </c>
      <c r="O187" s="140" t="s">
        <v>4</v>
      </c>
      <c r="P187" s="88" t="s">
        <v>210</v>
      </c>
      <c r="Q187" s="93" t="s">
        <v>15</v>
      </c>
      <c r="R187" s="373" t="s">
        <v>9</v>
      </c>
      <c r="S187" s="17"/>
    </row>
    <row r="188" ht="15.75" customHeight="1">
      <c r="A188" s="11"/>
      <c r="B188" s="46"/>
      <c r="C188" s="66" t="s">
        <v>384</v>
      </c>
      <c r="D188" s="48"/>
      <c r="E188" s="206" t="s">
        <v>104</v>
      </c>
      <c r="F188" s="216" t="s">
        <v>68</v>
      </c>
      <c r="G188" s="217" t="s">
        <v>68</v>
      </c>
      <c r="H188" s="69">
        <v>0.0</v>
      </c>
      <c r="I188" s="384"/>
      <c r="J188" s="457">
        <v>2.0</v>
      </c>
      <c r="K188" s="56">
        <v>3.0</v>
      </c>
      <c r="L188" s="370">
        <v>3.0</v>
      </c>
      <c r="M188" s="56">
        <v>1.0</v>
      </c>
      <c r="N188" s="467">
        <v>2.0</v>
      </c>
      <c r="O188" s="56">
        <v>2.0</v>
      </c>
      <c r="P188" s="428"/>
      <c r="Q188" s="458">
        <v>1.0</v>
      </c>
      <c r="R188" s="377">
        <v>2.63</v>
      </c>
      <c r="S188" s="17"/>
    </row>
    <row r="189" ht="15.75" customHeight="1">
      <c r="A189" s="11"/>
      <c r="C189" s="66" t="s">
        <v>385</v>
      </c>
      <c r="D189" s="48"/>
      <c r="E189" s="225"/>
      <c r="F189" s="67">
        <v>1.0</v>
      </c>
      <c r="G189" s="68">
        <v>2.0</v>
      </c>
      <c r="H189" s="69">
        <v>1.0</v>
      </c>
      <c r="I189" s="384"/>
      <c r="J189" s="434">
        <v>1.0</v>
      </c>
      <c r="K189" s="55">
        <v>2.0</v>
      </c>
      <c r="L189" s="361">
        <v>2.0</v>
      </c>
      <c r="M189" s="55">
        <v>1.0</v>
      </c>
      <c r="N189" s="438">
        <v>3.0</v>
      </c>
      <c r="O189" s="55">
        <v>3.0</v>
      </c>
      <c r="P189" s="55"/>
      <c r="Q189" s="62">
        <v>3.0</v>
      </c>
      <c r="R189" s="377">
        <v>2.6</v>
      </c>
      <c r="S189" s="17"/>
    </row>
    <row r="190" ht="15.75" customHeight="1">
      <c r="A190" s="11"/>
      <c r="C190" s="117" t="s">
        <v>386</v>
      </c>
      <c r="D190" s="23"/>
      <c r="E190" s="427" t="s">
        <v>41</v>
      </c>
      <c r="F190" s="201">
        <v>3.0</v>
      </c>
      <c r="G190" s="202">
        <v>2.0</v>
      </c>
      <c r="H190" s="203">
        <v>2.0</v>
      </c>
      <c r="I190" s="384"/>
      <c r="J190" s="434">
        <v>3.0</v>
      </c>
      <c r="K190" s="55">
        <v>3.0</v>
      </c>
      <c r="L190" s="361">
        <v>2.0</v>
      </c>
      <c r="M190" s="55">
        <v>2.0</v>
      </c>
      <c r="N190" s="437">
        <v>2.0</v>
      </c>
      <c r="O190" s="55">
        <v>3.0</v>
      </c>
      <c r="P190" s="55"/>
      <c r="Q190" s="62">
        <v>2.0</v>
      </c>
      <c r="R190" s="377">
        <v>2.61</v>
      </c>
      <c r="S190" s="17"/>
    </row>
    <row r="191" ht="15.75" customHeight="1">
      <c r="A191" s="11"/>
      <c r="B191" s="166"/>
      <c r="C191" s="107" t="s">
        <v>387</v>
      </c>
      <c r="D191" s="108"/>
      <c r="E191" s="209" t="s">
        <v>104</v>
      </c>
      <c r="F191" s="169" t="s">
        <v>68</v>
      </c>
      <c r="G191" s="170" t="s">
        <v>68</v>
      </c>
      <c r="H191" s="205">
        <v>1.0</v>
      </c>
      <c r="I191" s="384"/>
      <c r="J191" s="434">
        <v>4.0</v>
      </c>
      <c r="K191" s="55">
        <v>3.0</v>
      </c>
      <c r="L191" s="370">
        <v>3.0</v>
      </c>
      <c r="M191" s="55">
        <v>3.0</v>
      </c>
      <c r="N191" s="437">
        <v>2.0</v>
      </c>
      <c r="O191" s="55">
        <v>3.0</v>
      </c>
      <c r="P191" s="55"/>
      <c r="Q191" s="62">
        <v>1.0</v>
      </c>
      <c r="R191" s="377">
        <v>2.68</v>
      </c>
      <c r="S191" s="17"/>
    </row>
    <row r="192" ht="15.75" customHeight="1">
      <c r="A192" s="11"/>
      <c r="C192" s="66" t="s">
        <v>388</v>
      </c>
      <c r="D192" s="48"/>
      <c r="E192" s="225"/>
      <c r="F192" s="67">
        <v>2.0</v>
      </c>
      <c r="G192" s="68">
        <v>4.0</v>
      </c>
      <c r="H192" s="69">
        <v>4.0</v>
      </c>
      <c r="I192" s="384"/>
      <c r="J192" s="434">
        <v>2.0</v>
      </c>
      <c r="K192" s="55">
        <v>2.0</v>
      </c>
      <c r="L192" s="370">
        <v>3.0</v>
      </c>
      <c r="M192" s="55">
        <v>1.0</v>
      </c>
      <c r="N192" s="436">
        <v>1.0</v>
      </c>
      <c r="O192" s="55">
        <v>3.0</v>
      </c>
      <c r="P192" s="55"/>
      <c r="Q192" s="62">
        <v>1.0</v>
      </c>
      <c r="R192" s="377">
        <v>2.38</v>
      </c>
      <c r="S192" s="17"/>
    </row>
    <row r="193" ht="15.75" customHeight="1">
      <c r="A193" s="11"/>
      <c r="C193" s="117" t="s">
        <v>389</v>
      </c>
      <c r="D193" s="23"/>
      <c r="E193" s="218" t="s">
        <v>104</v>
      </c>
      <c r="F193" s="219" t="s">
        <v>68</v>
      </c>
      <c r="G193" s="220" t="s">
        <v>68</v>
      </c>
      <c r="H193" s="203">
        <v>5.0</v>
      </c>
      <c r="I193" s="384"/>
      <c r="J193" s="434">
        <v>1.0</v>
      </c>
      <c r="K193" s="55">
        <v>2.0</v>
      </c>
      <c r="L193" s="364">
        <v>4.0</v>
      </c>
      <c r="M193" s="55">
        <v>2.0</v>
      </c>
      <c r="N193" s="436">
        <v>1.0</v>
      </c>
      <c r="O193" s="55">
        <v>2.0</v>
      </c>
      <c r="P193" s="55"/>
      <c r="Q193" s="62">
        <v>1.0</v>
      </c>
      <c r="R193" s="377">
        <v>2.61</v>
      </c>
      <c r="S193" s="17"/>
    </row>
    <row r="194" ht="15.75" customHeight="1">
      <c r="A194" s="11"/>
      <c r="B194" s="180"/>
      <c r="C194" s="107" t="s">
        <v>390</v>
      </c>
      <c r="D194" s="108"/>
      <c r="E194" s="226" t="s">
        <v>41</v>
      </c>
      <c r="F194" s="250">
        <v>3.0</v>
      </c>
      <c r="G194" s="251">
        <v>3.0</v>
      </c>
      <c r="H194" s="205">
        <v>3.0</v>
      </c>
      <c r="I194" s="384"/>
      <c r="J194" s="434">
        <v>1.0</v>
      </c>
      <c r="K194" s="55">
        <v>2.0</v>
      </c>
      <c r="L194" s="366">
        <v>1.0</v>
      </c>
      <c r="M194" s="55">
        <v>1.0</v>
      </c>
      <c r="N194" s="437">
        <v>2.0</v>
      </c>
      <c r="O194" s="55">
        <v>3.0</v>
      </c>
      <c r="P194" s="55"/>
      <c r="Q194" s="62">
        <v>2.0</v>
      </c>
      <c r="R194" s="377">
        <v>2.32</v>
      </c>
      <c r="S194" s="17"/>
    </row>
    <row r="195" ht="15.75" customHeight="1">
      <c r="A195" s="11"/>
      <c r="C195" s="117" t="s">
        <v>391</v>
      </c>
      <c r="D195" s="23"/>
      <c r="E195" s="218" t="s">
        <v>104</v>
      </c>
      <c r="F195" s="219" t="s">
        <v>68</v>
      </c>
      <c r="G195" s="220" t="s">
        <v>68</v>
      </c>
      <c r="H195" s="203">
        <v>4.0</v>
      </c>
      <c r="I195" s="384"/>
      <c r="J195" s="434">
        <v>2.0</v>
      </c>
      <c r="K195" s="55">
        <v>4.0</v>
      </c>
      <c r="L195" s="370">
        <v>3.0</v>
      </c>
      <c r="M195" s="55">
        <v>3.0</v>
      </c>
      <c r="N195" s="435">
        <v>4.0</v>
      </c>
      <c r="O195" s="55">
        <v>2.0</v>
      </c>
      <c r="P195" s="55"/>
      <c r="Q195" s="62">
        <v>3.0</v>
      </c>
      <c r="R195" s="377">
        <v>3.54</v>
      </c>
      <c r="S195" s="17"/>
    </row>
    <row r="196" ht="15.75" customHeight="1">
      <c r="A196" s="11"/>
      <c r="B196" s="187"/>
      <c r="C196" s="107" t="s">
        <v>392</v>
      </c>
      <c r="D196" s="108"/>
      <c r="E196" s="226"/>
      <c r="F196" s="250">
        <v>3.0</v>
      </c>
      <c r="G196" s="251">
        <v>5.0</v>
      </c>
      <c r="H196" s="205">
        <v>5.0</v>
      </c>
      <c r="I196" s="384"/>
      <c r="J196" s="434">
        <v>2.0</v>
      </c>
      <c r="K196" s="55">
        <v>2.0</v>
      </c>
      <c r="L196" s="364">
        <v>4.0</v>
      </c>
      <c r="M196" s="55">
        <v>2.0</v>
      </c>
      <c r="N196" s="438">
        <v>3.0</v>
      </c>
      <c r="O196" s="55">
        <v>3.0</v>
      </c>
      <c r="P196" s="55"/>
      <c r="Q196" s="62">
        <v>1.0</v>
      </c>
      <c r="R196" s="377">
        <v>2.85</v>
      </c>
      <c r="S196" s="17"/>
    </row>
    <row r="197" ht="15.75" customHeight="1">
      <c r="A197" s="11"/>
      <c r="C197" s="101" t="s">
        <v>393</v>
      </c>
      <c r="D197" s="16"/>
      <c r="E197" s="230" t="s">
        <v>41</v>
      </c>
      <c r="F197" s="231">
        <v>6.0</v>
      </c>
      <c r="G197" s="232">
        <v>6.0</v>
      </c>
      <c r="H197" s="208">
        <v>6.0</v>
      </c>
      <c r="I197" s="384"/>
      <c r="J197" s="441">
        <v>4.0</v>
      </c>
      <c r="K197" s="442">
        <v>3.0</v>
      </c>
      <c r="L197" s="412">
        <v>3.0</v>
      </c>
      <c r="M197" s="442">
        <v>4.0</v>
      </c>
      <c r="N197" s="468">
        <v>3.0</v>
      </c>
      <c r="O197" s="442">
        <v>4.0</v>
      </c>
      <c r="P197" s="55"/>
      <c r="Q197" s="444">
        <v>4.0</v>
      </c>
      <c r="R197" s="377">
        <v>3.51</v>
      </c>
      <c r="S197" s="17"/>
    </row>
    <row r="198" ht="15.75" customHeight="1">
      <c r="A198" s="11"/>
      <c r="B198" s="121"/>
      <c r="C198" s="195" t="s">
        <v>170</v>
      </c>
      <c r="D198" s="196"/>
      <c r="E198" s="124"/>
      <c r="F198" s="125"/>
      <c r="G198" s="125"/>
      <c r="H198" s="125"/>
      <c r="I198" s="127"/>
      <c r="J198" s="127"/>
      <c r="K198" s="128"/>
      <c r="L198" s="129"/>
      <c r="M198" s="128"/>
      <c r="N198" s="130"/>
      <c r="O198" s="128"/>
      <c r="P198" s="130"/>
      <c r="Q198" s="445"/>
      <c r="R198" s="392"/>
      <c r="S198" s="17"/>
    </row>
    <row r="199" ht="15.75" customHeight="1">
      <c r="A199" s="11"/>
      <c r="B199" s="135"/>
      <c r="C199" s="136"/>
      <c r="D199" s="137"/>
      <c r="E199" s="138"/>
      <c r="F199" s="85"/>
      <c r="G199" s="85"/>
      <c r="H199" s="86"/>
      <c r="I199" s="384"/>
      <c r="J199" s="87" t="s">
        <v>1</v>
      </c>
      <c r="K199" s="88" t="s">
        <v>2</v>
      </c>
      <c r="L199" s="139" t="s">
        <v>3</v>
      </c>
      <c r="M199" s="88" t="s">
        <v>208</v>
      </c>
      <c r="N199" s="91" t="s">
        <v>13</v>
      </c>
      <c r="O199" s="140" t="s">
        <v>4</v>
      </c>
      <c r="P199" s="88" t="s">
        <v>210</v>
      </c>
      <c r="Q199" s="93" t="s">
        <v>15</v>
      </c>
      <c r="R199" s="373" t="s">
        <v>9</v>
      </c>
      <c r="S199" s="17"/>
    </row>
    <row r="200" ht="15.75" customHeight="1">
      <c r="A200" s="11"/>
      <c r="B200" s="46"/>
      <c r="C200" s="66" t="s">
        <v>394</v>
      </c>
      <c r="D200" s="48"/>
      <c r="E200" s="168"/>
      <c r="F200" s="231">
        <v>1.0</v>
      </c>
      <c r="G200" s="232">
        <v>2.0</v>
      </c>
      <c r="H200" s="69">
        <v>1.0</v>
      </c>
      <c r="I200" s="384"/>
      <c r="J200" s="457">
        <v>4.0</v>
      </c>
      <c r="K200" s="56">
        <v>4.0</v>
      </c>
      <c r="L200" s="446">
        <v>4.0</v>
      </c>
      <c r="M200" s="56">
        <v>3.0</v>
      </c>
      <c r="N200" s="447">
        <v>4.0</v>
      </c>
      <c r="O200" s="56">
        <v>4.0</v>
      </c>
      <c r="P200" s="146"/>
      <c r="Q200" s="458">
        <v>3.0</v>
      </c>
      <c r="R200" s="377">
        <v>3.29</v>
      </c>
      <c r="S200" s="17"/>
    </row>
    <row r="201" ht="15.75" customHeight="1">
      <c r="A201" s="11"/>
      <c r="C201" s="66" t="s">
        <v>395</v>
      </c>
      <c r="D201" s="48"/>
      <c r="E201" s="281" t="s">
        <v>176</v>
      </c>
      <c r="F201" s="469" t="s">
        <v>68</v>
      </c>
      <c r="G201" s="470" t="s">
        <v>68</v>
      </c>
      <c r="H201" s="69">
        <v>1.0</v>
      </c>
      <c r="I201" s="384"/>
      <c r="J201" s="434">
        <v>3.0</v>
      </c>
      <c r="K201" s="55">
        <v>4.0</v>
      </c>
      <c r="L201" s="449">
        <v>1.0</v>
      </c>
      <c r="M201" s="55">
        <v>2.0</v>
      </c>
      <c r="N201" s="454">
        <v>5.0</v>
      </c>
      <c r="O201" s="55">
        <v>3.0</v>
      </c>
      <c r="P201" s="156"/>
      <c r="Q201" s="62">
        <v>3.0</v>
      </c>
      <c r="R201" s="377">
        <v>2.93</v>
      </c>
      <c r="S201" s="17"/>
    </row>
    <row r="202" ht="15.75" customHeight="1">
      <c r="A202" s="11"/>
      <c r="C202" s="101" t="s">
        <v>396</v>
      </c>
      <c r="D202" s="16"/>
      <c r="E202" s="230"/>
      <c r="F202" s="231">
        <v>3.0</v>
      </c>
      <c r="G202" s="232">
        <v>2.0</v>
      </c>
      <c r="H202" s="208">
        <v>2.0</v>
      </c>
      <c r="I202" s="384"/>
      <c r="J202" s="434">
        <v>3.0</v>
      </c>
      <c r="K202" s="55">
        <v>3.0</v>
      </c>
      <c r="L202" s="450">
        <v>2.0</v>
      </c>
      <c r="M202" s="55">
        <v>1.0</v>
      </c>
      <c r="N202" s="438">
        <v>3.0</v>
      </c>
      <c r="O202" s="55">
        <v>3.0</v>
      </c>
      <c r="P202" s="156"/>
      <c r="Q202" s="62">
        <v>4.0</v>
      </c>
      <c r="R202" s="377">
        <v>3.37</v>
      </c>
      <c r="S202" s="17"/>
    </row>
    <row r="203" ht="15.75" customHeight="1">
      <c r="A203" s="11"/>
      <c r="B203" s="166"/>
      <c r="C203" s="107" t="s">
        <v>397</v>
      </c>
      <c r="D203" s="108"/>
      <c r="E203" s="168"/>
      <c r="F203" s="169" t="s">
        <v>68</v>
      </c>
      <c r="G203" s="170" t="s">
        <v>68</v>
      </c>
      <c r="H203" s="205">
        <v>3.0</v>
      </c>
      <c r="I203" s="384"/>
      <c r="J203" s="434">
        <v>1.0</v>
      </c>
      <c r="K203" s="55">
        <v>1.0</v>
      </c>
      <c r="L203" s="450">
        <v>2.0</v>
      </c>
      <c r="M203" s="55">
        <v>3.0</v>
      </c>
      <c r="N203" s="436">
        <v>1.0</v>
      </c>
      <c r="O203" s="55">
        <v>1.0</v>
      </c>
      <c r="P203" s="156"/>
      <c r="Q203" s="62">
        <v>3.0</v>
      </c>
      <c r="R203" s="377">
        <v>2.69</v>
      </c>
      <c r="S203" s="17"/>
    </row>
    <row r="204" ht="15.75" customHeight="1">
      <c r="A204" s="11"/>
      <c r="C204" s="66" t="s">
        <v>398</v>
      </c>
      <c r="D204" s="48"/>
      <c r="E204" s="225"/>
      <c r="F204" s="67">
        <v>3.0</v>
      </c>
      <c r="G204" s="68">
        <v>2.0</v>
      </c>
      <c r="H204" s="69">
        <v>3.0</v>
      </c>
      <c r="I204" s="384"/>
      <c r="J204" s="434">
        <v>4.0</v>
      </c>
      <c r="K204" s="55">
        <v>4.0</v>
      </c>
      <c r="L204" s="55">
        <v>3.0</v>
      </c>
      <c r="M204" s="55">
        <v>2.0</v>
      </c>
      <c r="N204" s="435">
        <v>4.0</v>
      </c>
      <c r="O204" s="55">
        <v>3.0</v>
      </c>
      <c r="P204" s="156"/>
      <c r="Q204" s="62">
        <v>3.0</v>
      </c>
      <c r="R204" s="377">
        <v>2.85</v>
      </c>
      <c r="S204" s="17"/>
    </row>
    <row r="205" ht="15.75" customHeight="1">
      <c r="A205" s="11"/>
      <c r="C205" s="66" t="s">
        <v>399</v>
      </c>
      <c r="D205" s="48"/>
      <c r="E205" s="225" t="s">
        <v>176</v>
      </c>
      <c r="F205" s="261" t="s">
        <v>68</v>
      </c>
      <c r="G205" s="262" t="s">
        <v>68</v>
      </c>
      <c r="H205" s="69">
        <v>8.0</v>
      </c>
      <c r="I205" s="384"/>
      <c r="J205" s="434">
        <v>1.0</v>
      </c>
      <c r="K205" s="55">
        <v>1.0</v>
      </c>
      <c r="L205" s="449">
        <v>1.0</v>
      </c>
      <c r="M205" s="55">
        <v>1.0</v>
      </c>
      <c r="N205" s="436">
        <v>1.0</v>
      </c>
      <c r="O205" s="55">
        <v>1.0</v>
      </c>
      <c r="P205" s="156"/>
      <c r="Q205" s="62">
        <v>2.0</v>
      </c>
      <c r="R205" s="377">
        <v>1.65</v>
      </c>
      <c r="S205" s="17"/>
    </row>
    <row r="206" ht="15.75" customHeight="1">
      <c r="A206" s="11"/>
      <c r="B206" s="180"/>
      <c r="C206" s="107" t="s">
        <v>400</v>
      </c>
      <c r="D206" s="108"/>
      <c r="E206" s="226" t="s">
        <v>116</v>
      </c>
      <c r="F206" s="250">
        <v>1.0</v>
      </c>
      <c r="G206" s="251">
        <v>3.0</v>
      </c>
      <c r="H206" s="205">
        <v>2.0</v>
      </c>
      <c r="I206" s="384"/>
      <c r="J206" s="434">
        <v>1.0</v>
      </c>
      <c r="K206" s="55">
        <v>2.0</v>
      </c>
      <c r="L206" s="446">
        <v>4.0</v>
      </c>
      <c r="M206" s="55">
        <v>3.0</v>
      </c>
      <c r="N206" s="437">
        <v>2.0</v>
      </c>
      <c r="O206" s="55">
        <v>2.0</v>
      </c>
      <c r="P206" s="156"/>
      <c r="Q206" s="62">
        <v>2.0</v>
      </c>
      <c r="R206" s="377">
        <v>3.01</v>
      </c>
      <c r="S206" s="17"/>
    </row>
    <row r="207" ht="15.75" customHeight="1">
      <c r="A207" s="11"/>
      <c r="C207" s="101" t="s">
        <v>401</v>
      </c>
      <c r="D207" s="16"/>
      <c r="E207" s="225"/>
      <c r="F207" s="231">
        <v>3.0</v>
      </c>
      <c r="G207" s="232">
        <v>5.0</v>
      </c>
      <c r="H207" s="208">
        <v>4.0</v>
      </c>
      <c r="I207" s="384"/>
      <c r="J207" s="434">
        <v>1.0</v>
      </c>
      <c r="K207" s="55">
        <v>1.0</v>
      </c>
      <c r="L207" s="448">
        <v>3.0</v>
      </c>
      <c r="M207" s="442">
        <v>3.0</v>
      </c>
      <c r="N207" s="436">
        <v>1.0</v>
      </c>
      <c r="O207" s="55">
        <v>1.0</v>
      </c>
      <c r="P207" s="156"/>
      <c r="Q207" s="62">
        <v>1.0</v>
      </c>
      <c r="R207" s="377">
        <v>2.37</v>
      </c>
      <c r="S207" s="17"/>
    </row>
    <row r="208" ht="15.75" customHeight="1">
      <c r="A208" s="11"/>
      <c r="B208" s="187"/>
      <c r="C208" s="107" t="s">
        <v>402</v>
      </c>
      <c r="D208" s="108"/>
      <c r="E208" s="226" t="s">
        <v>116</v>
      </c>
      <c r="F208" s="250">
        <v>3.0</v>
      </c>
      <c r="G208" s="251">
        <v>5.0</v>
      </c>
      <c r="H208" s="205">
        <v>5.0</v>
      </c>
      <c r="I208" s="384"/>
      <c r="J208" s="434">
        <v>4.0</v>
      </c>
      <c r="K208" s="55">
        <v>4.0</v>
      </c>
      <c r="L208" s="448">
        <v>3.0</v>
      </c>
      <c r="M208" s="55">
        <v>4.0</v>
      </c>
      <c r="N208" s="435">
        <v>4.0</v>
      </c>
      <c r="O208" s="55">
        <v>3.0</v>
      </c>
      <c r="P208" s="156"/>
      <c r="Q208" s="62">
        <v>4.0</v>
      </c>
      <c r="R208" s="377">
        <v>3.61</v>
      </c>
      <c r="S208" s="17"/>
    </row>
    <row r="209" ht="15.75" customHeight="1">
      <c r="A209" s="11"/>
      <c r="C209" s="101" t="s">
        <v>403</v>
      </c>
      <c r="D209" s="16"/>
      <c r="E209" s="230"/>
      <c r="F209" s="231">
        <v>5.0</v>
      </c>
      <c r="G209" s="232">
        <v>7.0</v>
      </c>
      <c r="H209" s="208">
        <v>9.0</v>
      </c>
      <c r="I209" s="384"/>
      <c r="J209" s="441">
        <v>1.0</v>
      </c>
      <c r="K209" s="442">
        <v>1.0</v>
      </c>
      <c r="L209" s="455">
        <v>4.0</v>
      </c>
      <c r="M209" s="442">
        <v>4.0</v>
      </c>
      <c r="N209" s="386">
        <v>1.0</v>
      </c>
      <c r="O209" s="442">
        <v>1.0</v>
      </c>
      <c r="P209" s="192"/>
      <c r="Q209" s="444">
        <v>1.0</v>
      </c>
      <c r="R209" s="377">
        <v>3.0</v>
      </c>
      <c r="S209" s="17"/>
    </row>
    <row r="210" ht="15.75" customHeight="1">
      <c r="A210" s="11"/>
      <c r="B210" s="121"/>
      <c r="C210" s="195" t="s">
        <v>182</v>
      </c>
      <c r="D210" s="196"/>
      <c r="E210" s="124"/>
      <c r="F210" s="125"/>
      <c r="G210" s="125"/>
      <c r="H210" s="125"/>
      <c r="I210" s="127"/>
      <c r="J210" s="127"/>
      <c r="K210" s="128"/>
      <c r="L210" s="129"/>
      <c r="M210" s="128"/>
      <c r="N210" s="130"/>
      <c r="O210" s="128"/>
      <c r="P210" s="130"/>
      <c r="Q210" s="445"/>
      <c r="R210" s="392"/>
      <c r="S210" s="17"/>
    </row>
    <row r="211" ht="15.75" customHeight="1">
      <c r="A211" s="11"/>
      <c r="B211" s="135"/>
      <c r="C211" s="136"/>
      <c r="D211" s="137"/>
      <c r="E211" s="138"/>
      <c r="F211" s="85"/>
      <c r="G211" s="85"/>
      <c r="H211" s="86"/>
      <c r="I211" s="384"/>
      <c r="J211" s="87" t="s">
        <v>1</v>
      </c>
      <c r="K211" s="88" t="s">
        <v>2</v>
      </c>
      <c r="L211" s="139" t="s">
        <v>3</v>
      </c>
      <c r="M211" s="88" t="s">
        <v>208</v>
      </c>
      <c r="N211" s="91" t="s">
        <v>13</v>
      </c>
      <c r="O211" s="140" t="s">
        <v>4</v>
      </c>
      <c r="P211" s="88" t="s">
        <v>210</v>
      </c>
      <c r="Q211" s="93" t="s">
        <v>15</v>
      </c>
      <c r="R211" s="373" t="s">
        <v>9</v>
      </c>
      <c r="S211" s="17"/>
    </row>
    <row r="212" ht="15.75" customHeight="1">
      <c r="A212" s="11"/>
      <c r="B212" s="46"/>
      <c r="C212" s="66" t="s">
        <v>404</v>
      </c>
      <c r="D212" s="48"/>
      <c r="E212" s="209" t="s">
        <v>71</v>
      </c>
      <c r="F212" s="216" t="s">
        <v>68</v>
      </c>
      <c r="G212" s="217" t="s">
        <v>68</v>
      </c>
      <c r="H212" s="69">
        <v>1.0</v>
      </c>
      <c r="I212" s="384"/>
      <c r="J212" s="457">
        <v>2.0</v>
      </c>
      <c r="K212" s="56">
        <v>1.0</v>
      </c>
      <c r="L212" s="450">
        <v>2.0</v>
      </c>
      <c r="M212" s="56">
        <v>1.0</v>
      </c>
      <c r="N212" s="467">
        <v>2.0</v>
      </c>
      <c r="O212" s="56">
        <v>1.0</v>
      </c>
      <c r="P212" s="146"/>
      <c r="Q212" s="458">
        <v>1.0</v>
      </c>
      <c r="R212" s="377">
        <v>2.24</v>
      </c>
      <c r="S212" s="17"/>
    </row>
    <row r="213" ht="15.75" customHeight="1">
      <c r="A213" s="11"/>
      <c r="C213" s="66" t="s">
        <v>405</v>
      </c>
      <c r="D213" s="48"/>
      <c r="E213" s="199" t="s">
        <v>406</v>
      </c>
      <c r="F213" s="261" t="s">
        <v>68</v>
      </c>
      <c r="G213" s="262" t="s">
        <v>68</v>
      </c>
      <c r="H213" s="69">
        <v>3.0</v>
      </c>
      <c r="I213" s="384"/>
      <c r="J213" s="434">
        <v>4.0</v>
      </c>
      <c r="K213" s="55">
        <v>4.0</v>
      </c>
      <c r="L213" s="471">
        <v>2.0</v>
      </c>
      <c r="M213" s="55">
        <v>2.0</v>
      </c>
      <c r="N213" s="435">
        <v>4.0</v>
      </c>
      <c r="O213" s="55">
        <v>4.0</v>
      </c>
      <c r="P213" s="156"/>
      <c r="Q213" s="62">
        <v>4.0</v>
      </c>
      <c r="R213" s="377">
        <v>2.87</v>
      </c>
      <c r="S213" s="17"/>
    </row>
    <row r="214" ht="15.75" customHeight="1">
      <c r="A214" s="11"/>
      <c r="C214" s="101" t="s">
        <v>407</v>
      </c>
      <c r="D214" s="16"/>
      <c r="E214" s="230" t="s">
        <v>43</v>
      </c>
      <c r="F214" s="231">
        <v>4.0</v>
      </c>
      <c r="G214" s="232">
        <v>4.0</v>
      </c>
      <c r="H214" s="208">
        <v>4.0</v>
      </c>
      <c r="I214" s="384"/>
      <c r="J214" s="434">
        <v>1.0</v>
      </c>
      <c r="K214" s="55">
        <v>1.0</v>
      </c>
      <c r="L214" s="450">
        <v>2.0</v>
      </c>
      <c r="M214" s="55">
        <v>1.0</v>
      </c>
      <c r="N214" s="436">
        <v>1.0</v>
      </c>
      <c r="O214" s="55">
        <v>1.0</v>
      </c>
      <c r="P214" s="156"/>
      <c r="Q214" s="62">
        <v>3.0</v>
      </c>
      <c r="R214" s="377">
        <v>2.35</v>
      </c>
      <c r="S214" s="17"/>
    </row>
    <row r="215" ht="15.75" customHeight="1">
      <c r="A215" s="11"/>
      <c r="B215" s="166"/>
      <c r="C215" s="266" t="s">
        <v>408</v>
      </c>
      <c r="D215" s="234"/>
      <c r="E215" s="421"/>
      <c r="F215" s="268">
        <v>2.0</v>
      </c>
      <c r="G215" s="269">
        <v>1.0</v>
      </c>
      <c r="H215" s="236">
        <v>1.0</v>
      </c>
      <c r="I215" s="451"/>
      <c r="J215" s="434">
        <v>4.0</v>
      </c>
      <c r="K215" s="55">
        <v>4.0</v>
      </c>
      <c r="L215" s="471">
        <v>2.0</v>
      </c>
      <c r="M215" s="55">
        <v>2.0</v>
      </c>
      <c r="N215" s="454">
        <v>5.0</v>
      </c>
      <c r="O215" s="55">
        <v>4.0</v>
      </c>
      <c r="P215" s="156"/>
      <c r="Q215" s="62">
        <v>4.0</v>
      </c>
      <c r="R215" s="377">
        <v>3.38</v>
      </c>
      <c r="S215" s="17"/>
    </row>
    <row r="216" ht="15.75" customHeight="1">
      <c r="A216" s="11"/>
      <c r="C216" s="270" t="s">
        <v>409</v>
      </c>
      <c r="D216" s="271"/>
      <c r="E216" s="272" t="s">
        <v>71</v>
      </c>
      <c r="F216" s="261" t="s">
        <v>68</v>
      </c>
      <c r="G216" s="262" t="s">
        <v>68</v>
      </c>
      <c r="H216" s="273">
        <v>1.0</v>
      </c>
      <c r="I216" s="451"/>
      <c r="J216" s="434">
        <v>2.0</v>
      </c>
      <c r="K216" s="55">
        <v>1.0</v>
      </c>
      <c r="L216" s="448">
        <v>3.0</v>
      </c>
      <c r="M216" s="55">
        <v>1.0</v>
      </c>
      <c r="N216" s="438">
        <v>3.0</v>
      </c>
      <c r="O216" s="55">
        <v>3.0</v>
      </c>
      <c r="P216" s="156"/>
      <c r="Q216" s="62">
        <v>3.0</v>
      </c>
      <c r="R216" s="377">
        <v>3.27</v>
      </c>
      <c r="S216" s="17"/>
    </row>
    <row r="217" ht="15.75" customHeight="1">
      <c r="A217" s="11"/>
      <c r="C217" s="274" t="s">
        <v>410</v>
      </c>
      <c r="D217" s="275"/>
      <c r="E217" s="199" t="s">
        <v>406</v>
      </c>
      <c r="F217" s="261" t="s">
        <v>68</v>
      </c>
      <c r="G217" s="262" t="s">
        <v>68</v>
      </c>
      <c r="H217" s="276">
        <v>2.0</v>
      </c>
      <c r="I217" s="384"/>
      <c r="J217" s="434">
        <v>1.0</v>
      </c>
      <c r="K217" s="55">
        <v>3.0</v>
      </c>
      <c r="L217" s="449">
        <v>1.0</v>
      </c>
      <c r="M217" s="55">
        <v>2.0</v>
      </c>
      <c r="N217" s="438">
        <v>3.0</v>
      </c>
      <c r="O217" s="55">
        <v>1.0</v>
      </c>
      <c r="P217" s="156"/>
      <c r="Q217" s="62">
        <v>1.0</v>
      </c>
      <c r="R217" s="377">
        <v>2.61</v>
      </c>
      <c r="S217" s="17"/>
    </row>
    <row r="218" ht="15.75" customHeight="1">
      <c r="A218" s="11"/>
      <c r="B218" s="180"/>
      <c r="C218" s="107" t="s">
        <v>411</v>
      </c>
      <c r="D218" s="108"/>
      <c r="E218" s="226" t="s">
        <v>43</v>
      </c>
      <c r="F218" s="250">
        <v>3.0</v>
      </c>
      <c r="G218" s="251">
        <v>5.0</v>
      </c>
      <c r="H218" s="205">
        <v>4.0</v>
      </c>
      <c r="I218" s="384"/>
      <c r="J218" s="434">
        <v>1.0</v>
      </c>
      <c r="K218" s="55">
        <v>1.0</v>
      </c>
      <c r="L218" s="448">
        <v>3.0</v>
      </c>
      <c r="M218" s="55">
        <v>1.0</v>
      </c>
      <c r="N218" s="437">
        <v>2.0</v>
      </c>
      <c r="O218" s="55">
        <v>1.0</v>
      </c>
      <c r="P218" s="156"/>
      <c r="Q218" s="62">
        <v>3.0</v>
      </c>
      <c r="R218" s="377">
        <v>2.91</v>
      </c>
      <c r="S218" s="17"/>
    </row>
    <row r="219" ht="15.75" customHeight="1">
      <c r="A219" s="11"/>
      <c r="C219" s="101" t="s">
        <v>412</v>
      </c>
      <c r="D219" s="16"/>
      <c r="E219" s="230"/>
      <c r="F219" s="231">
        <v>5.0</v>
      </c>
      <c r="G219" s="232">
        <v>5.0</v>
      </c>
      <c r="H219" s="208">
        <v>6.0</v>
      </c>
      <c r="I219" s="384"/>
      <c r="J219" s="434">
        <v>1.0</v>
      </c>
      <c r="K219" s="55">
        <v>2.0</v>
      </c>
      <c r="L219" s="448">
        <v>3.0</v>
      </c>
      <c r="M219" s="55">
        <v>2.0</v>
      </c>
      <c r="N219" s="436">
        <v>1.0</v>
      </c>
      <c r="O219" s="55">
        <v>1.0</v>
      </c>
      <c r="P219" s="156"/>
      <c r="Q219" s="62">
        <v>3.0</v>
      </c>
      <c r="R219" s="377">
        <v>2.65</v>
      </c>
      <c r="S219" s="17"/>
    </row>
    <row r="220" ht="15.75" customHeight="1">
      <c r="A220" s="11"/>
      <c r="B220" s="187"/>
      <c r="C220" s="107" t="s">
        <v>413</v>
      </c>
      <c r="D220" s="108"/>
      <c r="E220" s="226"/>
      <c r="F220" s="250">
        <v>3.0</v>
      </c>
      <c r="G220" s="251">
        <v>2.0</v>
      </c>
      <c r="H220" s="205">
        <v>2.0</v>
      </c>
      <c r="I220" s="384"/>
      <c r="J220" s="434">
        <v>4.0</v>
      </c>
      <c r="K220" s="55">
        <v>4.0</v>
      </c>
      <c r="L220" s="448">
        <v>3.0</v>
      </c>
      <c r="M220" s="55">
        <v>1.0</v>
      </c>
      <c r="N220" s="435">
        <v>4.0</v>
      </c>
      <c r="O220" s="55">
        <v>4.0</v>
      </c>
      <c r="P220" s="156"/>
      <c r="Q220" s="62">
        <v>2.0</v>
      </c>
      <c r="R220" s="377">
        <v>3.11</v>
      </c>
      <c r="S220" s="17"/>
    </row>
    <row r="221" ht="15.75" customHeight="1">
      <c r="A221" s="11"/>
      <c r="C221" s="101" t="s">
        <v>414</v>
      </c>
      <c r="D221" s="16"/>
      <c r="E221" s="230" t="s">
        <v>43</v>
      </c>
      <c r="F221" s="231">
        <v>8.0</v>
      </c>
      <c r="G221" s="232">
        <v>8.0</v>
      </c>
      <c r="H221" s="208">
        <v>7.0</v>
      </c>
      <c r="I221" s="384"/>
      <c r="J221" s="441">
        <v>4.0</v>
      </c>
      <c r="K221" s="442">
        <v>3.0</v>
      </c>
      <c r="L221" s="455">
        <v>4.0</v>
      </c>
      <c r="M221" s="442">
        <v>3.0</v>
      </c>
      <c r="N221" s="472">
        <v>4.0</v>
      </c>
      <c r="O221" s="442">
        <v>2.0</v>
      </c>
      <c r="P221" s="192"/>
      <c r="Q221" s="444">
        <v>4.0</v>
      </c>
      <c r="R221" s="377">
        <v>3.88</v>
      </c>
      <c r="S221" s="17"/>
    </row>
    <row r="222" ht="15.75" customHeight="1">
      <c r="A222" s="11"/>
      <c r="B222" s="277"/>
      <c r="C222" s="195" t="s">
        <v>193</v>
      </c>
      <c r="D222" s="196"/>
      <c r="E222" s="124"/>
      <c r="F222" s="125"/>
      <c r="G222" s="125"/>
      <c r="H222" s="125"/>
      <c r="I222" s="127"/>
      <c r="J222" s="127"/>
      <c r="K222" s="128"/>
      <c r="L222" s="129"/>
      <c r="M222" s="128"/>
      <c r="N222" s="130"/>
      <c r="O222" s="131"/>
      <c r="P222" s="130"/>
      <c r="Q222" s="445"/>
      <c r="R222" s="392"/>
      <c r="S222" s="17"/>
    </row>
    <row r="223" ht="15.75" customHeight="1">
      <c r="A223" s="11"/>
      <c r="B223" s="278"/>
      <c r="C223" s="279"/>
      <c r="D223" s="137"/>
      <c r="E223" s="138"/>
      <c r="F223" s="85"/>
      <c r="G223" s="85"/>
      <c r="H223" s="86"/>
      <c r="I223" s="384"/>
      <c r="J223" s="87" t="s">
        <v>1</v>
      </c>
      <c r="K223" s="88" t="s">
        <v>2</v>
      </c>
      <c r="L223" s="139" t="s">
        <v>3</v>
      </c>
      <c r="M223" s="88" t="s">
        <v>208</v>
      </c>
      <c r="N223" s="91" t="s">
        <v>13</v>
      </c>
      <c r="O223" s="140" t="s">
        <v>4</v>
      </c>
      <c r="P223" s="88" t="s">
        <v>210</v>
      </c>
      <c r="Q223" s="93" t="s">
        <v>15</v>
      </c>
      <c r="R223" s="373" t="s">
        <v>9</v>
      </c>
      <c r="S223" s="17"/>
    </row>
    <row r="224" ht="15.75" customHeight="1">
      <c r="A224" s="11"/>
      <c r="B224" s="280"/>
      <c r="C224" s="66" t="s">
        <v>415</v>
      </c>
      <c r="D224" s="48"/>
      <c r="E224" s="225"/>
      <c r="F224" s="67">
        <v>2.0</v>
      </c>
      <c r="G224" s="68">
        <v>1.0</v>
      </c>
      <c r="H224" s="69">
        <v>1.0</v>
      </c>
      <c r="I224" s="384"/>
      <c r="J224" s="457">
        <v>1.0</v>
      </c>
      <c r="K224" s="56">
        <v>1.0</v>
      </c>
      <c r="L224" s="370">
        <v>3.0</v>
      </c>
      <c r="M224" s="56">
        <v>1.0</v>
      </c>
      <c r="N224" s="473">
        <v>1.0</v>
      </c>
      <c r="O224" s="56">
        <v>1.0</v>
      </c>
      <c r="P224" s="146"/>
      <c r="Q224" s="458">
        <v>3.0</v>
      </c>
      <c r="R224" s="377">
        <v>2.57</v>
      </c>
      <c r="S224" s="17"/>
    </row>
    <row r="225" ht="15.75" customHeight="1">
      <c r="A225" s="11"/>
      <c r="C225" s="66" t="s">
        <v>416</v>
      </c>
      <c r="D225" s="48"/>
      <c r="E225" s="281" t="s">
        <v>71</v>
      </c>
      <c r="F225" s="216" t="s">
        <v>68</v>
      </c>
      <c r="G225" s="217" t="s">
        <v>68</v>
      </c>
      <c r="H225" s="69">
        <v>2.0</v>
      </c>
      <c r="I225" s="384"/>
      <c r="J225" s="434">
        <v>2.0</v>
      </c>
      <c r="K225" s="55">
        <v>2.0</v>
      </c>
      <c r="L225" s="361">
        <v>2.0</v>
      </c>
      <c r="M225" s="55">
        <v>2.0</v>
      </c>
      <c r="N225" s="437">
        <v>2.0</v>
      </c>
      <c r="O225" s="55">
        <v>1.0</v>
      </c>
      <c r="P225" s="156"/>
      <c r="Q225" s="62">
        <v>3.0</v>
      </c>
      <c r="R225" s="377">
        <v>2.51</v>
      </c>
      <c r="S225" s="17"/>
    </row>
    <row r="226" ht="15.75" customHeight="1">
      <c r="A226" s="11"/>
      <c r="C226" s="101" t="s">
        <v>417</v>
      </c>
      <c r="D226" s="16"/>
      <c r="E226" s="282" t="s">
        <v>71</v>
      </c>
      <c r="F226" s="211" t="s">
        <v>68</v>
      </c>
      <c r="G226" s="212" t="s">
        <v>68</v>
      </c>
      <c r="H226" s="208">
        <v>4.0</v>
      </c>
      <c r="I226" s="384"/>
      <c r="J226" s="434">
        <v>2.0</v>
      </c>
      <c r="K226" s="55">
        <v>1.0</v>
      </c>
      <c r="L226" s="370">
        <v>3.0</v>
      </c>
      <c r="M226" s="55">
        <v>2.0</v>
      </c>
      <c r="N226" s="436">
        <v>1.0</v>
      </c>
      <c r="O226" s="55">
        <v>1.0</v>
      </c>
      <c r="P226" s="156"/>
      <c r="Q226" s="62">
        <v>4.0</v>
      </c>
      <c r="R226" s="377">
        <v>2.34</v>
      </c>
      <c r="S226" s="17"/>
    </row>
    <row r="227" ht="15.75" customHeight="1">
      <c r="A227" s="11"/>
      <c r="B227" s="283"/>
      <c r="C227" s="107" t="s">
        <v>418</v>
      </c>
      <c r="D227" s="108"/>
      <c r="E227" s="168" t="s">
        <v>101</v>
      </c>
      <c r="F227" s="169" t="s">
        <v>68</v>
      </c>
      <c r="G227" s="170" t="s">
        <v>68</v>
      </c>
      <c r="H227" s="205">
        <v>1.0</v>
      </c>
      <c r="I227" s="384"/>
      <c r="J227" s="434">
        <v>3.0</v>
      </c>
      <c r="K227" s="55">
        <v>2.0</v>
      </c>
      <c r="L227" s="361">
        <v>2.0</v>
      </c>
      <c r="M227" s="55">
        <v>4.0</v>
      </c>
      <c r="N227" s="438">
        <v>3.0</v>
      </c>
      <c r="O227" s="55">
        <v>3.0</v>
      </c>
      <c r="P227" s="156"/>
      <c r="Q227" s="62">
        <v>1.0</v>
      </c>
      <c r="R227" s="377">
        <v>2.96</v>
      </c>
      <c r="S227" s="17"/>
    </row>
    <row r="228" ht="15.75" customHeight="1">
      <c r="A228" s="11"/>
      <c r="C228" s="66" t="s">
        <v>419</v>
      </c>
      <c r="D228" s="48"/>
      <c r="E228" s="281" t="s">
        <v>101</v>
      </c>
      <c r="F228" s="216" t="s">
        <v>68</v>
      </c>
      <c r="G228" s="217" t="s">
        <v>68</v>
      </c>
      <c r="H228" s="69">
        <v>5.0</v>
      </c>
      <c r="I228" s="384"/>
      <c r="J228" s="434">
        <v>2.0</v>
      </c>
      <c r="K228" s="55">
        <v>1.0</v>
      </c>
      <c r="L228" s="370">
        <v>3.0</v>
      </c>
      <c r="M228" s="55">
        <v>2.0</v>
      </c>
      <c r="N228" s="437">
        <v>2.0</v>
      </c>
      <c r="O228" s="55">
        <v>1.0</v>
      </c>
      <c r="P228" s="156"/>
      <c r="Q228" s="62">
        <v>4.0</v>
      </c>
      <c r="R228" s="377">
        <v>2.2</v>
      </c>
      <c r="S228" s="17"/>
    </row>
    <row r="229" ht="15.75" customHeight="1">
      <c r="A229" s="11"/>
      <c r="C229" s="101" t="s">
        <v>420</v>
      </c>
      <c r="D229" s="16"/>
      <c r="E229" s="230" t="s">
        <v>97</v>
      </c>
      <c r="F229" s="231">
        <v>5.0</v>
      </c>
      <c r="G229" s="232">
        <v>5.0</v>
      </c>
      <c r="H229" s="208">
        <v>7.0</v>
      </c>
      <c r="I229" s="384"/>
      <c r="J229" s="434">
        <v>1.0</v>
      </c>
      <c r="K229" s="55">
        <v>1.0</v>
      </c>
      <c r="L229" s="361">
        <v>2.0</v>
      </c>
      <c r="M229" s="55">
        <v>1.0</v>
      </c>
      <c r="N229" s="436">
        <v>1.0</v>
      </c>
      <c r="O229" s="55">
        <v>1.0</v>
      </c>
      <c r="P229" s="156"/>
      <c r="Q229" s="62">
        <v>2.0</v>
      </c>
      <c r="R229" s="377">
        <v>2.49</v>
      </c>
      <c r="S229" s="17"/>
    </row>
    <row r="230" ht="15.75" customHeight="1">
      <c r="A230" s="11"/>
      <c r="B230" s="180"/>
      <c r="C230" s="107" t="s">
        <v>421</v>
      </c>
      <c r="D230" s="108"/>
      <c r="E230" s="226"/>
      <c r="F230" s="250">
        <v>2.0</v>
      </c>
      <c r="G230" s="251">
        <v>3.0</v>
      </c>
      <c r="H230" s="205">
        <v>2.0</v>
      </c>
      <c r="I230" s="384"/>
      <c r="J230" s="434">
        <v>1.0</v>
      </c>
      <c r="K230" s="55">
        <v>1.0</v>
      </c>
      <c r="L230" s="370">
        <v>3.0</v>
      </c>
      <c r="M230" s="55">
        <v>1.0</v>
      </c>
      <c r="N230" s="436">
        <v>1.0</v>
      </c>
      <c r="O230" s="55">
        <v>1.0</v>
      </c>
      <c r="P230" s="156"/>
      <c r="Q230" s="62">
        <v>1.0</v>
      </c>
      <c r="R230" s="377">
        <v>2.34</v>
      </c>
      <c r="S230" s="17"/>
    </row>
    <row r="231" ht="15.75" customHeight="1">
      <c r="A231" s="11"/>
      <c r="C231" s="101" t="s">
        <v>422</v>
      </c>
      <c r="D231" s="16"/>
      <c r="E231" s="230" t="s">
        <v>97</v>
      </c>
      <c r="F231" s="231">
        <v>9.0</v>
      </c>
      <c r="G231" s="232">
        <v>9.0</v>
      </c>
      <c r="H231" s="208">
        <v>9.0</v>
      </c>
      <c r="I231" s="384"/>
      <c r="J231" s="434">
        <v>1.0</v>
      </c>
      <c r="K231" s="55">
        <v>1.0</v>
      </c>
      <c r="L231" s="366">
        <v>1.0</v>
      </c>
      <c r="M231" s="55">
        <v>1.0</v>
      </c>
      <c r="N231" s="436">
        <v>1.0</v>
      </c>
      <c r="O231" s="55">
        <v>1.0</v>
      </c>
      <c r="P231" s="156"/>
      <c r="Q231" s="62">
        <v>2.0</v>
      </c>
      <c r="R231" s="377">
        <v>2.07</v>
      </c>
      <c r="S231" s="17"/>
    </row>
    <row r="232" ht="15.75" customHeight="1">
      <c r="A232" s="286"/>
      <c r="B232" s="187"/>
      <c r="C232" s="107" t="s">
        <v>423</v>
      </c>
      <c r="D232" s="108"/>
      <c r="E232" s="223" t="s">
        <v>77</v>
      </c>
      <c r="F232" s="250">
        <v>4.0</v>
      </c>
      <c r="G232" s="251">
        <v>2.0</v>
      </c>
      <c r="H232" s="205">
        <v>4.0</v>
      </c>
      <c r="I232" s="384"/>
      <c r="J232" s="434">
        <v>3.0</v>
      </c>
      <c r="K232" s="55">
        <v>2.0</v>
      </c>
      <c r="L232" s="364">
        <v>4.0</v>
      </c>
      <c r="M232" s="55">
        <v>2.0</v>
      </c>
      <c r="N232" s="437">
        <v>2.0</v>
      </c>
      <c r="O232" s="55">
        <v>1.0</v>
      </c>
      <c r="P232" s="156"/>
      <c r="Q232" s="62">
        <v>5.0</v>
      </c>
      <c r="R232" s="377">
        <v>3.59</v>
      </c>
      <c r="S232" s="287"/>
    </row>
    <row r="233" ht="15.75" customHeight="1">
      <c r="A233" s="288"/>
      <c r="B233" s="22"/>
      <c r="C233" s="117" t="s">
        <v>424</v>
      </c>
      <c r="D233" s="23"/>
      <c r="E233" s="427"/>
      <c r="F233" s="201">
        <v>3.0</v>
      </c>
      <c r="G233" s="202">
        <v>3.0</v>
      </c>
      <c r="H233" s="203">
        <v>4.0</v>
      </c>
      <c r="I233" s="384"/>
      <c r="J233" s="474">
        <v>1.0</v>
      </c>
      <c r="K233" s="75">
        <v>1.0</v>
      </c>
      <c r="L233" s="462">
        <v>4.0</v>
      </c>
      <c r="M233" s="75">
        <v>2.0</v>
      </c>
      <c r="N233" s="468">
        <v>3.0</v>
      </c>
      <c r="O233" s="75">
        <v>1.0</v>
      </c>
      <c r="P233" s="192"/>
      <c r="Q233" s="387">
        <v>2.0</v>
      </c>
      <c r="R233" s="377">
        <v>3.07</v>
      </c>
      <c r="S233" s="288"/>
    </row>
    <row r="234" ht="15.75" customHeight="1">
      <c r="A234" s="288"/>
      <c r="B234" s="290"/>
      <c r="C234" s="291"/>
      <c r="D234" s="292"/>
      <c r="E234" s="293"/>
      <c r="F234" s="291"/>
      <c r="G234" s="291"/>
      <c r="H234" s="291"/>
      <c r="I234" s="291"/>
      <c r="J234" s="295"/>
      <c r="K234" s="295"/>
      <c r="L234" s="295"/>
      <c r="M234" s="295"/>
      <c r="N234" s="295"/>
      <c r="O234" s="295"/>
      <c r="P234" s="295"/>
      <c r="Q234" s="296"/>
      <c r="R234" s="475"/>
      <c r="S234" s="288"/>
    </row>
    <row r="235" ht="15.75" customHeight="1">
      <c r="A235" s="288"/>
      <c r="B235" s="300"/>
      <c r="C235" s="301"/>
      <c r="D235" s="302"/>
      <c r="E235" s="303"/>
      <c r="G235" s="17"/>
      <c r="H235" s="304"/>
      <c r="I235" s="476"/>
      <c r="J235" s="87" t="s">
        <v>1</v>
      </c>
      <c r="K235" s="88" t="s">
        <v>2</v>
      </c>
      <c r="L235" s="88" t="s">
        <v>3</v>
      </c>
      <c r="M235" s="88" t="s">
        <v>208</v>
      </c>
      <c r="N235" s="91" t="s">
        <v>13</v>
      </c>
      <c r="O235" s="88" t="s">
        <v>4</v>
      </c>
      <c r="P235" s="88" t="s">
        <v>210</v>
      </c>
      <c r="Q235" s="88" t="s">
        <v>15</v>
      </c>
      <c r="R235" s="88" t="s">
        <v>9</v>
      </c>
      <c r="S235" s="288"/>
    </row>
    <row r="236" ht="15.75" customHeight="1">
      <c r="A236" s="288"/>
      <c r="B236" s="307"/>
      <c r="C236" s="307"/>
      <c r="D236" s="308"/>
      <c r="G236" s="17"/>
      <c r="H236" s="309"/>
      <c r="I236" s="316" t="s">
        <v>204</v>
      </c>
      <c r="J236" s="311">
        <f t="shared" ref="J236:L236" si="1">IFERROR(AVERAGE(J6:J24,J26:J40,J116:J125,J128:J137,J140:J149,J152:J161,J164:J173,J176:J185,J188:J197,J200:J209,J212:J221,J224:J233),"")</f>
        <v>2.223880597</v>
      </c>
      <c r="K236" s="311">
        <f t="shared" si="1"/>
        <v>2.156716418</v>
      </c>
      <c r="L236" s="311">
        <f t="shared" si="1"/>
        <v>2.268656716</v>
      </c>
      <c r="M236" s="311">
        <f>IFERROR(AVERAGE(M6:M24,M26:M40,M116:M124,M128:M137,M140:M149,M152:M161,M164:M173,M176:M185,M188:M197,M200:M209,M212:M221,M224:M233),"")</f>
        <v>2.075757576</v>
      </c>
      <c r="N236" s="311">
        <f t="shared" ref="N236:R236" si="2">IFERROR(AVERAGE(N6:N24,N26:N40,N116:N125,N128:N137,N140:N149,N152:N161,N164:N173,N176:N185,N188:N197,N200:N209,N212:N221,N224:N233),"")</f>
        <v>2.318181818</v>
      </c>
      <c r="O236" s="311">
        <f t="shared" si="2"/>
        <v>2.029850746</v>
      </c>
      <c r="P236" s="311" t="str">
        <f t="shared" si="2"/>
        <v/>
      </c>
      <c r="Q236" s="311">
        <f t="shared" si="2"/>
        <v>2.343283582</v>
      </c>
      <c r="R236" s="311">
        <f t="shared" si="2"/>
        <v>2.62641791</v>
      </c>
      <c r="S236" s="288"/>
    </row>
    <row r="237" ht="33.75" customHeight="1">
      <c r="A237" s="288"/>
      <c r="B237" s="313"/>
      <c r="C237" s="313"/>
      <c r="D237" s="308"/>
      <c r="G237" s="17"/>
      <c r="H237" s="314"/>
      <c r="I237" s="477" t="s">
        <v>205</v>
      </c>
      <c r="J237" s="311">
        <f t="shared" ref="J237:R237" si="3">IFERROR(STDEV(J6:J24,J26:J40,J116:J125,J128:J137,J140:J149,J152:J161,J164:J173,J176:J185,J188:J197,J200:J209,J212:J221,J224:J233),"")</f>
        <v>1.167490665</v>
      </c>
      <c r="K237" s="311">
        <f t="shared" si="3"/>
        <v>1.039479899</v>
      </c>
      <c r="L237" s="311">
        <f t="shared" si="3"/>
        <v>1.131664415</v>
      </c>
      <c r="M237" s="311">
        <f t="shared" si="3"/>
        <v>1.137905083</v>
      </c>
      <c r="N237" s="311">
        <f t="shared" si="3"/>
        <v>1.206333046</v>
      </c>
      <c r="O237" s="311">
        <f t="shared" si="3"/>
        <v>1.032846265</v>
      </c>
      <c r="P237" s="311" t="str">
        <f t="shared" si="3"/>
        <v/>
      </c>
      <c r="Q237" s="311">
        <f t="shared" si="3"/>
        <v>1.170466635</v>
      </c>
      <c r="R237" s="311">
        <f t="shared" si="3"/>
        <v>0.5904801194</v>
      </c>
      <c r="S237" s="288"/>
    </row>
    <row r="238" ht="15.75" customHeight="1">
      <c r="A238" s="288"/>
      <c r="B238" s="300"/>
      <c r="C238" s="301"/>
      <c r="D238" s="302"/>
      <c r="G238" s="17"/>
      <c r="H238" s="316" t="s">
        <v>206</v>
      </c>
      <c r="I238" s="318"/>
      <c r="P238" s="318"/>
      <c r="Q238" s="319"/>
      <c r="R238" s="319"/>
      <c r="S238" s="288"/>
    </row>
    <row r="239" ht="15.75" customHeight="1">
      <c r="A239" s="288"/>
      <c r="B239" s="322"/>
      <c r="C239" s="323"/>
      <c r="D239" s="324"/>
      <c r="G239" s="17"/>
      <c r="H239" s="316">
        <v>1.0</v>
      </c>
      <c r="I239" s="475"/>
      <c r="J239" s="316">
        <f t="shared" ref="J239:R239" si="4">COUNTIF(J6:J233,$H$239)</f>
        <v>64</v>
      </c>
      <c r="K239" s="316">
        <f t="shared" si="4"/>
        <v>45</v>
      </c>
      <c r="L239" s="316">
        <f t="shared" si="4"/>
        <v>60</v>
      </c>
      <c r="M239" s="316">
        <f t="shared" si="4"/>
        <v>75</v>
      </c>
      <c r="N239" s="316">
        <f t="shared" si="4"/>
        <v>51</v>
      </c>
      <c r="O239" s="316">
        <f t="shared" si="4"/>
        <v>71</v>
      </c>
      <c r="P239" s="316">
        <f t="shared" si="4"/>
        <v>0</v>
      </c>
      <c r="Q239" s="316">
        <f t="shared" si="4"/>
        <v>45</v>
      </c>
      <c r="R239" s="316">
        <f t="shared" si="4"/>
        <v>0</v>
      </c>
      <c r="S239" s="288"/>
    </row>
    <row r="240" ht="15.75" customHeight="1">
      <c r="A240" s="288"/>
      <c r="B240" s="328"/>
      <c r="C240" s="323"/>
      <c r="D240" s="324"/>
      <c r="G240" s="17"/>
      <c r="H240" s="316">
        <v>2.0</v>
      </c>
      <c r="I240" s="475"/>
      <c r="J240" s="316">
        <f t="shared" ref="J240:M240" si="5">COUNTIF(J6:J233,$H$240)</f>
        <v>42</v>
      </c>
      <c r="K240" s="316">
        <f t="shared" si="5"/>
        <v>68</v>
      </c>
      <c r="L240" s="316">
        <f t="shared" si="5"/>
        <v>56</v>
      </c>
      <c r="M240" s="316">
        <f t="shared" si="5"/>
        <v>44</v>
      </c>
      <c r="N240" s="316">
        <f>COUNTIF(N27:N234,$H$240)</f>
        <v>48</v>
      </c>
      <c r="O240" s="316">
        <f>COUNTIF(O6:O233,$H$240)</f>
        <v>40</v>
      </c>
      <c r="P240" s="316">
        <f t="shared" ref="P240:R240" si="6">COUNTIF(P27:P234,$H$240)</f>
        <v>0</v>
      </c>
      <c r="Q240" s="316">
        <f t="shared" si="6"/>
        <v>48</v>
      </c>
      <c r="R240" s="316">
        <f t="shared" si="6"/>
        <v>0</v>
      </c>
      <c r="S240" s="288"/>
    </row>
    <row r="241" ht="15.75" customHeight="1">
      <c r="A241" s="288"/>
      <c r="B241" s="328"/>
      <c r="C241" s="323"/>
      <c r="D241" s="324"/>
      <c r="G241" s="17"/>
      <c r="H241" s="316">
        <v>3.0</v>
      </c>
      <c r="I241" s="478"/>
      <c r="J241" s="316">
        <f t="shared" ref="J241:M241" si="7">COUNTIF(J6:J233,$H$241)</f>
        <v>45</v>
      </c>
      <c r="K241" s="316">
        <f t="shared" si="7"/>
        <v>44</v>
      </c>
      <c r="L241" s="316">
        <f t="shared" si="7"/>
        <v>53</v>
      </c>
      <c r="M241" s="316">
        <f t="shared" si="7"/>
        <v>51</v>
      </c>
      <c r="N241" s="316">
        <f>COUNTIF(N6:N235,$H$241)</f>
        <v>41</v>
      </c>
      <c r="O241" s="316">
        <f>COUNTIF(O6:O233,$H$241)</f>
        <v>59</v>
      </c>
      <c r="P241" s="316">
        <f t="shared" ref="P241:R241" si="8">COUNTIF(P6:P235,$H$241)</f>
        <v>0</v>
      </c>
      <c r="Q241" s="316">
        <f t="shared" si="8"/>
        <v>52</v>
      </c>
      <c r="R241" s="316">
        <f t="shared" si="8"/>
        <v>2</v>
      </c>
      <c r="S241" s="288"/>
    </row>
    <row r="242" ht="15.75" customHeight="1">
      <c r="A242" s="288"/>
      <c r="B242" s="328"/>
      <c r="C242" s="323"/>
      <c r="D242" s="324"/>
      <c r="G242" s="17"/>
      <c r="H242" s="316">
        <v>4.0</v>
      </c>
      <c r="I242" s="475"/>
      <c r="J242" s="316">
        <f t="shared" ref="J242:M242" si="9">COUNTIF(J6:J233,$H$242)</f>
        <v>45</v>
      </c>
      <c r="K242" s="316">
        <f t="shared" si="9"/>
        <v>43</v>
      </c>
      <c r="L242" s="316">
        <f t="shared" si="9"/>
        <v>32</v>
      </c>
      <c r="M242" s="316">
        <f t="shared" si="9"/>
        <v>30</v>
      </c>
      <c r="N242" s="316">
        <f>COUNTIF(N7:N236,$H$242)</f>
        <v>44</v>
      </c>
      <c r="O242" s="316">
        <f>COUNTIF(O6:O233,$H$242)</f>
        <v>32</v>
      </c>
      <c r="P242" s="316">
        <f t="shared" ref="P242:R242" si="10">COUNTIF(P7:P236,$H$242)</f>
        <v>0</v>
      </c>
      <c r="Q242" s="316">
        <f t="shared" si="10"/>
        <v>50</v>
      </c>
      <c r="R242" s="316">
        <f t="shared" si="10"/>
        <v>0</v>
      </c>
      <c r="S242" s="288"/>
    </row>
    <row r="243" ht="15.75" customHeight="1">
      <c r="A243" s="288"/>
      <c r="B243" s="328"/>
      <c r="C243" s="323"/>
      <c r="D243" s="324"/>
      <c r="G243" s="17"/>
      <c r="H243" s="329">
        <v>5.0</v>
      </c>
      <c r="I243" s="478"/>
      <c r="J243" s="329">
        <f t="shared" ref="J243:M243" si="11">COUNTIF(J6:J233,$H$243)</f>
        <v>7</v>
      </c>
      <c r="K243" s="329">
        <f t="shared" si="11"/>
        <v>3</v>
      </c>
      <c r="L243" s="329">
        <f t="shared" si="11"/>
        <v>2</v>
      </c>
      <c r="M243" s="329">
        <f t="shared" si="11"/>
        <v>2</v>
      </c>
      <c r="N243" s="329">
        <f>COUNTIF(N8:N237,$H$243)</f>
        <v>9</v>
      </c>
      <c r="O243" s="329">
        <f>COUNTIF(O6:O233,$H$243)</f>
        <v>1</v>
      </c>
      <c r="P243" s="329">
        <f t="shared" ref="P243:R243" si="12">COUNTIF(P8:P237,$H$243)</f>
        <v>0</v>
      </c>
      <c r="Q243" s="329">
        <f t="shared" si="12"/>
        <v>5</v>
      </c>
      <c r="R243" s="329">
        <f t="shared" si="12"/>
        <v>0</v>
      </c>
      <c r="S243" s="288"/>
    </row>
    <row r="244" ht="15.75" customHeight="1">
      <c r="A244" s="288"/>
      <c r="B244" s="332"/>
      <c r="C244" s="333"/>
      <c r="D244" s="324"/>
      <c r="E244" s="334"/>
      <c r="F244" s="334"/>
      <c r="G244" s="287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335"/>
      <c r="S244" s="288"/>
    </row>
    <row r="245">
      <c r="A245" s="288"/>
      <c r="D245" s="338"/>
      <c r="E245" s="339"/>
      <c r="S245" s="288"/>
    </row>
    <row r="246">
      <c r="A246" s="288"/>
      <c r="D246" s="338"/>
      <c r="E246" s="339"/>
      <c r="S246" s="288"/>
    </row>
    <row r="247">
      <c r="A247" s="288"/>
      <c r="D247" s="338"/>
      <c r="E247" s="339"/>
      <c r="S247" s="288"/>
    </row>
    <row r="248">
      <c r="A248" s="288"/>
      <c r="D248" s="338"/>
      <c r="E248" s="339"/>
      <c r="S248" s="288"/>
    </row>
    <row r="249">
      <c r="A249" s="288"/>
      <c r="D249" s="338"/>
      <c r="E249" s="339"/>
      <c r="S249" s="288"/>
    </row>
    <row r="250">
      <c r="A250" s="288"/>
      <c r="D250" s="338"/>
      <c r="E250" s="339"/>
      <c r="S250" s="288"/>
    </row>
    <row r="251">
      <c r="A251" s="288"/>
      <c r="D251" s="338"/>
      <c r="E251" s="339"/>
      <c r="S251" s="288"/>
    </row>
    <row r="252">
      <c r="A252" s="288"/>
      <c r="D252" s="338"/>
      <c r="E252" s="339"/>
      <c r="S252" s="288"/>
    </row>
    <row r="253">
      <c r="A253" s="288"/>
      <c r="D253" s="338"/>
      <c r="E253" s="339"/>
      <c r="S253" s="288"/>
    </row>
    <row r="254">
      <c r="A254" s="288"/>
      <c r="D254" s="338"/>
      <c r="E254" s="339"/>
      <c r="S254" s="288"/>
    </row>
    <row r="255">
      <c r="A255" s="288"/>
      <c r="D255" s="338"/>
      <c r="E255" s="339"/>
      <c r="S255" s="288"/>
    </row>
    <row r="256">
      <c r="A256" s="288"/>
      <c r="D256" s="338"/>
      <c r="E256" s="339"/>
      <c r="S256" s="288"/>
    </row>
    <row r="257">
      <c r="A257" s="288"/>
      <c r="D257" s="338"/>
      <c r="E257" s="339"/>
      <c r="S257" s="288"/>
    </row>
    <row r="258">
      <c r="A258" s="288"/>
      <c r="D258" s="338"/>
      <c r="E258" s="339"/>
      <c r="S258" s="288"/>
    </row>
    <row r="259">
      <c r="A259" s="288"/>
      <c r="D259" s="338"/>
      <c r="E259" s="339"/>
      <c r="S259" s="288"/>
    </row>
    <row r="260">
      <c r="A260" s="288"/>
      <c r="D260" s="338"/>
      <c r="E260" s="339"/>
      <c r="S260" s="288"/>
    </row>
    <row r="261">
      <c r="A261" s="288"/>
      <c r="D261" s="338"/>
      <c r="E261" s="339"/>
      <c r="S261" s="288"/>
    </row>
    <row r="262">
      <c r="A262" s="288"/>
      <c r="D262" s="338"/>
      <c r="E262" s="339"/>
      <c r="S262" s="288"/>
    </row>
    <row r="263">
      <c r="A263" s="288"/>
      <c r="D263" s="338"/>
      <c r="E263" s="339"/>
      <c r="S263" s="288"/>
    </row>
    <row r="264">
      <c r="A264" s="288"/>
      <c r="D264" s="338"/>
      <c r="E264" s="339"/>
      <c r="S264" s="288"/>
    </row>
    <row r="265">
      <c r="A265" s="288"/>
      <c r="D265" s="338"/>
      <c r="E265" s="339"/>
      <c r="S265" s="288"/>
    </row>
    <row r="266">
      <c r="A266" s="288"/>
      <c r="D266" s="338"/>
      <c r="E266" s="339"/>
      <c r="S266" s="288"/>
    </row>
    <row r="267">
      <c r="A267" s="288"/>
      <c r="B267" s="288"/>
      <c r="C267" s="335"/>
      <c r="D267" s="343"/>
      <c r="E267" s="303"/>
      <c r="F267" s="344"/>
      <c r="G267" s="344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288"/>
    </row>
    <row r="268">
      <c r="A268" s="288"/>
      <c r="B268" s="288"/>
      <c r="C268" s="335"/>
      <c r="D268" s="343"/>
      <c r="E268" s="303"/>
      <c r="F268" s="344"/>
      <c r="G268" s="344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288"/>
    </row>
    <row r="269">
      <c r="A269" s="288"/>
      <c r="B269" s="288"/>
      <c r="C269" s="335"/>
      <c r="D269" s="343"/>
      <c r="E269" s="303"/>
      <c r="F269" s="344"/>
      <c r="G269" s="344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288"/>
    </row>
    <row r="270">
      <c r="A270" s="288"/>
      <c r="B270" s="288"/>
      <c r="C270" s="335"/>
      <c r="D270" s="343"/>
      <c r="E270" s="303"/>
      <c r="F270" s="344"/>
      <c r="G270" s="344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288"/>
    </row>
    <row r="271">
      <c r="A271" s="288"/>
      <c r="B271" s="288"/>
      <c r="C271" s="335"/>
      <c r="D271" s="343"/>
      <c r="E271" s="303"/>
      <c r="F271" s="344"/>
      <c r="G271" s="344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288"/>
    </row>
    <row r="272">
      <c r="A272" s="288"/>
      <c r="B272" s="288"/>
      <c r="C272" s="335"/>
      <c r="D272" s="343"/>
      <c r="E272" s="303"/>
      <c r="F272" s="344"/>
      <c r="G272" s="344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288"/>
    </row>
    <row r="273">
      <c r="A273" s="288"/>
      <c r="B273" s="288"/>
      <c r="C273" s="335"/>
      <c r="D273" s="343"/>
      <c r="E273" s="303"/>
      <c r="F273" s="344"/>
      <c r="G273" s="344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288"/>
    </row>
    <row r="274">
      <c r="A274" s="288"/>
      <c r="B274" s="288"/>
      <c r="C274" s="335"/>
      <c r="D274" s="343"/>
      <c r="E274" s="303"/>
      <c r="F274" s="344"/>
      <c r="G274" s="344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288"/>
    </row>
    <row r="275">
      <c r="A275" s="288"/>
      <c r="B275" s="288"/>
      <c r="C275" s="335"/>
      <c r="D275" s="343"/>
      <c r="E275" s="303"/>
      <c r="F275" s="344"/>
      <c r="G275" s="344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288"/>
    </row>
    <row r="276">
      <c r="A276" s="288"/>
      <c r="B276" s="288"/>
      <c r="C276" s="335"/>
      <c r="D276" s="343"/>
      <c r="E276" s="303"/>
      <c r="F276" s="344"/>
      <c r="G276" s="344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288"/>
    </row>
    <row r="277">
      <c r="A277" s="288"/>
      <c r="B277" s="288"/>
      <c r="C277" s="335"/>
      <c r="D277" s="343"/>
      <c r="E277" s="303"/>
      <c r="F277" s="344"/>
      <c r="G277" s="344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288"/>
    </row>
    <row r="278">
      <c r="A278" s="288"/>
      <c r="B278" s="288"/>
      <c r="C278" s="335"/>
      <c r="D278" s="343"/>
      <c r="E278" s="303"/>
      <c r="F278" s="344"/>
      <c r="G278" s="344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288"/>
    </row>
    <row r="279">
      <c r="A279" s="288"/>
      <c r="B279" s="288"/>
      <c r="C279" s="335"/>
      <c r="D279" s="343"/>
      <c r="E279" s="303"/>
      <c r="F279" s="344"/>
      <c r="G279" s="344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288"/>
    </row>
    <row r="280">
      <c r="A280" s="288"/>
      <c r="B280" s="288"/>
      <c r="C280" s="335"/>
      <c r="D280" s="343"/>
      <c r="E280" s="303"/>
      <c r="F280" s="344"/>
      <c r="G280" s="344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288"/>
    </row>
    <row r="281">
      <c r="A281" s="288"/>
      <c r="B281" s="288"/>
      <c r="C281" s="335"/>
      <c r="D281" s="343"/>
      <c r="E281" s="303"/>
      <c r="F281" s="344"/>
      <c r="G281" s="344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288"/>
    </row>
    <row r="282">
      <c r="A282" s="288"/>
      <c r="B282" s="288"/>
      <c r="C282" s="335"/>
      <c r="D282" s="343"/>
      <c r="E282" s="303"/>
      <c r="F282" s="344"/>
      <c r="G282" s="344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288"/>
    </row>
  </sheetData>
  <mergeCells count="202">
    <mergeCell ref="C177:D177"/>
    <mergeCell ref="C178:D178"/>
    <mergeCell ref="B179:B181"/>
    <mergeCell ref="C179:D179"/>
    <mergeCell ref="C180:D180"/>
    <mergeCell ref="C181:D181"/>
    <mergeCell ref="B182:B183"/>
    <mergeCell ref="C182:D182"/>
    <mergeCell ref="C183:D183"/>
    <mergeCell ref="B184:B185"/>
    <mergeCell ref="C184:D184"/>
    <mergeCell ref="C185:D185"/>
    <mergeCell ref="B188:B190"/>
    <mergeCell ref="C188:D188"/>
    <mergeCell ref="C189:D189"/>
    <mergeCell ref="C190:D190"/>
    <mergeCell ref="B191:B193"/>
    <mergeCell ref="C191:D191"/>
    <mergeCell ref="C192:D192"/>
    <mergeCell ref="C193:D193"/>
    <mergeCell ref="B194:B195"/>
    <mergeCell ref="C194:D194"/>
    <mergeCell ref="C200:D200"/>
    <mergeCell ref="C201:D201"/>
    <mergeCell ref="B176:B178"/>
    <mergeCell ref="C176:D176"/>
    <mergeCell ref="C195:D195"/>
    <mergeCell ref="B196:B197"/>
    <mergeCell ref="C196:D196"/>
    <mergeCell ref="C197:D197"/>
    <mergeCell ref="C202:D202"/>
    <mergeCell ref="C208:D208"/>
    <mergeCell ref="C209:D209"/>
    <mergeCell ref="B200:B202"/>
    <mergeCell ref="B203:B205"/>
    <mergeCell ref="C203:D203"/>
    <mergeCell ref="C204:D204"/>
    <mergeCell ref="C205:D205"/>
    <mergeCell ref="C206:D206"/>
    <mergeCell ref="C207:D207"/>
    <mergeCell ref="C215:D215"/>
    <mergeCell ref="C217:D217"/>
    <mergeCell ref="B206:B207"/>
    <mergeCell ref="B208:B209"/>
    <mergeCell ref="B212:B214"/>
    <mergeCell ref="C212:D212"/>
    <mergeCell ref="C213:D213"/>
    <mergeCell ref="C214:D214"/>
    <mergeCell ref="B215:B217"/>
    <mergeCell ref="C224:D224"/>
    <mergeCell ref="C225:D225"/>
    <mergeCell ref="B218:B219"/>
    <mergeCell ref="C218:D218"/>
    <mergeCell ref="C219:D219"/>
    <mergeCell ref="B220:B221"/>
    <mergeCell ref="C220:D220"/>
    <mergeCell ref="C221:D221"/>
    <mergeCell ref="C226:D226"/>
    <mergeCell ref="O1:O3"/>
    <mergeCell ref="P1:P3"/>
    <mergeCell ref="Q1:Q3"/>
    <mergeCell ref="R1:R3"/>
    <mergeCell ref="S1:S232"/>
    <mergeCell ref="B2:B3"/>
    <mergeCell ref="C2:I3"/>
    <mergeCell ref="C11:D11"/>
    <mergeCell ref="C12:D12"/>
    <mergeCell ref="C13:D13"/>
    <mergeCell ref="C14:D14"/>
    <mergeCell ref="C15:D15"/>
    <mergeCell ref="C16:D16"/>
    <mergeCell ref="C17:D17"/>
    <mergeCell ref="C18:D18"/>
    <mergeCell ref="C231:D231"/>
    <mergeCell ref="C232:D232"/>
    <mergeCell ref="I238:O238"/>
    <mergeCell ref="B224:B226"/>
    <mergeCell ref="B227:B229"/>
    <mergeCell ref="C227:D227"/>
    <mergeCell ref="C228:D228"/>
    <mergeCell ref="C229:D229"/>
    <mergeCell ref="B230:B231"/>
    <mergeCell ref="C230:D230"/>
    <mergeCell ref="C21:D21"/>
    <mergeCell ref="C22:D22"/>
    <mergeCell ref="C23:D23"/>
    <mergeCell ref="C24:D24"/>
    <mergeCell ref="C25:D25"/>
    <mergeCell ref="B26:B31"/>
    <mergeCell ref="C26:D26"/>
    <mergeCell ref="C27:D27"/>
    <mergeCell ref="C28:D28"/>
    <mergeCell ref="C29:D29"/>
    <mergeCell ref="C30:D30"/>
    <mergeCell ref="C31:D31"/>
    <mergeCell ref="B32:B36"/>
    <mergeCell ref="C32:D32"/>
    <mergeCell ref="C33:D33"/>
    <mergeCell ref="C34:D34"/>
    <mergeCell ref="C35:D35"/>
    <mergeCell ref="C36:D36"/>
    <mergeCell ref="B37:B41"/>
    <mergeCell ref="C37:D37"/>
    <mergeCell ref="C38:D38"/>
    <mergeCell ref="C39:D39"/>
    <mergeCell ref="C40:D40"/>
    <mergeCell ref="C41:D41"/>
    <mergeCell ref="B44:B71"/>
    <mergeCell ref="C72:D72"/>
    <mergeCell ref="B73:B93"/>
    <mergeCell ref="C94:D94"/>
    <mergeCell ref="C119:D119"/>
    <mergeCell ref="C120:D120"/>
    <mergeCell ref="C19:D19"/>
    <mergeCell ref="C20:D20"/>
    <mergeCell ref="B95:B103"/>
    <mergeCell ref="B104:B113"/>
    <mergeCell ref="C116:D116"/>
    <mergeCell ref="C117:D117"/>
    <mergeCell ref="C118:D118"/>
    <mergeCell ref="C121:D121"/>
    <mergeCell ref="B122:B123"/>
    <mergeCell ref="C122:D122"/>
    <mergeCell ref="C123:D123"/>
    <mergeCell ref="B124:B125"/>
    <mergeCell ref="C124:D124"/>
    <mergeCell ref="C125:D125"/>
    <mergeCell ref="B128:B130"/>
    <mergeCell ref="C128:D128"/>
    <mergeCell ref="C129:D129"/>
    <mergeCell ref="C130:D130"/>
    <mergeCell ref="B131:B133"/>
    <mergeCell ref="C131:D131"/>
    <mergeCell ref="C132:D132"/>
    <mergeCell ref="C133:D133"/>
    <mergeCell ref="B134:B135"/>
    <mergeCell ref="C134:D134"/>
    <mergeCell ref="C135:D135"/>
    <mergeCell ref="B136:B137"/>
    <mergeCell ref="C136:D136"/>
    <mergeCell ref="C137:D137"/>
    <mergeCell ref="B140:B142"/>
    <mergeCell ref="C140:D140"/>
    <mergeCell ref="B143:B145"/>
    <mergeCell ref="B146:B147"/>
    <mergeCell ref="B116:B118"/>
    <mergeCell ref="B119:B121"/>
    <mergeCell ref="C141:D141"/>
    <mergeCell ref="C142:D142"/>
    <mergeCell ref="C143:D143"/>
    <mergeCell ref="C144:D144"/>
    <mergeCell ref="C145:D145"/>
    <mergeCell ref="B148:B149"/>
    <mergeCell ref="C148:D148"/>
    <mergeCell ref="C149:D149"/>
    <mergeCell ref="B152:B154"/>
    <mergeCell ref="C152:D152"/>
    <mergeCell ref="C153:D153"/>
    <mergeCell ref="C154:D154"/>
    <mergeCell ref="B155:B157"/>
    <mergeCell ref="C155:D155"/>
    <mergeCell ref="C156:D156"/>
    <mergeCell ref="C157:D157"/>
    <mergeCell ref="B158:B159"/>
    <mergeCell ref="C158:D158"/>
    <mergeCell ref="C159:D159"/>
    <mergeCell ref="B160:B161"/>
    <mergeCell ref="C160:D160"/>
    <mergeCell ref="C161:D161"/>
    <mergeCell ref="B164:B167"/>
    <mergeCell ref="C164:D164"/>
    <mergeCell ref="C165:D165"/>
    <mergeCell ref="C166:D166"/>
    <mergeCell ref="C167:D167"/>
    <mergeCell ref="B168:B169"/>
    <mergeCell ref="C168:D168"/>
    <mergeCell ref="C172:D172"/>
    <mergeCell ref="C173:D173"/>
    <mergeCell ref="C146:D146"/>
    <mergeCell ref="C147:D147"/>
    <mergeCell ref="C169:D169"/>
    <mergeCell ref="B170:B171"/>
    <mergeCell ref="C170:D170"/>
    <mergeCell ref="C171:D171"/>
    <mergeCell ref="B172:B173"/>
    <mergeCell ref="C4:I4"/>
    <mergeCell ref="B6:B24"/>
    <mergeCell ref="C6:D6"/>
    <mergeCell ref="C7:D7"/>
    <mergeCell ref="C8:D8"/>
    <mergeCell ref="C9:D9"/>
    <mergeCell ref="C10:D10"/>
    <mergeCell ref="B232:B233"/>
    <mergeCell ref="C233:D233"/>
    <mergeCell ref="E235:G244"/>
    <mergeCell ref="A1:A232"/>
    <mergeCell ref="B1:I1"/>
    <mergeCell ref="J1:J3"/>
    <mergeCell ref="K1:K3"/>
    <mergeCell ref="L1:L3"/>
    <mergeCell ref="M1:M3"/>
    <mergeCell ref="N1:N3"/>
  </mergeCells>
  <conditionalFormatting sqref="J6:Q24 J26:Q41 J44:Q71 J73:Q93 J95:Q113 J116:Q125 J128:Q137 J140:Q149 J152:Q161 J164:Q173 J176:Q185 J188:Q197 J200:Q209 J212:Q221 J224:Q233">
    <cfRule type="cellIs" dxfId="0" priority="1" operator="equal">
      <formula>1</formula>
    </cfRule>
  </conditionalFormatting>
  <conditionalFormatting sqref="J6:Q24 J26:Q41 J44:Q71 J73:Q93 J95:Q113 J116:Q125 J128:Q137 J140:Q149 J152:Q161 J164:Q173 J176:Q185 J188:Q197 J200:Q209 J212:Q221 J224:Q233">
    <cfRule type="cellIs" dxfId="1" priority="2" operator="equal">
      <formula>2</formula>
    </cfRule>
  </conditionalFormatting>
  <conditionalFormatting sqref="J6:Q24 J26:Q41 J44:Q71 J73:Q93 J95:Q113 J116:Q125 J128:Q137 J140:Q149 J152:Q161 J164:Q173 J176:Q185 J188:Q197 J200:Q209 J212:Q221 J224:Q233">
    <cfRule type="cellIs" dxfId="2" priority="3" operator="equal">
      <formula>5</formula>
    </cfRule>
  </conditionalFormatting>
  <conditionalFormatting sqref="J6:Q24 J26:Q41 J44:Q71 J73:Q93 J95:Q113 J116:Q125 J128:Q137 J140:Q149 J152:Q161 J164:Q173 J176:Q185 J188:Q197 J200:Q209 J212:Q221 J224:Q233">
    <cfRule type="cellIs" dxfId="3" priority="4" operator="equal">
      <formula>3</formula>
    </cfRule>
  </conditionalFormatting>
  <conditionalFormatting sqref="J6:Q24 J26:Q41 J44:Q71 J73:Q93 J95:Q113 J116:Q125 J128:Q137 J140:Q149 J152:Q161 J164:Q173 J176:Q185 J188:Q197 J200:Q209 J212:Q221 J224:Q233">
    <cfRule type="cellIs" dxfId="4" priority="5" operator="equal">
      <formula>4</formula>
    </cfRule>
  </conditionalFormatting>
  <conditionalFormatting sqref="A1:A9 S1 A26:A27 A32 A37 A222 S222:S282 A225:A282">
    <cfRule type="notContainsBlanks" dxfId="5" priority="6">
      <formula>LEN(TRIM(A1))&gt;0</formula>
    </cfRule>
  </conditionalFormatting>
  <conditionalFormatting sqref="R6:R24 R26:R41 R44:R71 R73:R93 R95:R113 R116:R125 R128:R137 R140:R149 R152:R161 R164:R173 R176:R185 R188:R197 R200:R209 R212:R221 R224:R233">
    <cfRule type="colorScale" priority="7">
      <colorScale>
        <cfvo type="min"/>
        <cfvo type="percentile" val="50"/>
        <cfvo type="formula" val="4"/>
        <color rgb="FFEA4335"/>
        <color rgb="FFFFFFFF"/>
        <color rgb="FF34A853"/>
      </colorScale>
    </cfRule>
  </conditionalFormatting>
  <hyperlinks>
    <hyperlink r:id="rId1" ref="B1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6"/>
    <hyperlink r:id="rId50" ref="C57"/>
    <hyperlink r:id="rId51" ref="C58"/>
    <hyperlink r:id="rId52" ref="C59"/>
    <hyperlink r:id="rId53" ref="C60"/>
    <hyperlink r:id="rId54" ref="C61"/>
    <hyperlink r:id="rId55" ref="C62"/>
    <hyperlink r:id="rId56" ref="C63"/>
    <hyperlink r:id="rId57" ref="C64"/>
    <hyperlink r:id="rId58" ref="C65"/>
    <hyperlink r:id="rId59" ref="C66"/>
    <hyperlink r:id="rId60" ref="C67"/>
    <hyperlink r:id="rId61" ref="C68"/>
    <hyperlink r:id="rId62" ref="C69"/>
    <hyperlink r:id="rId63" ref="C70"/>
    <hyperlink r:id="rId64" ref="C71"/>
    <hyperlink r:id="rId65" ref="C73"/>
    <hyperlink r:id="rId66" ref="C74"/>
    <hyperlink r:id="rId67" ref="C75"/>
    <hyperlink r:id="rId68" ref="C76"/>
    <hyperlink r:id="rId69" ref="C77"/>
    <hyperlink r:id="rId70" ref="C78"/>
    <hyperlink r:id="rId71" ref="C79"/>
    <hyperlink r:id="rId72" ref="C80"/>
    <hyperlink r:id="rId73" ref="C81"/>
    <hyperlink r:id="rId74" ref="C82"/>
    <hyperlink r:id="rId75" ref="C83"/>
    <hyperlink r:id="rId76" ref="C84"/>
    <hyperlink r:id="rId77" ref="C85"/>
    <hyperlink r:id="rId78" ref="C86"/>
    <hyperlink r:id="rId79" ref="C87"/>
    <hyperlink r:id="rId80" ref="C88"/>
    <hyperlink r:id="rId81" ref="C89"/>
    <hyperlink r:id="rId82" ref="C90"/>
    <hyperlink r:id="rId83" ref="C91"/>
    <hyperlink r:id="rId84" ref="C92"/>
    <hyperlink r:id="rId85" ref="C93"/>
    <hyperlink r:id="rId86" ref="C95"/>
    <hyperlink r:id="rId87" ref="C96"/>
    <hyperlink r:id="rId88" ref="C97"/>
    <hyperlink r:id="rId89" ref="C98"/>
    <hyperlink r:id="rId90" ref="C99"/>
    <hyperlink r:id="rId91" ref="C100"/>
    <hyperlink r:id="rId92" ref="C101"/>
    <hyperlink r:id="rId93" ref="C102"/>
    <hyperlink r:id="rId94" ref="C103"/>
    <hyperlink r:id="rId95" ref="C104"/>
    <hyperlink r:id="rId96" ref="C105"/>
    <hyperlink r:id="rId97" ref="C106"/>
    <hyperlink r:id="rId98" ref="C107"/>
    <hyperlink r:id="rId99" ref="C108"/>
    <hyperlink r:id="rId100" ref="C109"/>
    <hyperlink r:id="rId101" ref="C110"/>
    <hyperlink r:id="rId102" ref="C111"/>
    <hyperlink r:id="rId103" ref="C112"/>
    <hyperlink r:id="rId104" ref="C113"/>
    <hyperlink r:id="rId105" ref="C116"/>
    <hyperlink r:id="rId106" ref="C117"/>
    <hyperlink r:id="rId107" ref="C118"/>
    <hyperlink r:id="rId108" ref="C119"/>
    <hyperlink r:id="rId109" ref="C120"/>
    <hyperlink r:id="rId110" ref="C121"/>
    <hyperlink r:id="rId111" ref="C122"/>
    <hyperlink r:id="rId112" ref="C123"/>
    <hyperlink r:id="rId113" ref="C124"/>
    <hyperlink r:id="rId114" ref="C125"/>
    <hyperlink r:id="rId115" ref="C128"/>
    <hyperlink r:id="rId116" ref="C129"/>
    <hyperlink r:id="rId117" ref="C130"/>
    <hyperlink r:id="rId118" ref="C131"/>
    <hyperlink r:id="rId119" ref="C132"/>
    <hyperlink r:id="rId120" ref="C133"/>
    <hyperlink r:id="rId121" ref="C134"/>
    <hyperlink r:id="rId122" ref="C135"/>
    <hyperlink r:id="rId123" ref="C136"/>
    <hyperlink r:id="rId124" ref="C137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2"/>
    <hyperlink r:id="rId136" ref="C153"/>
    <hyperlink r:id="rId137" ref="C154"/>
    <hyperlink r:id="rId138" ref="C155"/>
    <hyperlink r:id="rId139" ref="C156"/>
    <hyperlink r:id="rId140" ref="C157"/>
    <hyperlink r:id="rId141" ref="C158"/>
    <hyperlink r:id="rId142" ref="C159"/>
    <hyperlink r:id="rId143" ref="C160"/>
    <hyperlink r:id="rId144" ref="H160"/>
    <hyperlink r:id="rId145" ref="C161"/>
    <hyperlink r:id="rId146" ref="C164"/>
    <hyperlink r:id="rId147" ref="C165"/>
    <hyperlink r:id="rId148" ref="C166"/>
    <hyperlink r:id="rId149" ref="C167"/>
    <hyperlink r:id="rId150" ref="C168"/>
    <hyperlink r:id="rId151" ref="C169"/>
    <hyperlink r:id="rId152" ref="C170"/>
    <hyperlink r:id="rId153" ref="C171"/>
    <hyperlink r:id="rId154" ref="C172"/>
    <hyperlink r:id="rId155" ref="C173"/>
    <hyperlink r:id="rId156" ref="C176"/>
    <hyperlink r:id="rId157" ref="C177"/>
    <hyperlink r:id="rId158" ref="C178"/>
    <hyperlink r:id="rId159" ref="C179"/>
    <hyperlink r:id="rId160" ref="C180"/>
    <hyperlink r:id="rId161" ref="C181"/>
    <hyperlink r:id="rId162" ref="C182"/>
    <hyperlink r:id="rId163" ref="C183"/>
    <hyperlink r:id="rId164" ref="C184"/>
    <hyperlink r:id="rId165" ref="C185"/>
    <hyperlink r:id="rId166" ref="C188"/>
    <hyperlink r:id="rId167" ref="C189"/>
    <hyperlink r:id="rId168" ref="C190"/>
    <hyperlink r:id="rId169" ref="C191"/>
    <hyperlink r:id="rId170" ref="C192"/>
    <hyperlink r:id="rId171" ref="C193"/>
    <hyperlink r:id="rId172" ref="C194"/>
    <hyperlink r:id="rId173" ref="C195"/>
    <hyperlink r:id="rId174" ref="C196"/>
    <hyperlink r:id="rId175" ref="C197"/>
    <hyperlink r:id="rId176" ref="C200"/>
    <hyperlink r:id="rId177" ref="C201"/>
    <hyperlink r:id="rId178" ref="C202"/>
    <hyperlink r:id="rId179" ref="C203"/>
    <hyperlink r:id="rId180" ref="C204"/>
    <hyperlink r:id="rId181" ref="C205"/>
    <hyperlink r:id="rId182" ref="C206"/>
    <hyperlink r:id="rId183" ref="C207"/>
    <hyperlink r:id="rId184" ref="C208"/>
    <hyperlink r:id="rId185" ref="C209"/>
    <hyperlink r:id="rId186" ref="C212"/>
    <hyperlink r:id="rId187" ref="C213"/>
    <hyperlink r:id="rId188" ref="C214"/>
    <hyperlink r:id="rId189" ref="C215"/>
    <hyperlink r:id="rId190" ref="C216"/>
    <hyperlink r:id="rId191" ref="C217"/>
    <hyperlink r:id="rId192" ref="C218"/>
    <hyperlink r:id="rId193" ref="C219"/>
    <hyperlink r:id="rId194" ref="C220"/>
    <hyperlink r:id="rId195" ref="C221"/>
    <hyperlink r:id="rId196" ref="C224"/>
    <hyperlink r:id="rId197" ref="C225"/>
    <hyperlink r:id="rId198" ref="C226"/>
    <hyperlink r:id="rId199" ref="C227"/>
    <hyperlink r:id="rId200" ref="C228"/>
    <hyperlink r:id="rId201" ref="C229"/>
    <hyperlink r:id="rId202" ref="C230"/>
    <hyperlink r:id="rId203" ref="C231"/>
    <hyperlink r:id="rId204" ref="C232"/>
    <hyperlink r:id="rId205" ref="C233"/>
  </hyperlinks>
  <drawing r:id="rId20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hidden="1" min="1" max="1" width="3.38"/>
    <col customWidth="1" min="2" max="2" width="2.63"/>
    <col customWidth="1" min="3" max="3" width="29.88"/>
    <col customWidth="1" min="4" max="4" width="16.88"/>
    <col customWidth="1" min="8" max="8" width="10.13"/>
    <col customWidth="1" min="9" max="16" width="12.63"/>
    <col customWidth="1" min="17" max="17" width="3.63"/>
  </cols>
  <sheetData>
    <row r="1">
      <c r="A1" s="479"/>
      <c r="B1" s="480"/>
      <c r="C1" s="481" t="s">
        <v>425</v>
      </c>
      <c r="D1" s="482"/>
      <c r="E1" s="483"/>
      <c r="F1" s="484"/>
      <c r="G1" s="485"/>
      <c r="H1" s="486"/>
      <c r="I1" s="5" t="s">
        <v>1</v>
      </c>
      <c r="J1" s="5" t="s">
        <v>2</v>
      </c>
      <c r="K1" s="487" t="s">
        <v>426</v>
      </c>
      <c r="L1" s="5" t="s">
        <v>208</v>
      </c>
      <c r="M1" s="5" t="s">
        <v>3</v>
      </c>
      <c r="N1" s="5" t="s">
        <v>4</v>
      </c>
      <c r="O1" s="5" t="s">
        <v>210</v>
      </c>
      <c r="P1" s="5" t="s">
        <v>427</v>
      </c>
      <c r="Q1" s="10"/>
    </row>
    <row r="2">
      <c r="A2" s="11"/>
      <c r="B2" s="488"/>
      <c r="C2" s="348"/>
      <c r="D2" s="348"/>
      <c r="E2" s="348"/>
      <c r="F2" s="348"/>
      <c r="G2" s="348"/>
      <c r="H2" s="349"/>
      <c r="I2" s="14"/>
      <c r="J2" s="14"/>
      <c r="K2" s="14"/>
      <c r="L2" s="14"/>
      <c r="M2" s="14"/>
      <c r="N2" s="14"/>
      <c r="O2" s="14"/>
      <c r="P2" s="14"/>
      <c r="Q2" s="17"/>
    </row>
    <row r="3">
      <c r="A3" s="11"/>
      <c r="B3" s="18"/>
      <c r="H3" s="17"/>
      <c r="I3" s="20"/>
      <c r="J3" s="20"/>
      <c r="K3" s="20"/>
      <c r="L3" s="20"/>
      <c r="M3" s="20"/>
      <c r="N3" s="20"/>
      <c r="O3" s="20"/>
      <c r="P3" s="20"/>
      <c r="Q3" s="17"/>
    </row>
    <row r="4">
      <c r="A4" s="11"/>
      <c r="B4" s="24"/>
      <c r="C4" s="25" t="s">
        <v>11</v>
      </c>
      <c r="I4" s="26"/>
      <c r="J4" s="26"/>
      <c r="K4" s="26"/>
      <c r="L4" s="26"/>
      <c r="M4" s="26"/>
      <c r="N4" s="26"/>
      <c r="O4" s="26"/>
      <c r="P4" s="489"/>
      <c r="Q4" s="17"/>
    </row>
    <row r="5">
      <c r="A5" s="11"/>
      <c r="B5" s="30"/>
      <c r="C5" s="31"/>
      <c r="D5" s="490"/>
      <c r="E5" s="34"/>
      <c r="F5" s="35"/>
      <c r="G5" s="36"/>
      <c r="H5" s="37"/>
      <c r="I5" s="491" t="s">
        <v>1</v>
      </c>
      <c r="J5" s="43" t="s">
        <v>2</v>
      </c>
      <c r="K5" s="492" t="s">
        <v>426</v>
      </c>
      <c r="L5" s="493" t="s">
        <v>208</v>
      </c>
      <c r="M5" s="494" t="s">
        <v>3</v>
      </c>
      <c r="N5" s="495" t="s">
        <v>4</v>
      </c>
      <c r="O5" s="43" t="s">
        <v>210</v>
      </c>
      <c r="P5" s="43" t="s">
        <v>427</v>
      </c>
      <c r="Q5" s="17"/>
    </row>
    <row r="6">
      <c r="A6" s="11"/>
      <c r="B6" s="46"/>
      <c r="C6" s="496" t="s">
        <v>428</v>
      </c>
      <c r="D6" s="497"/>
      <c r="E6" s="67">
        <v>1.0</v>
      </c>
      <c r="F6" s="68">
        <v>2.0</v>
      </c>
      <c r="G6" s="69">
        <v>1.0</v>
      </c>
      <c r="H6" s="498"/>
      <c r="I6" s="434">
        <v>2.0</v>
      </c>
      <c r="J6" s="55">
        <v>1.0</v>
      </c>
      <c r="K6" s="55">
        <v>1.0</v>
      </c>
      <c r="L6" s="62">
        <v>1.0</v>
      </c>
      <c r="M6" s="361">
        <v>2.0</v>
      </c>
      <c r="N6" s="434">
        <v>2.0</v>
      </c>
      <c r="O6" s="146"/>
      <c r="P6" s="499"/>
      <c r="Q6" s="17"/>
    </row>
    <row r="7">
      <c r="A7" s="11"/>
      <c r="B7" s="46"/>
      <c r="C7" s="500" t="s">
        <v>429</v>
      </c>
      <c r="D7" s="497"/>
      <c r="E7" s="50">
        <v>0.0</v>
      </c>
      <c r="F7" s="50">
        <v>3.0</v>
      </c>
      <c r="G7" s="51">
        <v>1.0</v>
      </c>
      <c r="H7" s="498"/>
      <c r="I7" s="434">
        <v>1.0</v>
      </c>
      <c r="J7" s="55">
        <v>2.0</v>
      </c>
      <c r="K7" s="55">
        <v>1.0</v>
      </c>
      <c r="L7" s="62">
        <v>1.0</v>
      </c>
      <c r="M7" s="501">
        <v>1.0</v>
      </c>
      <c r="N7" s="434">
        <v>1.0</v>
      </c>
      <c r="O7" s="156"/>
      <c r="P7" s="499"/>
      <c r="Q7" s="17"/>
    </row>
    <row r="8">
      <c r="A8" s="11"/>
      <c r="B8" s="46"/>
      <c r="C8" s="502" t="s">
        <v>430</v>
      </c>
      <c r="D8" s="497"/>
      <c r="E8" s="503">
        <v>1.0</v>
      </c>
      <c r="F8" s="503">
        <v>1.0</v>
      </c>
      <c r="G8" s="504">
        <v>2.0</v>
      </c>
      <c r="H8" s="498"/>
      <c r="I8" s="434">
        <v>2.0</v>
      </c>
      <c r="J8" s="55">
        <v>2.0</v>
      </c>
      <c r="K8" s="55">
        <v>1.0</v>
      </c>
      <c r="L8" s="62">
        <v>1.0</v>
      </c>
      <c r="M8" s="505">
        <v>2.0</v>
      </c>
      <c r="N8" s="434">
        <v>1.0</v>
      </c>
      <c r="O8" s="156"/>
      <c r="P8" s="499"/>
      <c r="Q8" s="17"/>
    </row>
    <row r="9">
      <c r="A9" s="11"/>
      <c r="B9" s="506"/>
      <c r="C9" s="507" t="s">
        <v>431</v>
      </c>
      <c r="D9" s="497"/>
      <c r="E9" s="508">
        <v>2.0</v>
      </c>
      <c r="F9" s="508">
        <v>3.0</v>
      </c>
      <c r="G9" s="509">
        <v>2.0</v>
      </c>
      <c r="H9" s="498"/>
      <c r="I9" s="434">
        <v>1.0</v>
      </c>
      <c r="J9" s="55">
        <v>1.0</v>
      </c>
      <c r="K9" s="55">
        <v>1.0</v>
      </c>
      <c r="L9" s="62">
        <v>1.0</v>
      </c>
      <c r="M9" s="501">
        <v>1.0</v>
      </c>
      <c r="N9" s="434">
        <v>1.0</v>
      </c>
      <c r="O9" s="156"/>
      <c r="P9" s="499"/>
      <c r="Q9" s="17"/>
    </row>
    <row r="10">
      <c r="A10" s="11"/>
      <c r="B10" s="506"/>
      <c r="C10" s="507" t="s">
        <v>432</v>
      </c>
      <c r="D10" s="497"/>
      <c r="E10" s="508">
        <v>2.0</v>
      </c>
      <c r="F10" s="508">
        <v>2.0</v>
      </c>
      <c r="G10" s="509">
        <v>2.0</v>
      </c>
      <c r="H10" s="498"/>
      <c r="I10" s="434">
        <v>1.0</v>
      </c>
      <c r="J10" s="55">
        <v>1.0</v>
      </c>
      <c r="K10" s="55">
        <v>1.0</v>
      </c>
      <c r="L10" s="62">
        <v>1.0</v>
      </c>
      <c r="M10" s="501">
        <v>1.0</v>
      </c>
      <c r="N10" s="434">
        <v>2.0</v>
      </c>
      <c r="O10" s="156"/>
      <c r="P10" s="499"/>
      <c r="Q10" s="17"/>
    </row>
    <row r="11">
      <c r="A11" s="11"/>
      <c r="B11" s="506"/>
      <c r="C11" s="510" t="s">
        <v>433</v>
      </c>
      <c r="D11" s="497"/>
      <c r="E11" s="508">
        <v>2.0</v>
      </c>
      <c r="F11" s="508">
        <v>2.0</v>
      </c>
      <c r="G11" s="509">
        <v>2.0</v>
      </c>
      <c r="H11" s="498"/>
      <c r="I11" s="434">
        <v>2.0</v>
      </c>
      <c r="J11" s="55">
        <v>2.0</v>
      </c>
      <c r="K11" s="55">
        <v>2.0</v>
      </c>
      <c r="L11" s="62">
        <v>2.0</v>
      </c>
      <c r="M11" s="505">
        <v>2.0</v>
      </c>
      <c r="N11" s="434">
        <v>1.0</v>
      </c>
      <c r="O11" s="156"/>
      <c r="P11" s="499"/>
      <c r="Q11" s="17"/>
    </row>
    <row r="12">
      <c r="A12" s="11"/>
      <c r="B12" s="506"/>
      <c r="C12" s="511" t="s">
        <v>434</v>
      </c>
      <c r="D12" s="497"/>
      <c r="E12" s="508">
        <v>2.0</v>
      </c>
      <c r="F12" s="508">
        <v>3.0</v>
      </c>
      <c r="G12" s="509">
        <v>2.0</v>
      </c>
      <c r="H12" s="498"/>
      <c r="I12" s="434">
        <v>2.0</v>
      </c>
      <c r="J12" s="55">
        <v>2.0</v>
      </c>
      <c r="K12" s="55">
        <v>2.0</v>
      </c>
      <c r="L12" s="62">
        <v>3.0</v>
      </c>
      <c r="M12" s="512">
        <v>2.0</v>
      </c>
      <c r="N12" s="434">
        <v>1.0</v>
      </c>
      <c r="O12" s="156"/>
      <c r="P12" s="499"/>
      <c r="Q12" s="17"/>
    </row>
    <row r="13">
      <c r="A13" s="11"/>
      <c r="B13" s="506"/>
      <c r="C13" s="513" t="s">
        <v>435</v>
      </c>
      <c r="D13" s="497"/>
      <c r="E13" s="50">
        <v>2.0</v>
      </c>
      <c r="F13" s="50">
        <v>3.0</v>
      </c>
      <c r="G13" s="51">
        <v>2.0</v>
      </c>
      <c r="H13" s="498"/>
      <c r="I13" s="434">
        <v>1.0</v>
      </c>
      <c r="J13" s="55">
        <v>1.0</v>
      </c>
      <c r="K13" s="55">
        <v>1.0</v>
      </c>
      <c r="L13" s="62">
        <v>1.0</v>
      </c>
      <c r="M13" s="501">
        <v>1.0</v>
      </c>
      <c r="N13" s="434">
        <v>1.0</v>
      </c>
      <c r="O13" s="156"/>
      <c r="P13" s="499"/>
      <c r="Q13" s="17"/>
    </row>
    <row r="14">
      <c r="A14" s="11"/>
      <c r="B14" s="506"/>
      <c r="C14" s="514" t="s">
        <v>436</v>
      </c>
      <c r="D14" s="497"/>
      <c r="E14" s="503">
        <v>3.0</v>
      </c>
      <c r="F14" s="503">
        <v>4.0</v>
      </c>
      <c r="G14" s="504">
        <v>3.0</v>
      </c>
      <c r="H14" s="515" t="s">
        <v>437</v>
      </c>
      <c r="I14" s="434">
        <v>4.0</v>
      </c>
      <c r="J14" s="55">
        <v>4.0</v>
      </c>
      <c r="K14" s="55">
        <v>3.0</v>
      </c>
      <c r="L14" s="62">
        <v>3.0</v>
      </c>
      <c r="M14" s="512">
        <v>2.0</v>
      </c>
      <c r="N14" s="434">
        <v>4.0</v>
      </c>
      <c r="O14" s="156"/>
      <c r="P14" s="499"/>
      <c r="Q14" s="17"/>
    </row>
    <row r="15">
      <c r="A15" s="11"/>
      <c r="B15" s="506"/>
      <c r="C15" s="510" t="s">
        <v>438</v>
      </c>
      <c r="D15" s="497"/>
      <c r="E15" s="508">
        <v>0.0</v>
      </c>
      <c r="F15" s="508">
        <v>6.0</v>
      </c>
      <c r="G15" s="509">
        <v>3.0</v>
      </c>
      <c r="H15" s="498"/>
      <c r="I15" s="434">
        <v>1.0</v>
      </c>
      <c r="J15" s="55">
        <v>1.0</v>
      </c>
      <c r="K15" s="55">
        <v>1.0</v>
      </c>
      <c r="L15" s="62">
        <v>2.0</v>
      </c>
      <c r="M15" s="501">
        <v>1.0</v>
      </c>
      <c r="N15" s="434">
        <v>1.0</v>
      </c>
      <c r="O15" s="156"/>
      <c r="P15" s="499"/>
      <c r="Q15" s="17"/>
    </row>
    <row r="16">
      <c r="A16" s="11"/>
      <c r="B16" s="506"/>
      <c r="C16" s="510" t="s">
        <v>439</v>
      </c>
      <c r="D16" s="497"/>
      <c r="E16" s="508">
        <v>2.0</v>
      </c>
      <c r="F16" s="508">
        <v>3.0</v>
      </c>
      <c r="G16" s="509">
        <v>3.0</v>
      </c>
      <c r="H16" s="498"/>
      <c r="I16" s="434">
        <v>1.0</v>
      </c>
      <c r="J16" s="55">
        <v>1.0</v>
      </c>
      <c r="K16" s="55">
        <v>1.0</v>
      </c>
      <c r="L16" s="62">
        <v>1.0</v>
      </c>
      <c r="M16" s="501">
        <v>1.0</v>
      </c>
      <c r="N16" s="434">
        <v>1.0</v>
      </c>
      <c r="O16" s="156"/>
      <c r="P16" s="499"/>
      <c r="Q16" s="17"/>
    </row>
    <row r="17">
      <c r="A17" s="11"/>
      <c r="B17" s="506"/>
      <c r="C17" s="513" t="s">
        <v>440</v>
      </c>
      <c r="D17" s="497"/>
      <c r="E17" s="50">
        <v>5.0</v>
      </c>
      <c r="F17" s="50">
        <v>5.0</v>
      </c>
      <c r="G17" s="51">
        <v>5.0</v>
      </c>
      <c r="H17" s="498"/>
      <c r="I17" s="434">
        <v>2.0</v>
      </c>
      <c r="J17" s="55">
        <v>1.0</v>
      </c>
      <c r="K17" s="55">
        <v>1.0</v>
      </c>
      <c r="L17" s="62">
        <v>1.0</v>
      </c>
      <c r="M17" s="501">
        <v>1.0</v>
      </c>
      <c r="N17" s="434">
        <v>1.0</v>
      </c>
      <c r="O17" s="156"/>
      <c r="P17" s="499"/>
      <c r="Q17" s="17"/>
    </row>
    <row r="18">
      <c r="A18" s="11"/>
      <c r="B18" s="506"/>
      <c r="C18" s="516" t="s">
        <v>441</v>
      </c>
      <c r="D18" s="497"/>
      <c r="E18" s="503">
        <v>2.0</v>
      </c>
      <c r="F18" s="503">
        <v>5.0</v>
      </c>
      <c r="G18" s="504">
        <v>4.0</v>
      </c>
      <c r="H18" s="498"/>
      <c r="I18" s="434">
        <v>1.0</v>
      </c>
      <c r="J18" s="55">
        <v>2.0</v>
      </c>
      <c r="K18" s="55">
        <v>1.0</v>
      </c>
      <c r="L18" s="62">
        <v>1.0</v>
      </c>
      <c r="M18" s="501">
        <v>1.0</v>
      </c>
      <c r="N18" s="434">
        <v>1.0</v>
      </c>
      <c r="O18" s="156"/>
      <c r="P18" s="499"/>
      <c r="Q18" s="17"/>
    </row>
    <row r="19">
      <c r="A19" s="11"/>
      <c r="B19" s="506"/>
      <c r="C19" s="510" t="s">
        <v>442</v>
      </c>
      <c r="D19" s="497" t="s">
        <v>51</v>
      </c>
      <c r="E19" s="508">
        <v>3.0</v>
      </c>
      <c r="F19" s="508">
        <v>4.0</v>
      </c>
      <c r="G19" s="509">
        <v>4.0</v>
      </c>
      <c r="H19" s="498"/>
      <c r="I19" s="434">
        <v>3.0</v>
      </c>
      <c r="J19" s="55">
        <v>2.0</v>
      </c>
      <c r="K19" s="55">
        <v>3.0</v>
      </c>
      <c r="L19" s="62">
        <v>1.0</v>
      </c>
      <c r="M19" s="517">
        <v>3.0</v>
      </c>
      <c r="N19" s="434">
        <v>1.0</v>
      </c>
      <c r="O19" s="156"/>
      <c r="P19" s="499"/>
      <c r="Q19" s="17"/>
    </row>
    <row r="20">
      <c r="A20" s="11"/>
      <c r="B20" s="506"/>
      <c r="C20" s="510" t="s">
        <v>443</v>
      </c>
      <c r="D20" s="497"/>
      <c r="E20" s="508">
        <v>5.0</v>
      </c>
      <c r="F20" s="508">
        <v>5.0</v>
      </c>
      <c r="G20" s="509">
        <v>5.0</v>
      </c>
      <c r="H20" s="518" t="s">
        <v>437</v>
      </c>
      <c r="I20" s="434">
        <v>3.0</v>
      </c>
      <c r="J20" s="55">
        <v>2.0</v>
      </c>
      <c r="K20" s="55">
        <v>2.0</v>
      </c>
      <c r="L20" s="62">
        <v>1.0</v>
      </c>
      <c r="M20" s="505">
        <v>2.0</v>
      </c>
      <c r="N20" s="434">
        <v>2.0</v>
      </c>
      <c r="O20" s="156"/>
      <c r="P20" s="499"/>
      <c r="Q20" s="17"/>
    </row>
    <row r="21">
      <c r="A21" s="11"/>
      <c r="B21" s="506"/>
      <c r="C21" s="516" t="s">
        <v>444</v>
      </c>
      <c r="D21" s="497" t="s">
        <v>22</v>
      </c>
      <c r="E21" s="503">
        <v>6.0</v>
      </c>
      <c r="F21" s="503">
        <v>5.0</v>
      </c>
      <c r="G21" s="504">
        <v>5.0</v>
      </c>
      <c r="H21" s="498"/>
      <c r="I21" s="434">
        <v>2.0</v>
      </c>
      <c r="J21" s="55">
        <v>1.0</v>
      </c>
      <c r="K21" s="55">
        <v>1.0</v>
      </c>
      <c r="L21" s="62">
        <v>1.0</v>
      </c>
      <c r="M21" s="505">
        <v>2.0</v>
      </c>
      <c r="N21" s="434">
        <v>2.0</v>
      </c>
      <c r="O21" s="156"/>
      <c r="P21" s="499"/>
      <c r="Q21" s="17"/>
    </row>
    <row r="22">
      <c r="A22" s="11"/>
      <c r="B22" s="506"/>
      <c r="C22" s="516" t="s">
        <v>445</v>
      </c>
      <c r="D22" s="497"/>
      <c r="E22" s="503">
        <v>4.0</v>
      </c>
      <c r="F22" s="503">
        <v>4.0</v>
      </c>
      <c r="G22" s="504">
        <v>6.0</v>
      </c>
      <c r="H22" s="519" t="s">
        <v>437</v>
      </c>
      <c r="I22" s="434">
        <v>2.0</v>
      </c>
      <c r="J22" s="55">
        <v>1.0</v>
      </c>
      <c r="K22" s="55">
        <v>1.0</v>
      </c>
      <c r="L22" s="62">
        <v>1.0</v>
      </c>
      <c r="M22" s="517">
        <v>3.0</v>
      </c>
      <c r="N22" s="434">
        <v>1.0</v>
      </c>
      <c r="O22" s="156"/>
      <c r="P22" s="499"/>
      <c r="Q22" s="17"/>
    </row>
    <row r="23">
      <c r="A23" s="11"/>
      <c r="B23" s="506"/>
      <c r="C23" s="510" t="s">
        <v>446</v>
      </c>
      <c r="D23" s="497"/>
      <c r="E23" s="508">
        <v>3.0</v>
      </c>
      <c r="F23" s="508">
        <v>6.0</v>
      </c>
      <c r="G23" s="509">
        <v>6.0</v>
      </c>
      <c r="H23" s="498"/>
      <c r="I23" s="434">
        <v>1.0</v>
      </c>
      <c r="J23" s="55">
        <v>1.0</v>
      </c>
      <c r="K23" s="55">
        <v>1.0</v>
      </c>
      <c r="L23" s="62">
        <v>1.0</v>
      </c>
      <c r="M23" s="505">
        <v>2.0</v>
      </c>
      <c r="N23" s="434">
        <v>1.0</v>
      </c>
      <c r="O23" s="156"/>
      <c r="P23" s="499"/>
      <c r="Q23" s="17"/>
    </row>
    <row r="24">
      <c r="A24" s="11"/>
      <c r="B24" s="506"/>
      <c r="C24" s="510" t="s">
        <v>447</v>
      </c>
      <c r="D24" s="497" t="s">
        <v>22</v>
      </c>
      <c r="E24" s="508">
        <v>3.0</v>
      </c>
      <c r="F24" s="508">
        <v>12.0</v>
      </c>
      <c r="G24" s="509">
        <v>7.0</v>
      </c>
      <c r="H24" s="498"/>
      <c r="I24" s="434">
        <v>2.0</v>
      </c>
      <c r="J24" s="55">
        <v>1.0</v>
      </c>
      <c r="K24" s="55">
        <v>2.0</v>
      </c>
      <c r="L24" s="62">
        <v>1.0</v>
      </c>
      <c r="M24" s="505">
        <v>2.0</v>
      </c>
      <c r="N24" s="434">
        <v>2.0</v>
      </c>
      <c r="O24" s="156"/>
      <c r="P24" s="499"/>
      <c r="Q24" s="17"/>
    </row>
    <row r="25">
      <c r="A25" s="11"/>
      <c r="B25" s="506"/>
      <c r="C25" s="520" t="s">
        <v>448</v>
      </c>
      <c r="D25" s="497"/>
      <c r="E25" s="70">
        <v>8.0</v>
      </c>
      <c r="F25" s="70">
        <v>8.0</v>
      </c>
      <c r="G25" s="71">
        <v>10.0</v>
      </c>
      <c r="H25" s="498"/>
      <c r="I25" s="521">
        <v>1.0</v>
      </c>
      <c r="J25" s="76">
        <v>1.0</v>
      </c>
      <c r="K25" s="76">
        <v>1.0</v>
      </c>
      <c r="L25" s="77">
        <v>1.0</v>
      </c>
      <c r="M25" s="522">
        <v>1.0</v>
      </c>
      <c r="N25" s="521">
        <v>1.0</v>
      </c>
      <c r="O25" s="192"/>
      <c r="P25" s="523"/>
      <c r="Q25" s="17"/>
    </row>
    <row r="26">
      <c r="A26" s="11"/>
      <c r="B26" s="524"/>
      <c r="C26" s="136"/>
      <c r="D26" s="525"/>
      <c r="E26" s="85"/>
      <c r="F26" s="85"/>
      <c r="G26" s="86"/>
      <c r="H26" s="498"/>
      <c r="I26" s="87" t="s">
        <v>1</v>
      </c>
      <c r="J26" s="88" t="s">
        <v>2</v>
      </c>
      <c r="K26" s="140" t="s">
        <v>426</v>
      </c>
      <c r="L26" s="93" t="s">
        <v>208</v>
      </c>
      <c r="M26" s="494" t="s">
        <v>3</v>
      </c>
      <c r="N26" s="526" t="s">
        <v>4</v>
      </c>
      <c r="O26" s="88" t="s">
        <v>210</v>
      </c>
      <c r="P26" s="88" t="s">
        <v>427</v>
      </c>
      <c r="Q26" s="17"/>
    </row>
    <row r="27">
      <c r="A27" s="11"/>
      <c r="B27" s="97"/>
      <c r="C27" s="516" t="s">
        <v>449</v>
      </c>
      <c r="D27" s="527"/>
      <c r="E27" s="503">
        <v>1.0</v>
      </c>
      <c r="F27" s="503">
        <v>4.0</v>
      </c>
      <c r="G27" s="504">
        <v>2.0</v>
      </c>
      <c r="H27" s="498"/>
      <c r="I27" s="434">
        <v>2.0</v>
      </c>
      <c r="J27" s="55">
        <v>2.0</v>
      </c>
      <c r="K27" s="55">
        <v>2.0</v>
      </c>
      <c r="L27" s="55">
        <v>2.0</v>
      </c>
      <c r="M27" s="370">
        <v>3.0</v>
      </c>
      <c r="N27" s="55">
        <v>1.0</v>
      </c>
      <c r="O27" s="146"/>
      <c r="P27" s="499"/>
      <c r="Q27" s="17"/>
    </row>
    <row r="28">
      <c r="A28" s="11"/>
      <c r="B28" s="97"/>
      <c r="C28" s="513" t="s">
        <v>450</v>
      </c>
      <c r="D28" s="497"/>
      <c r="E28" s="50">
        <v>3.0</v>
      </c>
      <c r="F28" s="50">
        <v>4.0</v>
      </c>
      <c r="G28" s="51">
        <v>3.0</v>
      </c>
      <c r="H28" s="498"/>
      <c r="I28" s="434">
        <v>1.0</v>
      </c>
      <c r="J28" s="55">
        <v>1.0</v>
      </c>
      <c r="K28" s="55">
        <v>1.0</v>
      </c>
      <c r="L28" s="55">
        <v>1.0</v>
      </c>
      <c r="M28" s="501">
        <v>1.0</v>
      </c>
      <c r="N28" s="55">
        <v>1.0</v>
      </c>
      <c r="O28" s="156"/>
      <c r="P28" s="499"/>
      <c r="Q28" s="17"/>
    </row>
    <row r="29">
      <c r="A29" s="11"/>
      <c r="B29" s="97"/>
      <c r="C29" s="516" t="s">
        <v>451</v>
      </c>
      <c r="D29" s="527"/>
      <c r="E29" s="503">
        <v>4.0</v>
      </c>
      <c r="F29" s="503">
        <v>5.0</v>
      </c>
      <c r="G29" s="504">
        <v>4.0</v>
      </c>
      <c r="H29" s="498"/>
      <c r="I29" s="434">
        <v>3.0</v>
      </c>
      <c r="J29" s="55">
        <v>2.0</v>
      </c>
      <c r="K29" s="55">
        <v>2.0</v>
      </c>
      <c r="L29" s="55">
        <v>2.0</v>
      </c>
      <c r="M29" s="505">
        <v>2.0</v>
      </c>
      <c r="N29" s="55">
        <v>1.0</v>
      </c>
      <c r="O29" s="156"/>
      <c r="P29" s="499"/>
      <c r="Q29" s="17"/>
    </row>
    <row r="30">
      <c r="A30" s="11"/>
      <c r="B30" s="97"/>
      <c r="C30" s="510" t="s">
        <v>452</v>
      </c>
      <c r="D30" s="528"/>
      <c r="E30" s="508">
        <v>3.0</v>
      </c>
      <c r="F30" s="508">
        <v>5.0</v>
      </c>
      <c r="G30" s="509">
        <v>5.0</v>
      </c>
      <c r="H30" s="498"/>
      <c r="I30" s="434">
        <v>3.0</v>
      </c>
      <c r="J30" s="55">
        <v>3.0</v>
      </c>
      <c r="K30" s="55">
        <v>3.0</v>
      </c>
      <c r="L30" s="55">
        <v>3.0</v>
      </c>
      <c r="M30" s="505">
        <v>2.0</v>
      </c>
      <c r="N30" s="55">
        <v>3.0</v>
      </c>
      <c r="O30" s="156"/>
      <c r="P30" s="499"/>
      <c r="Q30" s="17"/>
    </row>
    <row r="31">
      <c r="A31" s="11"/>
      <c r="B31" s="97"/>
      <c r="C31" s="520" t="s">
        <v>453</v>
      </c>
      <c r="D31" s="529" t="s">
        <v>20</v>
      </c>
      <c r="E31" s="70">
        <v>5.0</v>
      </c>
      <c r="F31" s="70">
        <v>5.0</v>
      </c>
      <c r="G31" s="71">
        <v>5.0</v>
      </c>
      <c r="H31" s="519" t="s">
        <v>437</v>
      </c>
      <c r="I31" s="434">
        <v>4.0</v>
      </c>
      <c r="J31" s="55">
        <v>2.0</v>
      </c>
      <c r="K31" s="55">
        <v>2.0</v>
      </c>
      <c r="L31" s="55">
        <v>4.0</v>
      </c>
      <c r="M31" s="530">
        <v>4.0</v>
      </c>
      <c r="N31" s="55">
        <v>2.0</v>
      </c>
      <c r="O31" s="156"/>
      <c r="P31" s="499"/>
      <c r="Q31" s="17"/>
    </row>
    <row r="32">
      <c r="A32" s="11"/>
      <c r="B32" s="378"/>
      <c r="C32" s="531" t="s">
        <v>454</v>
      </c>
      <c r="D32" s="532" t="s">
        <v>455</v>
      </c>
      <c r="E32" s="50">
        <v>2.0</v>
      </c>
      <c r="F32" s="50">
        <v>4.0</v>
      </c>
      <c r="G32" s="65">
        <v>3.0</v>
      </c>
      <c r="H32" s="498"/>
      <c r="I32" s="434">
        <v>1.0</v>
      </c>
      <c r="J32" s="55">
        <v>2.0</v>
      </c>
      <c r="K32" s="55">
        <v>2.0</v>
      </c>
      <c r="L32" s="55">
        <v>1.0</v>
      </c>
      <c r="M32" s="501">
        <v>1.0</v>
      </c>
      <c r="N32" s="55">
        <v>1.0</v>
      </c>
      <c r="O32" s="156"/>
      <c r="P32" s="499"/>
      <c r="Q32" s="17"/>
    </row>
    <row r="33">
      <c r="A33" s="11"/>
      <c r="B33" s="378"/>
      <c r="C33" s="531" t="s">
        <v>456</v>
      </c>
      <c r="D33" s="532"/>
      <c r="E33" s="50">
        <v>4.0</v>
      </c>
      <c r="F33" s="50">
        <v>4.0</v>
      </c>
      <c r="G33" s="65">
        <v>4.0</v>
      </c>
      <c r="H33" s="498"/>
      <c r="I33" s="434">
        <v>2.0</v>
      </c>
      <c r="J33" s="55">
        <v>2.0</v>
      </c>
      <c r="K33" s="55">
        <v>2.0</v>
      </c>
      <c r="L33" s="55">
        <v>1.0</v>
      </c>
      <c r="M33" s="501">
        <v>1.0</v>
      </c>
      <c r="N33" s="55">
        <v>2.0</v>
      </c>
      <c r="O33" s="156"/>
      <c r="P33" s="499"/>
      <c r="Q33" s="17"/>
    </row>
    <row r="34">
      <c r="A34" s="11"/>
      <c r="B34" s="378"/>
      <c r="C34" s="531" t="s">
        <v>457</v>
      </c>
      <c r="D34" s="532"/>
      <c r="E34" s="50">
        <v>2.0</v>
      </c>
      <c r="F34" s="50">
        <v>2.0</v>
      </c>
      <c r="G34" s="65">
        <v>7.0</v>
      </c>
      <c r="H34" s="498"/>
      <c r="I34" s="434">
        <v>1.0</v>
      </c>
      <c r="J34" s="55">
        <v>1.0</v>
      </c>
      <c r="K34" s="55">
        <v>1.0</v>
      </c>
      <c r="L34" s="55">
        <v>1.0</v>
      </c>
      <c r="M34" s="501">
        <v>1.0</v>
      </c>
      <c r="N34" s="55">
        <v>1.0</v>
      </c>
      <c r="O34" s="156"/>
      <c r="P34" s="499"/>
      <c r="Q34" s="17"/>
    </row>
    <row r="35">
      <c r="A35" s="11"/>
      <c r="B35" s="378"/>
      <c r="C35" s="531" t="s">
        <v>458</v>
      </c>
      <c r="D35" s="532"/>
      <c r="E35" s="50">
        <v>4.0</v>
      </c>
      <c r="F35" s="50">
        <v>4.0</v>
      </c>
      <c r="G35" s="65">
        <v>9.0</v>
      </c>
      <c r="H35" s="519" t="s">
        <v>437</v>
      </c>
      <c r="I35" s="434">
        <v>1.0</v>
      </c>
      <c r="J35" s="55">
        <v>1.0</v>
      </c>
      <c r="K35" s="55">
        <v>1.0</v>
      </c>
      <c r="L35" s="55">
        <v>3.0</v>
      </c>
      <c r="M35" s="505">
        <v>2.0</v>
      </c>
      <c r="N35" s="55">
        <v>2.0</v>
      </c>
      <c r="O35" s="156"/>
      <c r="P35" s="499"/>
      <c r="Q35" s="17"/>
    </row>
    <row r="36">
      <c r="A36" s="11"/>
      <c r="B36" s="378"/>
      <c r="C36" s="516" t="s">
        <v>459</v>
      </c>
      <c r="D36" s="527"/>
      <c r="E36" s="503">
        <v>7.0</v>
      </c>
      <c r="F36" s="503">
        <v>9.0</v>
      </c>
      <c r="G36" s="504">
        <v>8.0</v>
      </c>
      <c r="H36" s="498"/>
      <c r="I36" s="434">
        <v>1.0</v>
      </c>
      <c r="J36" s="55">
        <v>1.0</v>
      </c>
      <c r="K36" s="55">
        <v>2.0</v>
      </c>
      <c r="L36" s="55">
        <v>1.0</v>
      </c>
      <c r="M36" s="533">
        <v>0.0</v>
      </c>
      <c r="N36" s="55">
        <v>1.0</v>
      </c>
      <c r="O36" s="156"/>
      <c r="P36" s="499"/>
      <c r="Q36" s="17"/>
    </row>
    <row r="37">
      <c r="A37" s="11"/>
      <c r="B37" s="534"/>
      <c r="C37" s="531" t="s">
        <v>460</v>
      </c>
      <c r="D37" s="532" t="s">
        <v>51</v>
      </c>
      <c r="E37" s="50">
        <v>3.0</v>
      </c>
      <c r="F37" s="50">
        <v>4.0</v>
      </c>
      <c r="G37" s="65">
        <v>3.0</v>
      </c>
      <c r="H37" s="498"/>
      <c r="I37" s="434">
        <v>2.0</v>
      </c>
      <c r="J37" s="55">
        <v>2.0</v>
      </c>
      <c r="K37" s="55">
        <v>2.0</v>
      </c>
      <c r="L37" s="55">
        <v>1.0</v>
      </c>
      <c r="M37" s="501">
        <v>1.0</v>
      </c>
      <c r="N37" s="55">
        <v>1.0</v>
      </c>
      <c r="O37" s="156"/>
      <c r="P37" s="499"/>
      <c r="Q37" s="17"/>
    </row>
    <row r="38">
      <c r="A38" s="11"/>
      <c r="B38" s="534"/>
      <c r="C38" s="531" t="s">
        <v>461</v>
      </c>
      <c r="D38" s="532"/>
      <c r="E38" s="50">
        <v>3.0</v>
      </c>
      <c r="F38" s="50">
        <v>4.0</v>
      </c>
      <c r="G38" s="65">
        <v>3.0</v>
      </c>
      <c r="H38" s="498"/>
      <c r="I38" s="434">
        <v>5.0</v>
      </c>
      <c r="J38" s="55">
        <v>4.0</v>
      </c>
      <c r="K38" s="55">
        <v>5.0</v>
      </c>
      <c r="L38" s="55">
        <v>4.0</v>
      </c>
      <c r="M38" s="535">
        <v>5.0</v>
      </c>
      <c r="N38" s="55">
        <v>5.0</v>
      </c>
      <c r="O38" s="156"/>
      <c r="P38" s="499"/>
      <c r="Q38" s="17"/>
    </row>
    <row r="39">
      <c r="A39" s="11"/>
      <c r="B39" s="534"/>
      <c r="C39" s="531" t="s">
        <v>462</v>
      </c>
      <c r="D39" s="532"/>
      <c r="E39" s="50">
        <v>3.0</v>
      </c>
      <c r="F39" s="50">
        <v>3.0</v>
      </c>
      <c r="G39" s="65">
        <v>4.0</v>
      </c>
      <c r="H39" s="536" t="s">
        <v>437</v>
      </c>
      <c r="I39" s="434">
        <v>4.0</v>
      </c>
      <c r="J39" s="55">
        <v>2.0</v>
      </c>
      <c r="K39" s="55">
        <v>3.0</v>
      </c>
      <c r="L39" s="55">
        <v>2.0</v>
      </c>
      <c r="M39" s="530">
        <v>4.0</v>
      </c>
      <c r="N39" s="55">
        <v>2.0</v>
      </c>
      <c r="O39" s="156"/>
      <c r="P39" s="499"/>
      <c r="Q39" s="17"/>
    </row>
    <row r="40">
      <c r="A40" s="11"/>
      <c r="B40" s="534"/>
      <c r="C40" s="531" t="s">
        <v>463</v>
      </c>
      <c r="D40" s="532"/>
      <c r="E40" s="439">
        <v>4.0</v>
      </c>
      <c r="F40" s="439">
        <v>7.0</v>
      </c>
      <c r="G40" s="537">
        <v>6.0</v>
      </c>
      <c r="H40" s="519" t="s">
        <v>437</v>
      </c>
      <c r="I40" s="434">
        <v>3.0</v>
      </c>
      <c r="J40" s="55">
        <v>2.0</v>
      </c>
      <c r="K40" s="55">
        <v>2.0</v>
      </c>
      <c r="L40" s="55">
        <v>2.0</v>
      </c>
      <c r="M40" s="501">
        <v>1.0</v>
      </c>
      <c r="N40" s="55">
        <v>2.0</v>
      </c>
      <c r="O40" s="156"/>
      <c r="P40" s="499"/>
      <c r="Q40" s="17"/>
    </row>
    <row r="41">
      <c r="A41" s="11"/>
      <c r="B41" s="534"/>
      <c r="C41" s="531" t="s">
        <v>464</v>
      </c>
      <c r="D41" s="532"/>
      <c r="E41" s="439">
        <v>10.0</v>
      </c>
      <c r="F41" s="439">
        <v>10.0</v>
      </c>
      <c r="G41" s="537">
        <v>10.0</v>
      </c>
      <c r="H41" s="519" t="s">
        <v>437</v>
      </c>
      <c r="I41" s="521">
        <v>5.0</v>
      </c>
      <c r="J41" s="76">
        <v>4.0</v>
      </c>
      <c r="K41" s="76">
        <v>4.0</v>
      </c>
      <c r="L41" s="76">
        <v>4.0</v>
      </c>
      <c r="M41" s="530">
        <v>4.0</v>
      </c>
      <c r="N41" s="76">
        <v>4.0</v>
      </c>
      <c r="O41" s="192"/>
      <c r="P41" s="523"/>
      <c r="Q41" s="17"/>
    </row>
    <row r="42">
      <c r="A42" s="11"/>
      <c r="B42" s="121"/>
      <c r="C42" s="195" t="s">
        <v>83</v>
      </c>
      <c r="D42" s="125"/>
      <c r="E42" s="125"/>
      <c r="F42" s="125"/>
      <c r="G42" s="125"/>
      <c r="H42" s="538"/>
      <c r="I42" s="127"/>
      <c r="J42" s="128"/>
      <c r="K42" s="128"/>
      <c r="L42" s="445"/>
      <c r="M42" s="539"/>
      <c r="N42" s="127"/>
      <c r="O42" s="130"/>
      <c r="P42" s="128"/>
      <c r="Q42" s="17"/>
    </row>
    <row r="43">
      <c r="A43" s="11"/>
      <c r="B43" s="524"/>
      <c r="C43" s="136"/>
      <c r="D43" s="525"/>
      <c r="E43" s="85"/>
      <c r="F43" s="85"/>
      <c r="G43" s="86"/>
      <c r="H43" s="498"/>
      <c r="I43" s="87" t="s">
        <v>1</v>
      </c>
      <c r="J43" s="88" t="s">
        <v>2</v>
      </c>
      <c r="K43" s="140" t="s">
        <v>426</v>
      </c>
      <c r="L43" s="93" t="s">
        <v>208</v>
      </c>
      <c r="M43" s="494" t="s">
        <v>3</v>
      </c>
      <c r="N43" s="526" t="s">
        <v>4</v>
      </c>
      <c r="O43" s="88" t="s">
        <v>210</v>
      </c>
      <c r="P43" s="88" t="s">
        <v>427</v>
      </c>
      <c r="Q43" s="17"/>
    </row>
    <row r="44">
      <c r="A44" s="11"/>
      <c r="B44" s="540" t="s">
        <v>64</v>
      </c>
      <c r="C44" s="531" t="s">
        <v>465</v>
      </c>
      <c r="D44" s="541" t="s">
        <v>77</v>
      </c>
      <c r="E44" s="67">
        <v>2.0</v>
      </c>
      <c r="F44" s="68">
        <v>3.0</v>
      </c>
      <c r="G44" s="69">
        <v>3.0</v>
      </c>
      <c r="H44" s="498"/>
      <c r="I44" s="432">
        <v>2.0</v>
      </c>
      <c r="J44" s="54">
        <v>1.0</v>
      </c>
      <c r="K44" s="54">
        <v>1.0</v>
      </c>
      <c r="L44" s="54">
        <v>2.0</v>
      </c>
      <c r="M44" s="449">
        <v>1.0</v>
      </c>
      <c r="N44" s="54">
        <v>2.0</v>
      </c>
      <c r="O44" s="146"/>
      <c r="P44" s="542"/>
      <c r="Q44" s="17"/>
    </row>
    <row r="45">
      <c r="A45" s="11"/>
      <c r="C45" s="531" t="s">
        <v>466</v>
      </c>
      <c r="D45" s="541"/>
      <c r="E45" s="67">
        <v>1.0</v>
      </c>
      <c r="F45" s="68">
        <v>4.0</v>
      </c>
      <c r="G45" s="69">
        <v>2.0</v>
      </c>
      <c r="H45" s="498"/>
      <c r="I45" s="434">
        <v>2.0</v>
      </c>
      <c r="J45" s="55">
        <v>2.0</v>
      </c>
      <c r="K45" s="55">
        <v>2.0</v>
      </c>
      <c r="L45" s="55">
        <v>3.0</v>
      </c>
      <c r="M45" s="543">
        <v>1.0</v>
      </c>
      <c r="N45" s="55">
        <v>3.0</v>
      </c>
      <c r="O45" s="156"/>
      <c r="P45" s="499"/>
      <c r="Q45" s="17"/>
    </row>
    <row r="46">
      <c r="A46" s="11"/>
      <c r="B46" s="544"/>
      <c r="C46" s="531" t="s">
        <v>467</v>
      </c>
      <c r="D46" s="541"/>
      <c r="E46" s="67">
        <v>1.0</v>
      </c>
      <c r="F46" s="68">
        <v>4.0</v>
      </c>
      <c r="G46" s="69">
        <v>2.0</v>
      </c>
      <c r="H46" s="519" t="s">
        <v>437</v>
      </c>
      <c r="I46" s="434">
        <v>2.0</v>
      </c>
      <c r="J46" s="55">
        <v>2.0</v>
      </c>
      <c r="K46" s="55">
        <v>2.0</v>
      </c>
      <c r="L46" s="55">
        <v>1.0</v>
      </c>
      <c r="M46" s="543">
        <v>1.0</v>
      </c>
      <c r="N46" s="55">
        <v>1.0</v>
      </c>
      <c r="O46" s="156"/>
      <c r="P46" s="499"/>
      <c r="Q46" s="17"/>
    </row>
    <row r="47">
      <c r="A47" s="11"/>
      <c r="B47" s="545"/>
      <c r="C47" s="546" t="s">
        <v>468</v>
      </c>
      <c r="D47" s="547" t="s">
        <v>67</v>
      </c>
      <c r="E47" s="250"/>
      <c r="F47" s="251"/>
      <c r="G47" s="205">
        <v>1.0</v>
      </c>
      <c r="H47" s="498"/>
      <c r="I47" s="434">
        <v>2.0</v>
      </c>
      <c r="J47" s="55">
        <v>2.0</v>
      </c>
      <c r="K47" s="55">
        <v>1.0</v>
      </c>
      <c r="L47" s="55">
        <v>1.0</v>
      </c>
      <c r="M47" s="548">
        <v>2.0</v>
      </c>
      <c r="N47" s="55">
        <v>2.0</v>
      </c>
      <c r="O47" s="156"/>
      <c r="P47" s="499"/>
      <c r="Q47" s="17"/>
    </row>
    <row r="48">
      <c r="A48" s="11"/>
      <c r="C48" s="531" t="s">
        <v>469</v>
      </c>
      <c r="D48" s="541" t="s">
        <v>60</v>
      </c>
      <c r="E48" s="67">
        <v>3.0</v>
      </c>
      <c r="F48" s="68">
        <v>4.0</v>
      </c>
      <c r="G48" s="69">
        <v>3.0</v>
      </c>
      <c r="H48" s="498"/>
      <c r="I48" s="434">
        <v>1.0</v>
      </c>
      <c r="J48" s="55">
        <v>1.0</v>
      </c>
      <c r="K48" s="55">
        <v>1.0</v>
      </c>
      <c r="L48" s="55">
        <v>1.0</v>
      </c>
      <c r="M48" s="543">
        <v>1.0</v>
      </c>
      <c r="N48" s="55">
        <v>1.0</v>
      </c>
      <c r="O48" s="156"/>
      <c r="P48" s="499"/>
      <c r="Q48" s="17"/>
    </row>
    <row r="49">
      <c r="A49" s="11"/>
      <c r="B49" s="22"/>
      <c r="C49" s="549" t="s">
        <v>470</v>
      </c>
      <c r="D49" s="550" t="s">
        <v>71</v>
      </c>
      <c r="E49" s="231"/>
      <c r="F49" s="232"/>
      <c r="G49" s="208">
        <v>2.0</v>
      </c>
      <c r="H49" s="498"/>
      <c r="I49" s="434">
        <v>1.0</v>
      </c>
      <c r="J49" s="55">
        <v>1.0</v>
      </c>
      <c r="K49" s="55">
        <v>1.0</v>
      </c>
      <c r="L49" s="55">
        <v>1.0</v>
      </c>
      <c r="M49" s="543">
        <v>1.0</v>
      </c>
      <c r="N49" s="55">
        <v>1.0</v>
      </c>
      <c r="O49" s="156"/>
      <c r="P49" s="499"/>
      <c r="Q49" s="17"/>
    </row>
    <row r="50">
      <c r="A50" s="11"/>
      <c r="B50" s="551"/>
      <c r="C50" s="552" t="s">
        <v>471</v>
      </c>
      <c r="D50" s="547" t="s">
        <v>71</v>
      </c>
      <c r="E50" s="250"/>
      <c r="F50" s="251"/>
      <c r="G50" s="205">
        <v>4.0</v>
      </c>
      <c r="H50" s="553"/>
      <c r="I50" s="434">
        <v>1.0</v>
      </c>
      <c r="J50" s="55">
        <v>1.0</v>
      </c>
      <c r="K50" s="55">
        <v>1.0</v>
      </c>
      <c r="L50" s="55">
        <v>2.0</v>
      </c>
      <c r="M50" s="548">
        <v>2.0</v>
      </c>
      <c r="N50" s="55">
        <v>3.0</v>
      </c>
      <c r="O50" s="156"/>
      <c r="P50" s="499"/>
      <c r="Q50" s="17"/>
    </row>
    <row r="51">
      <c r="A51" s="11"/>
      <c r="B51" s="22"/>
      <c r="C51" s="554" t="s">
        <v>472</v>
      </c>
      <c r="D51" s="555" t="s">
        <v>71</v>
      </c>
      <c r="E51" s="556"/>
      <c r="F51" s="557"/>
      <c r="G51" s="558">
        <v>2.0</v>
      </c>
      <c r="H51" s="498"/>
      <c r="I51" s="434">
        <v>1.0</v>
      </c>
      <c r="J51" s="55">
        <v>1.0</v>
      </c>
      <c r="K51" s="55">
        <v>3.0</v>
      </c>
      <c r="L51" s="55">
        <v>3.0</v>
      </c>
      <c r="M51" s="501">
        <v>1.0</v>
      </c>
      <c r="N51" s="55">
        <v>2.0</v>
      </c>
      <c r="O51" s="156"/>
      <c r="P51" s="499"/>
      <c r="Q51" s="17"/>
    </row>
    <row r="52">
      <c r="A52" s="11"/>
      <c r="B52" s="115"/>
      <c r="C52" s="496" t="s">
        <v>473</v>
      </c>
      <c r="D52" s="541" t="s">
        <v>77</v>
      </c>
      <c r="E52" s="67">
        <v>4.0</v>
      </c>
      <c r="F52" s="68">
        <v>10.0</v>
      </c>
      <c r="G52" s="69">
        <v>7.0</v>
      </c>
      <c r="H52" s="519" t="s">
        <v>437</v>
      </c>
      <c r="I52" s="434">
        <v>4.0</v>
      </c>
      <c r="J52" s="55">
        <v>2.0</v>
      </c>
      <c r="K52" s="55">
        <v>4.0</v>
      </c>
      <c r="L52" s="76">
        <v>4.0</v>
      </c>
      <c r="M52" s="548">
        <v>2.0</v>
      </c>
      <c r="N52" s="55">
        <v>4.0</v>
      </c>
      <c r="O52" s="156"/>
      <c r="P52" s="499"/>
      <c r="Q52" s="17"/>
    </row>
    <row r="53">
      <c r="A53" s="11"/>
      <c r="B53" s="22"/>
      <c r="C53" s="559" t="s">
        <v>474</v>
      </c>
      <c r="D53" s="550"/>
      <c r="E53" s="231">
        <v>3.0</v>
      </c>
      <c r="F53" s="232">
        <v>7.0</v>
      </c>
      <c r="G53" s="208">
        <v>6.0</v>
      </c>
      <c r="H53" s="519" t="s">
        <v>437</v>
      </c>
      <c r="I53" s="441">
        <v>4.0</v>
      </c>
      <c r="J53" s="76">
        <v>2.0</v>
      </c>
      <c r="K53" s="76">
        <v>3.0</v>
      </c>
      <c r="L53" s="76">
        <v>3.0</v>
      </c>
      <c r="M53" s="548">
        <v>2.0</v>
      </c>
      <c r="N53" s="76">
        <v>4.0</v>
      </c>
      <c r="O53" s="192"/>
      <c r="P53" s="560"/>
      <c r="Q53" s="17"/>
    </row>
    <row r="54">
      <c r="A54" s="11"/>
      <c r="B54" s="121"/>
      <c r="C54" s="195" t="s">
        <v>95</v>
      </c>
      <c r="D54" s="125"/>
      <c r="E54" s="125"/>
      <c r="F54" s="125"/>
      <c r="G54" s="125"/>
      <c r="H54" s="538"/>
      <c r="I54" s="127"/>
      <c r="J54" s="561"/>
      <c r="K54" s="561"/>
      <c r="L54" s="562"/>
      <c r="M54" s="539"/>
      <c r="N54" s="563"/>
      <c r="O54" s="130"/>
      <c r="P54" s="128"/>
      <c r="Q54" s="17"/>
    </row>
    <row r="55">
      <c r="A55" s="11"/>
      <c r="B55" s="135"/>
      <c r="C55" s="136"/>
      <c r="D55" s="525"/>
      <c r="E55" s="85"/>
      <c r="F55" s="85"/>
      <c r="G55" s="86"/>
      <c r="H55" s="498"/>
      <c r="I55" s="88" t="s">
        <v>1</v>
      </c>
      <c r="J55" s="88" t="s">
        <v>2</v>
      </c>
      <c r="K55" s="140" t="s">
        <v>426</v>
      </c>
      <c r="L55" s="93" t="s">
        <v>208</v>
      </c>
      <c r="M55" s="494" t="s">
        <v>3</v>
      </c>
      <c r="N55" s="526" t="s">
        <v>4</v>
      </c>
      <c r="O55" s="88" t="s">
        <v>210</v>
      </c>
      <c r="P55" s="88" t="s">
        <v>427</v>
      </c>
      <c r="Q55" s="17"/>
    </row>
    <row r="56">
      <c r="A56" s="11"/>
      <c r="B56" s="540"/>
      <c r="C56" s="531" t="s">
        <v>475</v>
      </c>
      <c r="D56" s="541" t="s">
        <v>22</v>
      </c>
      <c r="E56" s="67">
        <v>3.0</v>
      </c>
      <c r="F56" s="68">
        <v>3.0</v>
      </c>
      <c r="G56" s="69">
        <v>3.0</v>
      </c>
      <c r="H56" s="498"/>
      <c r="I56" s="432">
        <v>1.0</v>
      </c>
      <c r="J56" s="54">
        <v>1.0</v>
      </c>
      <c r="K56" s="54">
        <v>1.0</v>
      </c>
      <c r="L56" s="54">
        <v>1.0</v>
      </c>
      <c r="M56" s="449">
        <v>1.0</v>
      </c>
      <c r="N56" s="54">
        <v>1.0</v>
      </c>
      <c r="O56" s="426"/>
      <c r="P56" s="542"/>
      <c r="Q56" s="17"/>
    </row>
    <row r="57">
      <c r="A57" s="11"/>
      <c r="C57" s="531" t="s">
        <v>476</v>
      </c>
      <c r="D57" s="541" t="s">
        <v>104</v>
      </c>
      <c r="E57" s="67"/>
      <c r="F57" s="68"/>
      <c r="G57" s="69">
        <v>5.0</v>
      </c>
      <c r="H57" s="498"/>
      <c r="I57" s="434">
        <v>1.0</v>
      </c>
      <c r="J57" s="55">
        <v>2.0</v>
      </c>
      <c r="K57" s="55">
        <v>1.0</v>
      </c>
      <c r="L57" s="55">
        <v>1.0</v>
      </c>
      <c r="M57" s="543">
        <v>1.0</v>
      </c>
      <c r="N57" s="55">
        <v>1.0</v>
      </c>
      <c r="O57" s="55"/>
      <c r="P57" s="499"/>
      <c r="Q57" s="17"/>
    </row>
    <row r="58">
      <c r="A58" s="11"/>
      <c r="B58" s="22"/>
      <c r="C58" s="564" t="s">
        <v>477</v>
      </c>
      <c r="D58" s="565"/>
      <c r="E58" s="201"/>
      <c r="F58" s="202"/>
      <c r="G58" s="203"/>
      <c r="H58" s="498"/>
      <c r="I58" s="434">
        <v>4.0</v>
      </c>
      <c r="J58" s="55">
        <v>4.0</v>
      </c>
      <c r="K58" s="55">
        <v>4.0</v>
      </c>
      <c r="L58" s="55">
        <v>3.0</v>
      </c>
      <c r="M58" s="566">
        <v>3.0</v>
      </c>
      <c r="N58" s="55">
        <v>3.0</v>
      </c>
      <c r="O58" s="428"/>
      <c r="P58" s="499"/>
      <c r="Q58" s="17"/>
    </row>
    <row r="59">
      <c r="A59" s="11"/>
      <c r="B59" s="166"/>
      <c r="C59" s="531" t="s">
        <v>478</v>
      </c>
      <c r="D59" s="541" t="s">
        <v>67</v>
      </c>
      <c r="E59" s="67"/>
      <c r="F59" s="68"/>
      <c r="G59" s="69">
        <v>2.0</v>
      </c>
      <c r="H59" s="498"/>
      <c r="I59" s="434">
        <v>4.0</v>
      </c>
      <c r="J59" s="55">
        <v>4.0</v>
      </c>
      <c r="K59" s="55">
        <v>4.0</v>
      </c>
      <c r="L59" s="55">
        <v>3.0</v>
      </c>
      <c r="M59" s="566">
        <v>3.0</v>
      </c>
      <c r="N59" s="55">
        <v>4.0</v>
      </c>
      <c r="O59" s="55"/>
      <c r="P59" s="499"/>
      <c r="Q59" s="17"/>
    </row>
    <row r="60">
      <c r="A60" s="11"/>
      <c r="C60" s="531" t="s">
        <v>479</v>
      </c>
      <c r="D60" s="541" t="s">
        <v>97</v>
      </c>
      <c r="E60" s="67">
        <v>3.0</v>
      </c>
      <c r="F60" s="68">
        <v>3.0</v>
      </c>
      <c r="G60" s="69">
        <v>4.0</v>
      </c>
      <c r="H60" s="498"/>
      <c r="I60" s="434">
        <v>3.0</v>
      </c>
      <c r="J60" s="55">
        <v>4.0</v>
      </c>
      <c r="K60" s="55">
        <v>4.0</v>
      </c>
      <c r="L60" s="55">
        <v>4.0</v>
      </c>
      <c r="M60" s="567">
        <v>4.0</v>
      </c>
      <c r="N60" s="55">
        <v>3.0</v>
      </c>
      <c r="O60" s="55"/>
      <c r="P60" s="499"/>
      <c r="Q60" s="17"/>
    </row>
    <row r="61">
      <c r="A61" s="11"/>
      <c r="B61" s="22"/>
      <c r="C61" s="568" t="s">
        <v>480</v>
      </c>
      <c r="D61" s="555" t="s">
        <v>104</v>
      </c>
      <c r="E61" s="556"/>
      <c r="F61" s="557"/>
      <c r="G61" s="558">
        <v>3.0</v>
      </c>
      <c r="H61" s="498"/>
      <c r="I61" s="434">
        <v>1.0</v>
      </c>
      <c r="J61" s="55">
        <v>1.0</v>
      </c>
      <c r="K61" s="55">
        <v>1.0</v>
      </c>
      <c r="L61" s="55">
        <v>1.0</v>
      </c>
      <c r="M61" s="566">
        <v>3.0</v>
      </c>
      <c r="N61" s="55">
        <v>1.0</v>
      </c>
      <c r="O61" s="55"/>
      <c r="P61" s="499"/>
      <c r="Q61" s="17"/>
    </row>
    <row r="62">
      <c r="A62" s="11"/>
      <c r="B62" s="551"/>
      <c r="C62" s="496" t="s">
        <v>481</v>
      </c>
      <c r="D62" s="541" t="s">
        <v>71</v>
      </c>
      <c r="E62" s="67"/>
      <c r="F62" s="68"/>
      <c r="G62" s="69">
        <v>3.0</v>
      </c>
      <c r="H62" s="498"/>
      <c r="I62" s="434">
        <v>1.0</v>
      </c>
      <c r="J62" s="55">
        <v>1.0</v>
      </c>
      <c r="K62" s="55">
        <v>1.0</v>
      </c>
      <c r="L62" s="55">
        <v>1.0</v>
      </c>
      <c r="M62" s="569">
        <v>1.0</v>
      </c>
      <c r="N62" s="55">
        <v>1.0</v>
      </c>
      <c r="O62" s="55"/>
      <c r="P62" s="499"/>
      <c r="Q62" s="17"/>
    </row>
    <row r="63">
      <c r="A63" s="11"/>
      <c r="B63" s="22"/>
      <c r="C63" s="554" t="s">
        <v>482</v>
      </c>
      <c r="D63" s="555" t="s">
        <v>104</v>
      </c>
      <c r="E63" s="556"/>
      <c r="F63" s="557"/>
      <c r="G63" s="558">
        <v>2.0</v>
      </c>
      <c r="H63" s="498"/>
      <c r="I63" s="434">
        <v>4.0</v>
      </c>
      <c r="J63" s="55">
        <v>5.0</v>
      </c>
      <c r="K63" s="55">
        <v>5.0</v>
      </c>
      <c r="L63" s="55">
        <v>5.0</v>
      </c>
      <c r="M63" s="567">
        <v>4.0</v>
      </c>
      <c r="N63" s="55">
        <v>4.0</v>
      </c>
      <c r="O63" s="55"/>
      <c r="P63" s="499"/>
      <c r="Q63" s="17"/>
    </row>
    <row r="64">
      <c r="A64" s="11"/>
      <c r="B64" s="115"/>
      <c r="C64" s="496" t="s">
        <v>483</v>
      </c>
      <c r="D64" s="541"/>
      <c r="E64" s="67">
        <v>3.0</v>
      </c>
      <c r="F64" s="68">
        <v>6.0</v>
      </c>
      <c r="G64" s="69">
        <v>5.0</v>
      </c>
      <c r="H64" s="519" t="s">
        <v>437</v>
      </c>
      <c r="I64" s="434">
        <v>3.0</v>
      </c>
      <c r="J64" s="55">
        <v>4.0</v>
      </c>
      <c r="K64" s="55">
        <v>2.0</v>
      </c>
      <c r="L64" s="55">
        <v>3.0</v>
      </c>
      <c r="M64" s="567">
        <v>4.0</v>
      </c>
      <c r="N64" s="55">
        <v>2.0</v>
      </c>
      <c r="O64" s="55"/>
      <c r="P64" s="499"/>
      <c r="Q64" s="17"/>
    </row>
    <row r="65">
      <c r="A65" s="11"/>
      <c r="B65" s="22"/>
      <c r="C65" s="559" t="s">
        <v>484</v>
      </c>
      <c r="D65" s="550"/>
      <c r="E65" s="231">
        <v>6.0</v>
      </c>
      <c r="F65" s="232">
        <v>6.0</v>
      </c>
      <c r="G65" s="208">
        <v>6.0</v>
      </c>
      <c r="H65" s="498"/>
      <c r="I65" s="441">
        <v>4.0</v>
      </c>
      <c r="J65" s="442">
        <v>4.0</v>
      </c>
      <c r="K65" s="442">
        <v>4.0</v>
      </c>
      <c r="L65" s="442">
        <v>4.0</v>
      </c>
      <c r="M65" s="567">
        <v>4.0</v>
      </c>
      <c r="N65" s="442">
        <v>4.0</v>
      </c>
      <c r="O65" s="55"/>
      <c r="P65" s="560"/>
      <c r="Q65" s="17"/>
    </row>
    <row r="66">
      <c r="A66" s="11"/>
      <c r="B66" s="121"/>
      <c r="C66" s="195" t="s">
        <v>109</v>
      </c>
      <c r="D66" s="125"/>
      <c r="E66" s="125"/>
      <c r="F66" s="125"/>
      <c r="G66" s="125"/>
      <c r="H66" s="538"/>
      <c r="I66" s="127"/>
      <c r="J66" s="128"/>
      <c r="K66" s="128"/>
      <c r="L66" s="445"/>
      <c r="M66" s="539"/>
      <c r="N66" s="127"/>
      <c r="O66" s="130"/>
      <c r="P66" s="128"/>
      <c r="Q66" s="17"/>
    </row>
    <row r="67">
      <c r="A67" s="11"/>
      <c r="B67" s="135"/>
      <c r="C67" s="136"/>
      <c r="D67" s="525"/>
      <c r="E67" s="85"/>
      <c r="F67" s="85"/>
      <c r="G67" s="86"/>
      <c r="H67" s="498"/>
      <c r="I67" s="87" t="s">
        <v>1</v>
      </c>
      <c r="J67" s="88" t="s">
        <v>2</v>
      </c>
      <c r="K67" s="140" t="s">
        <v>426</v>
      </c>
      <c r="L67" s="93" t="s">
        <v>208</v>
      </c>
      <c r="M67" s="494" t="s">
        <v>3</v>
      </c>
      <c r="N67" s="526" t="s">
        <v>4</v>
      </c>
      <c r="O67" s="88" t="s">
        <v>210</v>
      </c>
      <c r="P67" s="88" t="s">
        <v>427</v>
      </c>
      <c r="Q67" s="17"/>
    </row>
    <row r="68">
      <c r="A68" s="11"/>
      <c r="B68" s="540"/>
      <c r="C68" s="531" t="s">
        <v>485</v>
      </c>
      <c r="D68" s="547" t="s">
        <v>77</v>
      </c>
      <c r="E68" s="67">
        <v>1.0</v>
      </c>
      <c r="F68" s="68">
        <v>3.0</v>
      </c>
      <c r="G68" s="69">
        <v>2.0</v>
      </c>
      <c r="H68" s="519" t="s">
        <v>437</v>
      </c>
      <c r="I68" s="432">
        <v>1.0</v>
      </c>
      <c r="J68" s="54">
        <v>2.0</v>
      </c>
      <c r="K68" s="54">
        <v>2.0</v>
      </c>
      <c r="L68" s="54">
        <v>1.0</v>
      </c>
      <c r="M68" s="446">
        <v>4.0</v>
      </c>
      <c r="N68" s="54">
        <v>1.0</v>
      </c>
      <c r="O68" s="55"/>
      <c r="P68" s="542"/>
      <c r="Q68" s="17"/>
    </row>
    <row r="69">
      <c r="A69" s="11"/>
      <c r="C69" s="531" t="s">
        <v>486</v>
      </c>
      <c r="D69" s="541" t="s">
        <v>71</v>
      </c>
      <c r="E69" s="67"/>
      <c r="F69" s="68"/>
      <c r="G69" s="69">
        <v>8.0</v>
      </c>
      <c r="H69" s="498"/>
      <c r="I69" s="434">
        <v>1.0</v>
      </c>
      <c r="J69" s="55">
        <v>1.0</v>
      </c>
      <c r="K69" s="55">
        <v>1.0</v>
      </c>
      <c r="L69" s="55">
        <v>1.0</v>
      </c>
      <c r="M69" s="543">
        <v>1.0</v>
      </c>
      <c r="N69" s="55">
        <v>1.0</v>
      </c>
      <c r="O69" s="62"/>
      <c r="P69" s="499"/>
      <c r="Q69" s="17"/>
    </row>
    <row r="70">
      <c r="A70" s="11"/>
      <c r="B70" s="22"/>
      <c r="C70" s="564" t="s">
        <v>487</v>
      </c>
      <c r="D70" s="565"/>
      <c r="E70" s="201">
        <v>1.0</v>
      </c>
      <c r="F70" s="202">
        <v>1.0</v>
      </c>
      <c r="G70" s="203">
        <v>4.0</v>
      </c>
      <c r="H70" s="498"/>
      <c r="I70" s="434">
        <v>3.0</v>
      </c>
      <c r="J70" s="55">
        <v>2.0</v>
      </c>
      <c r="K70" s="55">
        <v>2.0</v>
      </c>
      <c r="L70" s="55">
        <v>2.0</v>
      </c>
      <c r="M70" s="566">
        <v>3.0</v>
      </c>
      <c r="N70" s="55">
        <v>2.0</v>
      </c>
      <c r="O70" s="55"/>
      <c r="P70" s="499"/>
      <c r="Q70" s="17"/>
    </row>
    <row r="71">
      <c r="A71" s="11"/>
      <c r="B71" s="166"/>
      <c r="C71" s="531" t="s">
        <v>488</v>
      </c>
      <c r="D71" s="541" t="s">
        <v>29</v>
      </c>
      <c r="E71" s="67">
        <v>0.0</v>
      </c>
      <c r="F71" s="68">
        <v>3.0</v>
      </c>
      <c r="G71" s="69">
        <v>3.0</v>
      </c>
      <c r="H71" s="498"/>
      <c r="I71" s="434">
        <v>1.0</v>
      </c>
      <c r="J71" s="55">
        <v>2.0</v>
      </c>
      <c r="K71" s="55">
        <v>2.0</v>
      </c>
      <c r="L71" s="55">
        <v>1.0</v>
      </c>
      <c r="M71" s="543">
        <v>1.0</v>
      </c>
      <c r="N71" s="55">
        <v>1.0</v>
      </c>
      <c r="O71" s="62"/>
      <c r="P71" s="499"/>
      <c r="Q71" s="17"/>
    </row>
    <row r="72">
      <c r="A72" s="11"/>
      <c r="C72" s="531" t="s">
        <v>489</v>
      </c>
      <c r="D72" s="541" t="s">
        <v>490</v>
      </c>
      <c r="E72" s="67"/>
      <c r="F72" s="68"/>
      <c r="G72" s="69">
        <v>1.0</v>
      </c>
      <c r="H72" s="536" t="s">
        <v>437</v>
      </c>
      <c r="I72" s="434">
        <v>4.0</v>
      </c>
      <c r="J72" s="55">
        <v>3.0</v>
      </c>
      <c r="K72" s="55">
        <v>4.0</v>
      </c>
      <c r="L72" s="55">
        <v>4.0</v>
      </c>
      <c r="M72" s="567">
        <v>4.0</v>
      </c>
      <c r="N72" s="55">
        <v>5.0</v>
      </c>
      <c r="O72" s="55"/>
      <c r="P72" s="499"/>
      <c r="Q72" s="17"/>
    </row>
    <row r="73">
      <c r="A73" s="11"/>
      <c r="B73" s="22"/>
      <c r="C73" s="568" t="s">
        <v>491</v>
      </c>
      <c r="D73" s="555" t="s">
        <v>67</v>
      </c>
      <c r="E73" s="556"/>
      <c r="F73" s="557"/>
      <c r="G73" s="558">
        <v>1.0</v>
      </c>
      <c r="H73" s="498"/>
      <c r="I73" s="434">
        <v>3.0</v>
      </c>
      <c r="J73" s="55">
        <v>4.0</v>
      </c>
      <c r="K73" s="55">
        <v>4.0</v>
      </c>
      <c r="L73" s="55">
        <v>4.0</v>
      </c>
      <c r="M73" s="567">
        <v>4.0</v>
      </c>
      <c r="N73" s="55">
        <v>3.0</v>
      </c>
      <c r="O73" s="55"/>
      <c r="P73" s="499"/>
      <c r="Q73" s="17"/>
    </row>
    <row r="74">
      <c r="A74" s="11"/>
      <c r="B74" s="551"/>
      <c r="C74" s="496" t="s">
        <v>492</v>
      </c>
      <c r="D74" s="541" t="s">
        <v>118</v>
      </c>
      <c r="E74" s="67"/>
      <c r="F74" s="68"/>
      <c r="G74" s="69">
        <v>3.0</v>
      </c>
      <c r="H74" s="519" t="s">
        <v>437</v>
      </c>
      <c r="I74" s="434">
        <v>2.0</v>
      </c>
      <c r="J74" s="55">
        <v>2.0</v>
      </c>
      <c r="K74" s="55">
        <v>2.0</v>
      </c>
      <c r="L74" s="55">
        <v>2.0</v>
      </c>
      <c r="M74" s="566">
        <v>3.0</v>
      </c>
      <c r="N74" s="55">
        <v>1.0</v>
      </c>
      <c r="O74" s="62"/>
      <c r="P74" s="499"/>
      <c r="Q74" s="17"/>
    </row>
    <row r="75">
      <c r="A75" s="11"/>
      <c r="B75" s="22"/>
      <c r="C75" s="554" t="s">
        <v>493</v>
      </c>
      <c r="D75" s="555" t="s">
        <v>29</v>
      </c>
      <c r="E75" s="556">
        <v>8.0</v>
      </c>
      <c r="F75" s="557">
        <v>8.0</v>
      </c>
      <c r="G75" s="558">
        <v>10.0</v>
      </c>
      <c r="H75" s="498"/>
      <c r="I75" s="434">
        <v>1.0</v>
      </c>
      <c r="J75" s="55">
        <v>2.0</v>
      </c>
      <c r="K75" s="55">
        <v>3.0</v>
      </c>
      <c r="L75" s="55">
        <v>1.0</v>
      </c>
      <c r="M75" s="548">
        <v>2.0</v>
      </c>
      <c r="N75" s="55">
        <v>1.0</v>
      </c>
      <c r="O75" s="428"/>
      <c r="P75" s="499"/>
      <c r="Q75" s="17"/>
    </row>
    <row r="76">
      <c r="A76" s="11"/>
      <c r="B76" s="115"/>
      <c r="C76" s="496" t="s">
        <v>494</v>
      </c>
      <c r="D76" s="541"/>
      <c r="E76" s="67">
        <v>5.0</v>
      </c>
      <c r="F76" s="68">
        <v>4.0</v>
      </c>
      <c r="G76" s="69">
        <v>4.0</v>
      </c>
      <c r="H76" s="498"/>
      <c r="I76" s="434">
        <v>1.0</v>
      </c>
      <c r="J76" s="55">
        <v>2.0</v>
      </c>
      <c r="K76" s="55">
        <v>3.0</v>
      </c>
      <c r="L76" s="55">
        <v>2.0</v>
      </c>
      <c r="M76" s="566">
        <v>3.0</v>
      </c>
      <c r="N76" s="55">
        <v>1.0</v>
      </c>
      <c r="O76" s="62"/>
      <c r="P76" s="499"/>
      <c r="Q76" s="17"/>
    </row>
    <row r="77">
      <c r="A77" s="11"/>
      <c r="B77" s="22"/>
      <c r="C77" s="559" t="s">
        <v>495</v>
      </c>
      <c r="D77" s="550" t="s">
        <v>39</v>
      </c>
      <c r="E77" s="231">
        <v>3.0</v>
      </c>
      <c r="F77" s="232">
        <v>6.0</v>
      </c>
      <c r="G77" s="208">
        <v>4.0</v>
      </c>
      <c r="H77" s="536" t="s">
        <v>437</v>
      </c>
      <c r="I77" s="441">
        <v>3.0</v>
      </c>
      <c r="J77" s="442">
        <v>3.0</v>
      </c>
      <c r="K77" s="442">
        <v>4.0</v>
      </c>
      <c r="L77" s="442">
        <v>3.0</v>
      </c>
      <c r="M77" s="566">
        <v>3.0</v>
      </c>
      <c r="N77" s="442">
        <v>3.0</v>
      </c>
      <c r="O77" s="62"/>
      <c r="P77" s="560"/>
      <c r="Q77" s="17"/>
    </row>
    <row r="78">
      <c r="A78" s="11"/>
      <c r="B78" s="121"/>
      <c r="C78" s="195" t="s">
        <v>123</v>
      </c>
      <c r="D78" s="125"/>
      <c r="E78" s="125"/>
      <c r="F78" s="125"/>
      <c r="G78" s="125"/>
      <c r="H78" s="538"/>
      <c r="I78" s="127"/>
      <c r="J78" s="128"/>
      <c r="K78" s="128"/>
      <c r="L78" s="445"/>
      <c r="M78" s="539"/>
      <c r="N78" s="127"/>
      <c r="O78" s="130"/>
      <c r="P78" s="128"/>
      <c r="Q78" s="17"/>
    </row>
    <row r="79">
      <c r="A79" s="11"/>
      <c r="B79" s="135"/>
      <c r="C79" s="136"/>
      <c r="D79" s="525"/>
      <c r="E79" s="85"/>
      <c r="F79" s="85"/>
      <c r="G79" s="86"/>
      <c r="H79" s="498"/>
      <c r="I79" s="87" t="s">
        <v>1</v>
      </c>
      <c r="J79" s="88" t="s">
        <v>2</v>
      </c>
      <c r="K79" s="140" t="s">
        <v>426</v>
      </c>
      <c r="L79" s="93" t="s">
        <v>208</v>
      </c>
      <c r="M79" s="494" t="s">
        <v>3</v>
      </c>
      <c r="N79" s="526" t="s">
        <v>4</v>
      </c>
      <c r="O79" s="88" t="s">
        <v>210</v>
      </c>
      <c r="P79" s="88" t="s">
        <v>427</v>
      </c>
      <c r="Q79" s="17"/>
    </row>
    <row r="80">
      <c r="A80" s="11"/>
      <c r="B80" s="540"/>
      <c r="C80" s="531" t="s">
        <v>496</v>
      </c>
      <c r="D80" s="541" t="s">
        <v>497</v>
      </c>
      <c r="E80" s="67"/>
      <c r="F80" s="68"/>
      <c r="G80" s="69">
        <v>2.0</v>
      </c>
      <c r="H80" s="498"/>
      <c r="I80" s="432">
        <v>2.0</v>
      </c>
      <c r="J80" s="54">
        <v>3.0</v>
      </c>
      <c r="K80" s="54">
        <v>2.0</v>
      </c>
      <c r="L80" s="54">
        <v>2.0</v>
      </c>
      <c r="M80" s="448">
        <v>3.0</v>
      </c>
      <c r="N80" s="54">
        <v>3.0</v>
      </c>
      <c r="O80" s="426"/>
      <c r="P80" s="542"/>
      <c r="Q80" s="17"/>
    </row>
    <row r="81">
      <c r="A81" s="11"/>
      <c r="C81" s="531" t="s">
        <v>498</v>
      </c>
      <c r="D81" s="541"/>
      <c r="E81" s="67">
        <v>3.0</v>
      </c>
      <c r="F81" s="68">
        <v>4.0</v>
      </c>
      <c r="G81" s="69">
        <v>4.0</v>
      </c>
      <c r="H81" s="498"/>
      <c r="I81" s="434">
        <v>3.0</v>
      </c>
      <c r="J81" s="55">
        <v>3.0</v>
      </c>
      <c r="K81" s="55">
        <v>3.0</v>
      </c>
      <c r="L81" s="55">
        <v>3.0</v>
      </c>
      <c r="M81" s="567">
        <v>4.0</v>
      </c>
      <c r="N81" s="55">
        <v>4.0</v>
      </c>
      <c r="O81" s="55"/>
      <c r="P81" s="499"/>
      <c r="Q81" s="17"/>
    </row>
    <row r="82">
      <c r="A82" s="11"/>
      <c r="B82" s="22"/>
      <c r="C82" s="564" t="s">
        <v>499</v>
      </c>
      <c r="D82" s="565" t="s">
        <v>497</v>
      </c>
      <c r="E82" s="201"/>
      <c r="F82" s="202"/>
      <c r="G82" s="203">
        <v>2.0</v>
      </c>
      <c r="H82" s="498"/>
      <c r="I82" s="434">
        <v>2.0</v>
      </c>
      <c r="J82" s="55">
        <v>3.0</v>
      </c>
      <c r="K82" s="55">
        <v>3.0</v>
      </c>
      <c r="L82" s="55">
        <v>2.0</v>
      </c>
      <c r="M82" s="566">
        <v>3.0</v>
      </c>
      <c r="N82" s="55">
        <v>3.0</v>
      </c>
      <c r="O82" s="55"/>
      <c r="P82" s="499"/>
      <c r="Q82" s="17"/>
    </row>
    <row r="83">
      <c r="A83" s="11"/>
      <c r="B83" s="166"/>
      <c r="C83" s="531" t="s">
        <v>500</v>
      </c>
      <c r="D83" s="541"/>
      <c r="E83" s="67"/>
      <c r="F83" s="68"/>
      <c r="G83" s="69">
        <v>2.0</v>
      </c>
      <c r="H83" s="498"/>
      <c r="I83" s="434">
        <v>3.0</v>
      </c>
      <c r="J83" s="55">
        <v>3.0</v>
      </c>
      <c r="K83" s="55">
        <v>4.0</v>
      </c>
      <c r="L83" s="55">
        <v>4.0</v>
      </c>
      <c r="M83" s="548">
        <v>2.0</v>
      </c>
      <c r="N83" s="55">
        <v>3.0</v>
      </c>
      <c r="O83" s="55"/>
      <c r="P83" s="499"/>
      <c r="Q83" s="17"/>
    </row>
    <row r="84">
      <c r="A84" s="11"/>
      <c r="C84" s="531" t="s">
        <v>501</v>
      </c>
      <c r="D84" s="541"/>
      <c r="E84" s="67"/>
      <c r="F84" s="68"/>
      <c r="G84" s="69">
        <v>2.0</v>
      </c>
      <c r="H84" s="536" t="s">
        <v>437</v>
      </c>
      <c r="I84" s="434">
        <v>2.0</v>
      </c>
      <c r="J84" s="55">
        <v>3.0</v>
      </c>
      <c r="K84" s="55">
        <v>2.0</v>
      </c>
      <c r="L84" s="55">
        <v>2.0</v>
      </c>
      <c r="M84" s="548">
        <v>2.0</v>
      </c>
      <c r="N84" s="55">
        <v>4.0</v>
      </c>
      <c r="O84" s="428"/>
      <c r="P84" s="499"/>
      <c r="Q84" s="17"/>
    </row>
    <row r="85">
      <c r="A85" s="11"/>
      <c r="B85" s="22"/>
      <c r="C85" s="568" t="s">
        <v>502</v>
      </c>
      <c r="D85" s="555" t="s">
        <v>503</v>
      </c>
      <c r="E85" s="556"/>
      <c r="F85" s="557"/>
      <c r="G85" s="558">
        <v>1.0</v>
      </c>
      <c r="H85" s="498"/>
      <c r="I85" s="434">
        <v>2.0</v>
      </c>
      <c r="J85" s="55">
        <v>2.0</v>
      </c>
      <c r="K85" s="55">
        <v>3.0</v>
      </c>
      <c r="L85" s="55">
        <v>4.0</v>
      </c>
      <c r="M85" s="548">
        <v>2.0</v>
      </c>
      <c r="N85" s="55">
        <v>3.0</v>
      </c>
      <c r="O85" s="55"/>
      <c r="P85" s="499"/>
      <c r="Q85" s="17"/>
    </row>
    <row r="86">
      <c r="A86" s="11"/>
      <c r="B86" s="551"/>
      <c r="C86" s="496" t="s">
        <v>504</v>
      </c>
      <c r="D86" s="541"/>
      <c r="E86" s="67">
        <v>4.0</v>
      </c>
      <c r="F86" s="68">
        <v>3.0</v>
      </c>
      <c r="G86" s="69">
        <v>3.0</v>
      </c>
      <c r="H86" s="498"/>
      <c r="I86" s="434">
        <v>2.0</v>
      </c>
      <c r="J86" s="55">
        <v>2.0</v>
      </c>
      <c r="K86" s="55">
        <v>2.0</v>
      </c>
      <c r="L86" s="55">
        <v>1.0</v>
      </c>
      <c r="M86" s="548">
        <v>2.0</v>
      </c>
      <c r="N86" s="55">
        <v>2.0</v>
      </c>
      <c r="O86" s="428"/>
      <c r="P86" s="499"/>
      <c r="Q86" s="17"/>
    </row>
    <row r="87">
      <c r="A87" s="11"/>
      <c r="B87" s="22"/>
      <c r="C87" s="554" t="s">
        <v>505</v>
      </c>
      <c r="D87" s="555" t="s">
        <v>497</v>
      </c>
      <c r="E87" s="556"/>
      <c r="F87" s="557"/>
      <c r="G87" s="558">
        <v>2.0</v>
      </c>
      <c r="H87" s="498"/>
      <c r="I87" s="434">
        <v>2.0</v>
      </c>
      <c r="J87" s="55">
        <v>3.0</v>
      </c>
      <c r="K87" s="55">
        <v>2.0</v>
      </c>
      <c r="L87" s="55">
        <v>1.0</v>
      </c>
      <c r="M87" s="566">
        <v>3.0</v>
      </c>
      <c r="N87" s="55">
        <v>2.0</v>
      </c>
      <c r="O87" s="428"/>
      <c r="P87" s="499"/>
      <c r="Q87" s="17"/>
    </row>
    <row r="88">
      <c r="A88" s="11"/>
      <c r="B88" s="115"/>
      <c r="C88" s="496" t="s">
        <v>506</v>
      </c>
      <c r="D88" s="541" t="s">
        <v>455</v>
      </c>
      <c r="E88" s="67">
        <v>5.0</v>
      </c>
      <c r="F88" s="68">
        <v>4.0</v>
      </c>
      <c r="G88" s="69">
        <v>4.0</v>
      </c>
      <c r="H88" s="498"/>
      <c r="I88" s="434">
        <v>1.0</v>
      </c>
      <c r="J88" s="55">
        <v>1.0</v>
      </c>
      <c r="K88" s="55">
        <v>1.0</v>
      </c>
      <c r="L88" s="55">
        <v>1.0</v>
      </c>
      <c r="M88" s="543">
        <v>1.0</v>
      </c>
      <c r="N88" s="55">
        <v>1.0</v>
      </c>
      <c r="O88" s="428"/>
      <c r="P88" s="499"/>
      <c r="Q88" s="17"/>
    </row>
    <row r="89">
      <c r="A89" s="11"/>
      <c r="B89" s="22"/>
      <c r="C89" s="559" t="s">
        <v>507</v>
      </c>
      <c r="D89" s="550"/>
      <c r="E89" s="231">
        <v>3.0</v>
      </c>
      <c r="F89" s="232">
        <v>4.0</v>
      </c>
      <c r="G89" s="208">
        <v>4.0</v>
      </c>
      <c r="H89" s="498"/>
      <c r="I89" s="441">
        <v>3.0</v>
      </c>
      <c r="J89" s="442">
        <v>4.0</v>
      </c>
      <c r="K89" s="442">
        <v>4.0</v>
      </c>
      <c r="L89" s="442">
        <v>3.0</v>
      </c>
      <c r="M89" s="567">
        <v>4.0</v>
      </c>
      <c r="N89" s="442">
        <v>4.0</v>
      </c>
      <c r="O89" s="428"/>
      <c r="P89" s="499"/>
      <c r="Q89" s="17"/>
    </row>
    <row r="90">
      <c r="A90" s="11"/>
      <c r="B90" s="121"/>
      <c r="C90" s="195" t="s">
        <v>135</v>
      </c>
      <c r="D90" s="125"/>
      <c r="E90" s="125"/>
      <c r="F90" s="125"/>
      <c r="G90" s="125"/>
      <c r="H90" s="538"/>
      <c r="I90" s="127"/>
      <c r="J90" s="128"/>
      <c r="K90" s="128"/>
      <c r="L90" s="445"/>
      <c r="M90" s="539"/>
      <c r="N90" s="127"/>
      <c r="O90" s="130"/>
      <c r="P90" s="128"/>
      <c r="Q90" s="17"/>
    </row>
    <row r="91">
      <c r="A91" s="11"/>
      <c r="B91" s="135"/>
      <c r="C91" s="136"/>
      <c r="D91" s="525"/>
      <c r="E91" s="85"/>
      <c r="F91" s="85"/>
      <c r="G91" s="86"/>
      <c r="H91" s="498"/>
      <c r="I91" s="87" t="s">
        <v>1</v>
      </c>
      <c r="J91" s="88" t="s">
        <v>2</v>
      </c>
      <c r="K91" s="140" t="s">
        <v>426</v>
      </c>
      <c r="L91" s="93" t="s">
        <v>208</v>
      </c>
      <c r="M91" s="494" t="s">
        <v>3</v>
      </c>
      <c r="N91" s="526" t="s">
        <v>4</v>
      </c>
      <c r="O91" s="88" t="s">
        <v>210</v>
      </c>
      <c r="P91" s="88" t="s">
        <v>427</v>
      </c>
      <c r="Q91" s="17"/>
    </row>
    <row r="92">
      <c r="A92" s="11"/>
      <c r="B92" s="540"/>
      <c r="C92" s="531" t="s">
        <v>508</v>
      </c>
      <c r="D92" s="541" t="s">
        <v>118</v>
      </c>
      <c r="E92" s="67" t="s">
        <v>509</v>
      </c>
      <c r="F92" s="68"/>
      <c r="G92" s="69">
        <v>1.0</v>
      </c>
      <c r="H92" s="570" t="s">
        <v>437</v>
      </c>
      <c r="I92" s="457">
        <v>4.0</v>
      </c>
      <c r="J92" s="56">
        <v>3.0</v>
      </c>
      <c r="K92" s="56">
        <v>2.0</v>
      </c>
      <c r="L92" s="56">
        <v>2.0</v>
      </c>
      <c r="M92" s="446">
        <v>4.0</v>
      </c>
      <c r="N92" s="56">
        <v>2.0</v>
      </c>
      <c r="O92" s="55"/>
      <c r="P92" s="571"/>
      <c r="Q92" s="17"/>
    </row>
    <row r="93">
      <c r="A93" s="11"/>
      <c r="C93" s="531" t="s">
        <v>510</v>
      </c>
      <c r="D93" s="541" t="s">
        <v>118</v>
      </c>
      <c r="E93" s="67"/>
      <c r="F93" s="68"/>
      <c r="G93" s="69">
        <v>2.0</v>
      </c>
      <c r="H93" s="498"/>
      <c r="I93" s="434">
        <v>3.0</v>
      </c>
      <c r="J93" s="55">
        <v>2.0</v>
      </c>
      <c r="K93" s="55">
        <v>2.0</v>
      </c>
      <c r="L93" s="55">
        <v>1.0</v>
      </c>
      <c r="M93" s="566">
        <v>3.0</v>
      </c>
      <c r="N93" s="55">
        <v>2.0</v>
      </c>
      <c r="O93" s="55"/>
      <c r="P93" s="499"/>
      <c r="Q93" s="17"/>
    </row>
    <row r="94">
      <c r="A94" s="11"/>
      <c r="B94" s="544"/>
      <c r="C94" s="568" t="s">
        <v>511</v>
      </c>
      <c r="D94" s="555"/>
      <c r="E94" s="556">
        <v>7.0</v>
      </c>
      <c r="F94" s="557">
        <v>6.0</v>
      </c>
      <c r="G94" s="558">
        <v>6.0</v>
      </c>
      <c r="H94" s="498"/>
      <c r="I94" s="434">
        <v>2.0</v>
      </c>
      <c r="J94" s="55">
        <v>2.0</v>
      </c>
      <c r="K94" s="55">
        <v>2.0</v>
      </c>
      <c r="L94" s="55">
        <v>3.0</v>
      </c>
      <c r="M94" s="548">
        <v>2.0</v>
      </c>
      <c r="N94" s="55">
        <v>2.0</v>
      </c>
      <c r="O94" s="55"/>
      <c r="P94" s="499"/>
      <c r="Q94" s="17"/>
    </row>
    <row r="95">
      <c r="A95" s="11"/>
      <c r="B95" s="572"/>
      <c r="C95" s="531" t="s">
        <v>512</v>
      </c>
      <c r="D95" s="541" t="s">
        <v>118</v>
      </c>
      <c r="E95" s="67"/>
      <c r="F95" s="68"/>
      <c r="G95" s="69">
        <v>8.0</v>
      </c>
      <c r="H95" s="498"/>
      <c r="I95" s="434">
        <v>3.0</v>
      </c>
      <c r="J95" s="55">
        <v>2.0</v>
      </c>
      <c r="K95" s="55">
        <v>2.0</v>
      </c>
      <c r="L95" s="55">
        <v>1.0</v>
      </c>
      <c r="M95" s="566">
        <v>3.0</v>
      </c>
      <c r="N95" s="55">
        <v>3.0</v>
      </c>
      <c r="O95" s="55"/>
      <c r="P95" s="499"/>
      <c r="Q95" s="17"/>
    </row>
    <row r="96">
      <c r="A96" s="11"/>
      <c r="C96" s="531" t="s">
        <v>513</v>
      </c>
      <c r="D96" s="541" t="s">
        <v>118</v>
      </c>
      <c r="E96" s="67"/>
      <c r="F96" s="68"/>
      <c r="G96" s="69">
        <v>3.0</v>
      </c>
      <c r="H96" s="498"/>
      <c r="I96" s="434">
        <v>1.0</v>
      </c>
      <c r="J96" s="55">
        <v>1.0</v>
      </c>
      <c r="K96" s="55">
        <v>1.0</v>
      </c>
      <c r="L96" s="55">
        <v>2.0</v>
      </c>
      <c r="M96" s="543">
        <v>1.0</v>
      </c>
      <c r="N96" s="55">
        <v>2.0</v>
      </c>
      <c r="O96" s="55"/>
      <c r="P96" s="499"/>
      <c r="Q96" s="17"/>
    </row>
    <row r="97">
      <c r="A97" s="11"/>
      <c r="B97" s="22"/>
      <c r="C97" s="568" t="s">
        <v>514</v>
      </c>
      <c r="D97" s="555" t="s">
        <v>67</v>
      </c>
      <c r="E97" s="556"/>
      <c r="F97" s="557"/>
      <c r="G97" s="558">
        <v>3.0</v>
      </c>
      <c r="H97" s="498"/>
      <c r="I97" s="434">
        <v>2.0</v>
      </c>
      <c r="J97" s="55">
        <v>2.0</v>
      </c>
      <c r="K97" s="55">
        <v>2.0</v>
      </c>
      <c r="L97" s="55">
        <v>2.0</v>
      </c>
      <c r="M97" s="543">
        <v>1.0</v>
      </c>
      <c r="N97" s="55">
        <v>2.0</v>
      </c>
      <c r="O97" s="55"/>
      <c r="P97" s="499"/>
      <c r="Q97" s="17"/>
    </row>
    <row r="98">
      <c r="A98" s="11"/>
      <c r="B98" s="551"/>
      <c r="C98" s="496" t="s">
        <v>515</v>
      </c>
      <c r="D98" s="541" t="s">
        <v>118</v>
      </c>
      <c r="E98" s="67"/>
      <c r="F98" s="68"/>
      <c r="G98" s="69">
        <v>10.0</v>
      </c>
      <c r="H98" s="498"/>
      <c r="I98" s="434">
        <v>2.0</v>
      </c>
      <c r="J98" s="55">
        <v>2.0</v>
      </c>
      <c r="K98" s="55">
        <v>2.0</v>
      </c>
      <c r="L98" s="55">
        <v>3.0</v>
      </c>
      <c r="M98" s="567">
        <v>4.0</v>
      </c>
      <c r="N98" s="55">
        <v>3.0</v>
      </c>
      <c r="O98" s="55"/>
      <c r="P98" s="499"/>
      <c r="Q98" s="17"/>
    </row>
    <row r="99">
      <c r="A99" s="11"/>
      <c r="B99" s="22"/>
      <c r="C99" s="554" t="s">
        <v>516</v>
      </c>
      <c r="D99" s="555"/>
      <c r="E99" s="556">
        <v>3.0</v>
      </c>
      <c r="F99" s="557">
        <v>2.0</v>
      </c>
      <c r="G99" s="558">
        <v>4.0</v>
      </c>
      <c r="H99" s="498"/>
      <c r="I99" s="434">
        <v>5.0</v>
      </c>
      <c r="J99" s="55">
        <v>4.0</v>
      </c>
      <c r="K99" s="55">
        <v>5.0</v>
      </c>
      <c r="L99" s="55">
        <v>5.0</v>
      </c>
      <c r="M99" s="573">
        <v>5.0</v>
      </c>
      <c r="N99" s="55">
        <v>5.0</v>
      </c>
      <c r="O99" s="55"/>
      <c r="P99" s="499"/>
      <c r="Q99" s="17"/>
    </row>
    <row r="100">
      <c r="A100" s="11"/>
      <c r="B100" s="115"/>
      <c r="C100" s="496" t="s">
        <v>517</v>
      </c>
      <c r="D100" s="541"/>
      <c r="E100" s="67">
        <v>8.0</v>
      </c>
      <c r="F100" s="68">
        <v>8.0</v>
      </c>
      <c r="G100" s="69">
        <v>8.0</v>
      </c>
      <c r="H100" s="498"/>
      <c r="I100" s="434">
        <v>2.0</v>
      </c>
      <c r="J100" s="55">
        <v>2.0</v>
      </c>
      <c r="K100" s="55">
        <v>2.0</v>
      </c>
      <c r="L100" s="55">
        <v>2.0</v>
      </c>
      <c r="M100" s="566">
        <v>3.0</v>
      </c>
      <c r="N100" s="55">
        <v>2.0</v>
      </c>
      <c r="O100" s="55"/>
      <c r="P100" s="499"/>
      <c r="Q100" s="17"/>
    </row>
    <row r="101">
      <c r="A101" s="11"/>
      <c r="B101" s="22"/>
      <c r="C101" s="559" t="s">
        <v>518</v>
      </c>
      <c r="D101" s="550" t="s">
        <v>43</v>
      </c>
      <c r="E101" s="231">
        <v>5.0</v>
      </c>
      <c r="F101" s="232">
        <v>5.0</v>
      </c>
      <c r="G101" s="208">
        <v>7.0</v>
      </c>
      <c r="H101" s="498"/>
      <c r="I101" s="441">
        <v>4.0</v>
      </c>
      <c r="J101" s="442">
        <v>4.0</v>
      </c>
      <c r="K101" s="442">
        <v>4.0</v>
      </c>
      <c r="L101" s="442">
        <v>4.0</v>
      </c>
      <c r="M101" s="573">
        <v>5.0</v>
      </c>
      <c r="N101" s="442">
        <v>3.0</v>
      </c>
      <c r="O101" s="55"/>
      <c r="P101" s="560"/>
      <c r="Q101" s="17"/>
    </row>
    <row r="102">
      <c r="A102" s="11"/>
      <c r="B102" s="121"/>
      <c r="C102" s="195" t="s">
        <v>147</v>
      </c>
      <c r="D102" s="125"/>
      <c r="E102" s="125"/>
      <c r="F102" s="125"/>
      <c r="G102" s="125"/>
      <c r="H102" s="538"/>
      <c r="I102" s="127"/>
      <c r="J102" s="128"/>
      <c r="K102" s="128"/>
      <c r="L102" s="445"/>
      <c r="M102" s="539"/>
      <c r="N102" s="127"/>
      <c r="O102" s="130"/>
      <c r="P102" s="128"/>
      <c r="Q102" s="17"/>
    </row>
    <row r="103">
      <c r="A103" s="11"/>
      <c r="B103" s="135"/>
      <c r="C103" s="136"/>
      <c r="D103" s="525"/>
      <c r="E103" s="85"/>
      <c r="F103" s="85"/>
      <c r="G103" s="86"/>
      <c r="H103" s="498"/>
      <c r="I103" s="87" t="s">
        <v>1</v>
      </c>
      <c r="J103" s="88" t="s">
        <v>2</v>
      </c>
      <c r="K103" s="140" t="s">
        <v>426</v>
      </c>
      <c r="L103" s="93" t="s">
        <v>208</v>
      </c>
      <c r="M103" s="494" t="s">
        <v>3</v>
      </c>
      <c r="N103" s="526" t="s">
        <v>4</v>
      </c>
      <c r="O103" s="88" t="s">
        <v>210</v>
      </c>
      <c r="P103" s="88" t="s">
        <v>427</v>
      </c>
      <c r="Q103" s="17"/>
    </row>
    <row r="104">
      <c r="A104" s="11"/>
      <c r="B104" s="540"/>
      <c r="C104" s="531" t="s">
        <v>519</v>
      </c>
      <c r="D104" s="541"/>
      <c r="E104" s="67"/>
      <c r="F104" s="68"/>
      <c r="G104" s="69">
        <v>2.0</v>
      </c>
      <c r="H104" s="498"/>
      <c r="I104" s="432">
        <v>3.0</v>
      </c>
      <c r="J104" s="54">
        <v>2.0</v>
      </c>
      <c r="K104" s="54">
        <v>2.0</v>
      </c>
      <c r="L104" s="55">
        <v>1.0</v>
      </c>
      <c r="M104" s="449">
        <v>1.0</v>
      </c>
      <c r="N104" s="54">
        <v>3.0</v>
      </c>
      <c r="O104" s="156"/>
      <c r="P104" s="542"/>
      <c r="Q104" s="17"/>
    </row>
    <row r="105">
      <c r="A105" s="11"/>
      <c r="C105" s="531" t="s">
        <v>520</v>
      </c>
      <c r="D105" s="541"/>
      <c r="E105" s="67">
        <v>1.0</v>
      </c>
      <c r="F105" s="68">
        <v>1.0</v>
      </c>
      <c r="G105" s="69">
        <v>1.0</v>
      </c>
      <c r="H105" s="498"/>
      <c r="I105" s="434">
        <v>3.0</v>
      </c>
      <c r="J105" s="55">
        <v>4.0</v>
      </c>
      <c r="K105" s="55">
        <v>4.0</v>
      </c>
      <c r="L105" s="55">
        <v>3.0</v>
      </c>
      <c r="M105" s="567">
        <v>4.0</v>
      </c>
      <c r="N105" s="55">
        <v>3.0</v>
      </c>
      <c r="O105" s="156"/>
      <c r="P105" s="499"/>
      <c r="Q105" s="17"/>
    </row>
    <row r="106">
      <c r="A106" s="11"/>
      <c r="B106" s="22"/>
      <c r="C106" s="564" t="s">
        <v>521</v>
      </c>
      <c r="D106" s="565" t="s">
        <v>22</v>
      </c>
      <c r="E106" s="201">
        <v>3.0</v>
      </c>
      <c r="F106" s="202">
        <v>5.0</v>
      </c>
      <c r="G106" s="203">
        <v>4.0</v>
      </c>
      <c r="H106" s="498"/>
      <c r="I106" s="434">
        <v>2.0</v>
      </c>
      <c r="J106" s="55">
        <v>1.0</v>
      </c>
      <c r="K106" s="55">
        <v>1.0</v>
      </c>
      <c r="L106" s="55">
        <v>1.0</v>
      </c>
      <c r="M106" s="543">
        <v>1.0</v>
      </c>
      <c r="N106" s="55">
        <v>1.0</v>
      </c>
      <c r="O106" s="156"/>
      <c r="P106" s="499"/>
      <c r="Q106" s="17"/>
    </row>
    <row r="107">
      <c r="A107" s="11"/>
      <c r="B107" s="166"/>
      <c r="C107" s="531" t="s">
        <v>522</v>
      </c>
      <c r="D107" s="541"/>
      <c r="E107" s="67">
        <v>2.0</v>
      </c>
      <c r="F107" s="68">
        <v>2.0</v>
      </c>
      <c r="G107" s="69">
        <v>2.0</v>
      </c>
      <c r="H107" s="519" t="s">
        <v>437</v>
      </c>
      <c r="I107" s="434">
        <v>2.0</v>
      </c>
      <c r="J107" s="55">
        <v>1.0</v>
      </c>
      <c r="K107" s="55">
        <v>2.0</v>
      </c>
      <c r="L107" s="55">
        <v>3.0</v>
      </c>
      <c r="M107" s="548">
        <v>2.0</v>
      </c>
      <c r="N107" s="55">
        <v>3.0</v>
      </c>
      <c r="O107" s="156"/>
      <c r="P107" s="499"/>
      <c r="Q107" s="17"/>
    </row>
    <row r="108">
      <c r="A108" s="11"/>
      <c r="C108" s="531" t="s">
        <v>523</v>
      </c>
      <c r="D108" s="541" t="s">
        <v>67</v>
      </c>
      <c r="E108" s="67"/>
      <c r="F108" s="68"/>
      <c r="G108" s="69">
        <v>3.0</v>
      </c>
      <c r="H108" s="519" t="s">
        <v>437</v>
      </c>
      <c r="I108" s="434">
        <v>1.0</v>
      </c>
      <c r="J108" s="55">
        <v>1.0</v>
      </c>
      <c r="K108" s="55">
        <v>1.0</v>
      </c>
      <c r="L108" s="55">
        <v>1.0</v>
      </c>
      <c r="M108" s="543">
        <v>1.0</v>
      </c>
      <c r="N108" s="55">
        <v>1.0</v>
      </c>
      <c r="O108" s="156"/>
      <c r="P108" s="499"/>
      <c r="Q108" s="17"/>
    </row>
    <row r="109">
      <c r="A109" s="11"/>
      <c r="B109" s="22"/>
      <c r="C109" s="568" t="s">
        <v>524</v>
      </c>
      <c r="D109" s="555"/>
      <c r="E109" s="556"/>
      <c r="F109" s="557"/>
      <c r="G109" s="558">
        <v>8.0</v>
      </c>
      <c r="H109" s="519" t="s">
        <v>437</v>
      </c>
      <c r="I109" s="434">
        <v>1.0</v>
      </c>
      <c r="J109" s="55">
        <v>1.0</v>
      </c>
      <c r="K109" s="55">
        <v>1.0</v>
      </c>
      <c r="L109" s="55">
        <v>2.0</v>
      </c>
      <c r="M109" s="543">
        <v>1.0</v>
      </c>
      <c r="N109" s="55">
        <v>1.0</v>
      </c>
      <c r="O109" s="463"/>
      <c r="P109" s="499"/>
      <c r="Q109" s="17"/>
    </row>
    <row r="110">
      <c r="A110" s="11"/>
      <c r="B110" s="551"/>
      <c r="C110" s="496" t="s">
        <v>525</v>
      </c>
      <c r="D110" s="541" t="s">
        <v>71</v>
      </c>
      <c r="E110" s="67"/>
      <c r="F110" s="68"/>
      <c r="G110" s="69">
        <v>3.0</v>
      </c>
      <c r="H110" s="498"/>
      <c r="I110" s="434">
        <v>3.0</v>
      </c>
      <c r="J110" s="55">
        <v>2.0</v>
      </c>
      <c r="K110" s="55">
        <v>3.0</v>
      </c>
      <c r="L110" s="55">
        <v>3.0</v>
      </c>
      <c r="M110" s="567">
        <v>4.0</v>
      </c>
      <c r="N110" s="55">
        <v>3.0</v>
      </c>
      <c r="O110" s="463"/>
      <c r="P110" s="499"/>
      <c r="Q110" s="17"/>
    </row>
    <row r="111">
      <c r="A111" s="11"/>
      <c r="B111" s="22"/>
      <c r="C111" s="554" t="s">
        <v>526</v>
      </c>
      <c r="D111" s="555" t="s">
        <v>118</v>
      </c>
      <c r="E111" s="556"/>
      <c r="F111" s="557"/>
      <c r="G111" s="558">
        <v>3.0</v>
      </c>
      <c r="H111" s="515" t="s">
        <v>437</v>
      </c>
      <c r="I111" s="434">
        <v>4.0</v>
      </c>
      <c r="J111" s="55">
        <v>1.0</v>
      </c>
      <c r="K111" s="55">
        <v>5.0</v>
      </c>
      <c r="L111" s="55">
        <v>5.0</v>
      </c>
      <c r="M111" s="573">
        <v>5.0</v>
      </c>
      <c r="N111" s="55">
        <v>4.0</v>
      </c>
      <c r="O111" s="156"/>
      <c r="P111" s="499"/>
      <c r="Q111" s="17"/>
    </row>
    <row r="112">
      <c r="A112" s="11"/>
      <c r="B112" s="115"/>
      <c r="C112" s="496" t="s">
        <v>527</v>
      </c>
      <c r="D112" s="541"/>
      <c r="E112" s="67">
        <v>5.0</v>
      </c>
      <c r="F112" s="68">
        <v>4.0</v>
      </c>
      <c r="G112" s="69">
        <v>7.0</v>
      </c>
      <c r="H112" s="519" t="s">
        <v>437</v>
      </c>
      <c r="I112" s="434">
        <v>1.0</v>
      </c>
      <c r="J112" s="55">
        <v>2.0</v>
      </c>
      <c r="K112" s="55">
        <v>3.0</v>
      </c>
      <c r="L112" s="55">
        <v>4.0</v>
      </c>
      <c r="M112" s="543">
        <v>1.0</v>
      </c>
      <c r="N112" s="55">
        <v>3.0</v>
      </c>
      <c r="O112" s="156"/>
      <c r="P112" s="499"/>
      <c r="Q112" s="17"/>
    </row>
    <row r="113">
      <c r="A113" s="11"/>
      <c r="B113" s="22"/>
      <c r="C113" s="559" t="s">
        <v>528</v>
      </c>
      <c r="D113" s="550"/>
      <c r="E113" s="231">
        <v>4.0</v>
      </c>
      <c r="F113" s="232">
        <v>5.0</v>
      </c>
      <c r="G113" s="208"/>
      <c r="H113" s="536" t="s">
        <v>437</v>
      </c>
      <c r="I113" s="441">
        <v>4.0</v>
      </c>
      <c r="J113" s="442">
        <v>2.0</v>
      </c>
      <c r="K113" s="442">
        <v>4.0</v>
      </c>
      <c r="L113" s="442">
        <v>4.0</v>
      </c>
      <c r="M113" s="567">
        <v>4.0</v>
      </c>
      <c r="N113" s="442">
        <v>5.0</v>
      </c>
      <c r="O113" s="156"/>
      <c r="P113" s="560"/>
      <c r="Q113" s="17"/>
    </row>
    <row r="114">
      <c r="A114" s="11"/>
      <c r="B114" s="121"/>
      <c r="C114" s="195" t="s">
        <v>158</v>
      </c>
      <c r="D114" s="125"/>
      <c r="E114" s="125"/>
      <c r="F114" s="125"/>
      <c r="G114" s="125"/>
      <c r="H114" s="538"/>
      <c r="I114" s="127"/>
      <c r="J114" s="128"/>
      <c r="K114" s="128"/>
      <c r="L114" s="445"/>
      <c r="M114" s="539"/>
      <c r="N114" s="127"/>
      <c r="O114" s="130"/>
      <c r="P114" s="128"/>
      <c r="Q114" s="17"/>
    </row>
    <row r="115">
      <c r="A115" s="11"/>
      <c r="B115" s="135"/>
      <c r="C115" s="136"/>
      <c r="D115" s="525"/>
      <c r="E115" s="85"/>
      <c r="F115" s="85"/>
      <c r="G115" s="86"/>
      <c r="H115" s="498"/>
      <c r="I115" s="87" t="s">
        <v>1</v>
      </c>
      <c r="J115" s="88" t="s">
        <v>2</v>
      </c>
      <c r="K115" s="140" t="s">
        <v>426</v>
      </c>
      <c r="L115" s="93" t="s">
        <v>208</v>
      </c>
      <c r="M115" s="494" t="s">
        <v>3</v>
      </c>
      <c r="N115" s="526" t="s">
        <v>4</v>
      </c>
      <c r="O115" s="88" t="s">
        <v>210</v>
      </c>
      <c r="P115" s="88" t="s">
        <v>427</v>
      </c>
      <c r="Q115" s="17"/>
    </row>
    <row r="116">
      <c r="A116" s="11"/>
      <c r="B116" s="540"/>
      <c r="C116" s="531" t="s">
        <v>529</v>
      </c>
      <c r="D116" s="541" t="s">
        <v>530</v>
      </c>
      <c r="E116" s="67"/>
      <c r="F116" s="68"/>
      <c r="G116" s="69">
        <v>1.0</v>
      </c>
      <c r="H116" s="498"/>
      <c r="I116" s="457">
        <v>3.0</v>
      </c>
      <c r="J116" s="56">
        <v>3.0</v>
      </c>
      <c r="K116" s="56">
        <v>4.0</v>
      </c>
      <c r="L116" s="56">
        <v>5.0</v>
      </c>
      <c r="M116" s="448">
        <v>3.0</v>
      </c>
      <c r="N116" s="56">
        <v>4.0</v>
      </c>
      <c r="O116" s="428"/>
      <c r="P116" s="571"/>
      <c r="Q116" s="17"/>
    </row>
    <row r="117">
      <c r="A117" s="11"/>
      <c r="C117" s="531" t="s">
        <v>531</v>
      </c>
      <c r="D117" s="541" t="s">
        <v>104</v>
      </c>
      <c r="E117" s="67"/>
      <c r="F117" s="68"/>
      <c r="G117" s="69">
        <v>3.0</v>
      </c>
      <c r="H117" s="519" t="s">
        <v>437</v>
      </c>
      <c r="I117" s="434">
        <v>4.0</v>
      </c>
      <c r="J117" s="55">
        <v>1.0</v>
      </c>
      <c r="K117" s="55">
        <v>3.0</v>
      </c>
      <c r="L117" s="55">
        <v>4.0</v>
      </c>
      <c r="M117" s="567">
        <v>4.0</v>
      </c>
      <c r="N117" s="55">
        <v>1.0</v>
      </c>
      <c r="O117" s="55"/>
      <c r="P117" s="499"/>
      <c r="Q117" s="17"/>
    </row>
    <row r="118">
      <c r="A118" s="11"/>
      <c r="B118" s="544"/>
      <c r="C118" s="568" t="s">
        <v>532</v>
      </c>
      <c r="D118" s="555"/>
      <c r="E118" s="556">
        <v>2.0</v>
      </c>
      <c r="F118" s="557">
        <v>5.0</v>
      </c>
      <c r="G118" s="558">
        <v>4.0</v>
      </c>
      <c r="H118" s="519" t="s">
        <v>437</v>
      </c>
      <c r="I118" s="434">
        <v>2.0</v>
      </c>
      <c r="J118" s="55">
        <v>4.0</v>
      </c>
      <c r="K118" s="55">
        <v>4.0</v>
      </c>
      <c r="L118" s="55">
        <v>5.0</v>
      </c>
      <c r="M118" s="566">
        <v>3.0</v>
      </c>
      <c r="N118" s="55">
        <v>3.0</v>
      </c>
      <c r="O118" s="55"/>
      <c r="P118" s="499"/>
      <c r="Q118" s="17"/>
    </row>
    <row r="119">
      <c r="A119" s="11"/>
      <c r="B119" s="572"/>
      <c r="C119" s="531" t="s">
        <v>533</v>
      </c>
      <c r="D119" s="541" t="s">
        <v>162</v>
      </c>
      <c r="E119" s="67"/>
      <c r="F119" s="68"/>
      <c r="G119" s="69">
        <v>5.0</v>
      </c>
      <c r="H119" s="498"/>
      <c r="I119" s="434">
        <v>2.0</v>
      </c>
      <c r="J119" s="55">
        <v>2.0</v>
      </c>
      <c r="K119" s="55">
        <v>2.0</v>
      </c>
      <c r="L119" s="55">
        <v>3.0</v>
      </c>
      <c r="M119" s="567">
        <v>4.0</v>
      </c>
      <c r="N119" s="55">
        <v>2.0</v>
      </c>
      <c r="O119" s="55"/>
      <c r="P119" s="499"/>
      <c r="Q119" s="17"/>
    </row>
    <row r="120">
      <c r="A120" s="11"/>
      <c r="C120" s="531" t="s">
        <v>534</v>
      </c>
      <c r="D120" s="541" t="s">
        <v>67</v>
      </c>
      <c r="E120" s="67"/>
      <c r="F120" s="68"/>
      <c r="G120" s="69">
        <v>3.0</v>
      </c>
      <c r="H120" s="498"/>
      <c r="I120" s="434">
        <v>3.0</v>
      </c>
      <c r="J120" s="55">
        <v>4.0</v>
      </c>
      <c r="K120" s="55">
        <v>4.0</v>
      </c>
      <c r="L120" s="55">
        <v>4.0</v>
      </c>
      <c r="M120" s="567">
        <v>4.0</v>
      </c>
      <c r="N120" s="55">
        <v>3.0</v>
      </c>
      <c r="O120" s="55"/>
      <c r="P120" s="499"/>
      <c r="Q120" s="17"/>
    </row>
    <row r="121">
      <c r="A121" s="11"/>
      <c r="B121" s="22"/>
      <c r="C121" s="568" t="s">
        <v>535</v>
      </c>
      <c r="D121" s="555"/>
      <c r="E121" s="556">
        <v>1.0</v>
      </c>
      <c r="F121" s="557">
        <v>3.0</v>
      </c>
      <c r="G121" s="558">
        <v>1.0</v>
      </c>
      <c r="H121" s="498"/>
      <c r="I121" s="434">
        <v>1.0</v>
      </c>
      <c r="J121" s="55">
        <v>1.0</v>
      </c>
      <c r="K121" s="55">
        <v>1.0</v>
      </c>
      <c r="L121" s="55">
        <v>1.0</v>
      </c>
      <c r="M121" s="548">
        <v>2.0</v>
      </c>
      <c r="N121" s="55">
        <v>1.0</v>
      </c>
      <c r="O121" s="55"/>
      <c r="P121" s="499"/>
      <c r="Q121" s="17"/>
    </row>
    <row r="122">
      <c r="A122" s="11"/>
      <c r="B122" s="551"/>
      <c r="C122" s="496" t="s">
        <v>536</v>
      </c>
      <c r="D122" s="541" t="s">
        <v>162</v>
      </c>
      <c r="E122" s="67"/>
      <c r="F122" s="68"/>
      <c r="G122" s="69">
        <v>4.0</v>
      </c>
      <c r="H122" s="498"/>
      <c r="I122" s="434">
        <v>3.0</v>
      </c>
      <c r="J122" s="55">
        <v>3.0</v>
      </c>
      <c r="K122" s="55">
        <v>3.0</v>
      </c>
      <c r="L122" s="55">
        <v>3.0</v>
      </c>
      <c r="M122" s="548">
        <v>2.0</v>
      </c>
      <c r="N122" s="55">
        <v>2.0</v>
      </c>
      <c r="O122" s="55"/>
      <c r="P122" s="499"/>
      <c r="Q122" s="17"/>
    </row>
    <row r="123">
      <c r="A123" s="11"/>
      <c r="B123" s="22"/>
      <c r="C123" s="554" t="s">
        <v>537</v>
      </c>
      <c r="D123" s="555"/>
      <c r="E123" s="556">
        <v>2.0</v>
      </c>
      <c r="F123" s="557">
        <v>3.0</v>
      </c>
      <c r="G123" s="558">
        <v>2.0</v>
      </c>
      <c r="H123" s="498"/>
      <c r="I123" s="434">
        <v>1.0</v>
      </c>
      <c r="J123" s="55">
        <v>1.0</v>
      </c>
      <c r="K123" s="55">
        <v>1.0</v>
      </c>
      <c r="L123" s="55">
        <v>1.0</v>
      </c>
      <c r="M123" s="543">
        <v>1.0</v>
      </c>
      <c r="N123" s="55">
        <v>1.0</v>
      </c>
      <c r="O123" s="55"/>
      <c r="P123" s="499"/>
      <c r="Q123" s="17"/>
    </row>
    <row r="124">
      <c r="A124" s="11"/>
      <c r="B124" s="115"/>
      <c r="C124" s="496" t="s">
        <v>538</v>
      </c>
      <c r="D124" s="541"/>
      <c r="E124" s="67">
        <v>4.0</v>
      </c>
      <c r="F124" s="68">
        <v>3.0</v>
      </c>
      <c r="G124" s="69">
        <v>3.0</v>
      </c>
      <c r="H124" s="498"/>
      <c r="I124" s="434">
        <v>1.0</v>
      </c>
      <c r="J124" s="55">
        <v>1.0</v>
      </c>
      <c r="K124" s="55">
        <v>1.0</v>
      </c>
      <c r="L124" s="55">
        <v>1.0</v>
      </c>
      <c r="M124" s="548">
        <v>2.0</v>
      </c>
      <c r="N124" s="55">
        <v>1.0</v>
      </c>
      <c r="O124" s="55"/>
      <c r="P124" s="499"/>
      <c r="Q124" s="17"/>
    </row>
    <row r="125">
      <c r="A125" s="11"/>
      <c r="B125" s="22"/>
      <c r="C125" s="559" t="s">
        <v>539</v>
      </c>
      <c r="D125" s="550"/>
      <c r="E125" s="231">
        <v>1.0</v>
      </c>
      <c r="F125" s="232">
        <v>6.0</v>
      </c>
      <c r="G125" s="208">
        <v>3.0</v>
      </c>
      <c r="H125" s="498"/>
      <c r="I125" s="441">
        <v>4.0</v>
      </c>
      <c r="J125" s="442">
        <v>4.0</v>
      </c>
      <c r="K125" s="442">
        <v>4.0</v>
      </c>
      <c r="L125" s="442">
        <v>4.0</v>
      </c>
      <c r="M125" s="566">
        <v>3.0</v>
      </c>
      <c r="N125" s="442">
        <v>4.0</v>
      </c>
      <c r="O125" s="55"/>
      <c r="P125" s="560"/>
      <c r="Q125" s="17"/>
    </row>
    <row r="126">
      <c r="A126" s="11"/>
      <c r="B126" s="121"/>
      <c r="C126" s="195" t="s">
        <v>170</v>
      </c>
      <c r="D126" s="125"/>
      <c r="E126" s="125"/>
      <c r="F126" s="125"/>
      <c r="G126" s="125"/>
      <c r="H126" s="538"/>
      <c r="I126" s="127"/>
      <c r="J126" s="128"/>
      <c r="K126" s="128"/>
      <c r="L126" s="445"/>
      <c r="M126" s="539"/>
      <c r="N126" s="127"/>
      <c r="O126" s="130"/>
      <c r="P126" s="128"/>
      <c r="Q126" s="17"/>
    </row>
    <row r="127">
      <c r="A127" s="11"/>
      <c r="B127" s="135"/>
      <c r="C127" s="136"/>
      <c r="D127" s="525"/>
      <c r="E127" s="85"/>
      <c r="F127" s="85"/>
      <c r="G127" s="86"/>
      <c r="H127" s="498"/>
      <c r="I127" s="87" t="s">
        <v>1</v>
      </c>
      <c r="J127" s="88" t="s">
        <v>2</v>
      </c>
      <c r="K127" s="140" t="s">
        <v>426</v>
      </c>
      <c r="L127" s="93" t="s">
        <v>208</v>
      </c>
      <c r="M127" s="494" t="s">
        <v>3</v>
      </c>
      <c r="N127" s="526" t="s">
        <v>4</v>
      </c>
      <c r="O127" s="88" t="s">
        <v>210</v>
      </c>
      <c r="P127" s="88" t="s">
        <v>427</v>
      </c>
      <c r="Q127" s="17"/>
    </row>
    <row r="128">
      <c r="A128" s="11"/>
      <c r="B128" s="540"/>
      <c r="C128" s="531" t="s">
        <v>540</v>
      </c>
      <c r="D128" s="541" t="s">
        <v>112</v>
      </c>
      <c r="E128" s="67"/>
      <c r="F128" s="68"/>
      <c r="G128" s="69">
        <v>2.0</v>
      </c>
      <c r="H128" s="519" t="s">
        <v>437</v>
      </c>
      <c r="I128" s="457">
        <v>2.0</v>
      </c>
      <c r="J128" s="56">
        <v>3.0</v>
      </c>
      <c r="K128" s="56">
        <v>3.0</v>
      </c>
      <c r="L128" s="56">
        <v>3.0</v>
      </c>
      <c r="M128" s="446">
        <v>4.0</v>
      </c>
      <c r="N128" s="56">
        <v>3.0</v>
      </c>
      <c r="O128" s="146"/>
      <c r="P128" s="571"/>
      <c r="Q128" s="17"/>
    </row>
    <row r="129">
      <c r="A129" s="11"/>
      <c r="C129" s="531" t="s">
        <v>541</v>
      </c>
      <c r="D129" s="541" t="s">
        <v>112</v>
      </c>
      <c r="E129" s="67"/>
      <c r="F129" s="68"/>
      <c r="G129" s="69">
        <v>4.0</v>
      </c>
      <c r="H129" s="519" t="s">
        <v>437</v>
      </c>
      <c r="I129" s="434">
        <v>3.0</v>
      </c>
      <c r="J129" s="55">
        <v>3.0</v>
      </c>
      <c r="K129" s="55">
        <v>3.0</v>
      </c>
      <c r="L129" s="55">
        <v>3.0</v>
      </c>
      <c r="M129" s="566">
        <v>3.0</v>
      </c>
      <c r="N129" s="55">
        <v>3.0</v>
      </c>
      <c r="O129" s="156"/>
      <c r="P129" s="499"/>
      <c r="Q129" s="17"/>
    </row>
    <row r="130">
      <c r="A130" s="11"/>
      <c r="B130" s="544"/>
      <c r="C130" s="531" t="s">
        <v>542</v>
      </c>
      <c r="D130" s="541"/>
      <c r="E130" s="67">
        <v>4.0</v>
      </c>
      <c r="F130" s="68">
        <v>4.0</v>
      </c>
      <c r="G130" s="69">
        <v>4.0</v>
      </c>
      <c r="H130" s="498"/>
      <c r="I130" s="434">
        <v>1.0</v>
      </c>
      <c r="J130" s="55">
        <v>2.0</v>
      </c>
      <c r="K130" s="55">
        <v>1.0</v>
      </c>
      <c r="L130" s="55">
        <v>1.0</v>
      </c>
      <c r="M130" s="543">
        <v>1.0</v>
      </c>
      <c r="N130" s="55">
        <v>2.0</v>
      </c>
      <c r="O130" s="156"/>
      <c r="P130" s="499"/>
      <c r="Q130" s="17"/>
    </row>
    <row r="131">
      <c r="A131" s="11"/>
      <c r="B131" s="572"/>
      <c r="C131" s="531" t="s">
        <v>543</v>
      </c>
      <c r="D131" s="541"/>
      <c r="E131" s="67">
        <v>1.0</v>
      </c>
      <c r="F131" s="68">
        <v>3.0</v>
      </c>
      <c r="G131" s="69">
        <v>1.0</v>
      </c>
      <c r="H131" s="519" t="s">
        <v>437</v>
      </c>
      <c r="I131" s="434">
        <v>4.0</v>
      </c>
      <c r="J131" s="55">
        <v>3.0</v>
      </c>
      <c r="K131" s="55">
        <v>3.0</v>
      </c>
      <c r="L131" s="55">
        <v>3.0</v>
      </c>
      <c r="M131" s="567">
        <v>4.0</v>
      </c>
      <c r="N131" s="55">
        <v>4.0</v>
      </c>
      <c r="O131" s="156"/>
      <c r="P131" s="499"/>
      <c r="Q131" s="17"/>
    </row>
    <row r="132">
      <c r="A132" s="11"/>
      <c r="C132" s="531" t="s">
        <v>544</v>
      </c>
      <c r="D132" s="541" t="s">
        <v>67</v>
      </c>
      <c r="E132" s="67"/>
      <c r="F132" s="68"/>
      <c r="G132" s="69">
        <v>3.0</v>
      </c>
      <c r="H132" s="498"/>
      <c r="I132" s="434">
        <v>4.0</v>
      </c>
      <c r="J132" s="55">
        <v>4.0</v>
      </c>
      <c r="K132" s="55">
        <v>5.0</v>
      </c>
      <c r="L132" s="55">
        <v>5.0</v>
      </c>
      <c r="M132" s="573">
        <v>5.0</v>
      </c>
      <c r="N132" s="55">
        <v>5.0</v>
      </c>
      <c r="O132" s="156"/>
      <c r="P132" s="499"/>
      <c r="Q132" s="17"/>
    </row>
    <row r="133">
      <c r="A133" s="11"/>
      <c r="B133" s="22"/>
      <c r="C133" s="568" t="s">
        <v>545</v>
      </c>
      <c r="D133" s="555" t="s">
        <v>112</v>
      </c>
      <c r="E133" s="556"/>
      <c r="F133" s="557"/>
      <c r="G133" s="558">
        <v>6.0</v>
      </c>
      <c r="H133" s="498"/>
      <c r="I133" s="434">
        <v>2.0</v>
      </c>
      <c r="J133" s="55">
        <v>2.0</v>
      </c>
      <c r="K133" s="55">
        <v>3.0</v>
      </c>
      <c r="L133" s="55">
        <v>4.0</v>
      </c>
      <c r="M133" s="548">
        <v>2.0</v>
      </c>
      <c r="N133" s="55">
        <v>3.0</v>
      </c>
      <c r="O133" s="156"/>
      <c r="P133" s="499"/>
      <c r="Q133" s="17"/>
    </row>
    <row r="134">
      <c r="A134" s="11"/>
      <c r="B134" s="551"/>
      <c r="C134" s="496" t="s">
        <v>546</v>
      </c>
      <c r="D134" s="541" t="s">
        <v>112</v>
      </c>
      <c r="E134" s="67"/>
      <c r="F134" s="68"/>
      <c r="G134" s="69">
        <v>2.0</v>
      </c>
      <c r="H134" s="519" t="s">
        <v>437</v>
      </c>
      <c r="I134" s="434">
        <v>3.0</v>
      </c>
      <c r="J134" s="55">
        <v>3.0</v>
      </c>
      <c r="K134" s="55">
        <v>3.0</v>
      </c>
      <c r="L134" s="55">
        <v>3.0</v>
      </c>
      <c r="M134" s="543">
        <v>1.0</v>
      </c>
      <c r="N134" s="55">
        <v>2.0</v>
      </c>
      <c r="O134" s="156"/>
      <c r="P134" s="499"/>
      <c r="Q134" s="17"/>
    </row>
    <row r="135">
      <c r="A135" s="11"/>
      <c r="B135" s="22"/>
      <c r="C135" s="554" t="s">
        <v>547</v>
      </c>
      <c r="D135" s="555" t="s">
        <v>497</v>
      </c>
      <c r="E135" s="556"/>
      <c r="F135" s="557"/>
      <c r="G135" s="558">
        <v>3.0</v>
      </c>
      <c r="H135" s="498"/>
      <c r="I135" s="434">
        <v>1.0</v>
      </c>
      <c r="J135" s="55">
        <v>1.0</v>
      </c>
      <c r="K135" s="55">
        <v>1.0</v>
      </c>
      <c r="L135" s="442">
        <v>1.0</v>
      </c>
      <c r="M135" s="543">
        <v>1.0</v>
      </c>
      <c r="N135" s="55">
        <v>1.0</v>
      </c>
      <c r="O135" s="156"/>
      <c r="P135" s="499"/>
      <c r="Q135" s="17"/>
    </row>
    <row r="136">
      <c r="A136" s="11"/>
      <c r="B136" s="115"/>
      <c r="C136" s="496" t="s">
        <v>548</v>
      </c>
      <c r="D136" s="541"/>
      <c r="E136" s="67">
        <v>6.0</v>
      </c>
      <c r="F136" s="68">
        <v>8.0</v>
      </c>
      <c r="G136" s="69">
        <v>8.0</v>
      </c>
      <c r="H136" s="498"/>
      <c r="I136" s="434">
        <v>3.0</v>
      </c>
      <c r="J136" s="55">
        <v>3.0</v>
      </c>
      <c r="K136" s="55">
        <v>4.0</v>
      </c>
      <c r="L136" s="55">
        <v>4.0</v>
      </c>
      <c r="M136" s="566">
        <v>3.0</v>
      </c>
      <c r="N136" s="55">
        <v>3.0</v>
      </c>
      <c r="O136" s="156"/>
      <c r="P136" s="499"/>
      <c r="Q136" s="17"/>
    </row>
    <row r="137">
      <c r="A137" s="11"/>
      <c r="B137" s="22"/>
      <c r="C137" s="559" t="s">
        <v>549</v>
      </c>
      <c r="D137" s="550"/>
      <c r="E137" s="231">
        <v>3.0</v>
      </c>
      <c r="F137" s="232">
        <v>5.0</v>
      </c>
      <c r="G137" s="208">
        <v>4.0</v>
      </c>
      <c r="H137" s="498"/>
      <c r="I137" s="441">
        <v>1.0</v>
      </c>
      <c r="J137" s="442">
        <v>1.0</v>
      </c>
      <c r="K137" s="442">
        <v>1.0</v>
      </c>
      <c r="L137" s="442">
        <v>1.0</v>
      </c>
      <c r="M137" s="548">
        <v>2.0</v>
      </c>
      <c r="N137" s="442">
        <v>1.0</v>
      </c>
      <c r="O137" s="192"/>
      <c r="P137" s="560"/>
      <c r="Q137" s="17"/>
    </row>
    <row r="138">
      <c r="A138" s="11"/>
      <c r="B138" s="121"/>
      <c r="C138" s="195" t="s">
        <v>182</v>
      </c>
      <c r="D138" s="125"/>
      <c r="E138" s="125"/>
      <c r="F138" s="125"/>
      <c r="G138" s="125"/>
      <c r="H138" s="538"/>
      <c r="I138" s="127"/>
      <c r="J138" s="128"/>
      <c r="K138" s="128"/>
      <c r="L138" s="445"/>
      <c r="M138" s="539"/>
      <c r="N138" s="127"/>
      <c r="O138" s="130"/>
      <c r="P138" s="128"/>
      <c r="Q138" s="17"/>
    </row>
    <row r="139">
      <c r="A139" s="11"/>
      <c r="B139" s="135"/>
      <c r="C139" s="136"/>
      <c r="D139" s="525"/>
      <c r="E139" s="85"/>
      <c r="F139" s="85"/>
      <c r="G139" s="86"/>
      <c r="H139" s="498"/>
      <c r="I139" s="87" t="s">
        <v>1</v>
      </c>
      <c r="J139" s="88" t="s">
        <v>2</v>
      </c>
      <c r="K139" s="140" t="s">
        <v>426</v>
      </c>
      <c r="L139" s="93" t="s">
        <v>208</v>
      </c>
      <c r="M139" s="494" t="s">
        <v>3</v>
      </c>
      <c r="N139" s="526" t="s">
        <v>4</v>
      </c>
      <c r="O139" s="88" t="s">
        <v>210</v>
      </c>
      <c r="P139" s="88" t="s">
        <v>427</v>
      </c>
      <c r="Q139" s="17"/>
    </row>
    <row r="140">
      <c r="A140" s="11"/>
      <c r="B140" s="540"/>
      <c r="C140" s="531" t="s">
        <v>550</v>
      </c>
      <c r="D140" s="541"/>
      <c r="E140" s="67">
        <v>2.0</v>
      </c>
      <c r="F140" s="68">
        <v>4.0</v>
      </c>
      <c r="G140" s="69">
        <v>3.0</v>
      </c>
      <c r="H140" s="498"/>
      <c r="I140" s="457">
        <v>3.0</v>
      </c>
      <c r="J140" s="56">
        <v>3.0</v>
      </c>
      <c r="K140" s="56">
        <v>3.0</v>
      </c>
      <c r="L140" s="56">
        <v>2.0</v>
      </c>
      <c r="M140" s="448">
        <v>3.0</v>
      </c>
      <c r="N140" s="56">
        <v>3.0</v>
      </c>
      <c r="O140" s="146"/>
      <c r="P140" s="571"/>
      <c r="Q140" s="17"/>
    </row>
    <row r="141">
      <c r="A141" s="11"/>
      <c r="C141" s="531" t="s">
        <v>551</v>
      </c>
      <c r="D141" s="541"/>
      <c r="E141" s="67">
        <v>2.0</v>
      </c>
      <c r="F141" s="68">
        <v>4.0</v>
      </c>
      <c r="G141" s="69">
        <v>4.0</v>
      </c>
      <c r="H141" s="498"/>
      <c r="I141" s="434">
        <v>4.0</v>
      </c>
      <c r="J141" s="55">
        <v>3.0</v>
      </c>
      <c r="K141" s="55">
        <v>3.0</v>
      </c>
      <c r="L141" s="55">
        <v>3.0</v>
      </c>
      <c r="M141" s="567">
        <v>4.0</v>
      </c>
      <c r="N141" s="55">
        <v>3.0</v>
      </c>
      <c r="O141" s="156"/>
      <c r="P141" s="499"/>
      <c r="Q141" s="17"/>
    </row>
    <row r="142">
      <c r="A142" s="11"/>
      <c r="B142" s="544"/>
      <c r="C142" s="568" t="s">
        <v>552</v>
      </c>
      <c r="D142" s="555"/>
      <c r="E142" s="556">
        <v>2.0</v>
      </c>
      <c r="F142" s="557">
        <v>1.0</v>
      </c>
      <c r="G142" s="558">
        <v>1.0</v>
      </c>
      <c r="H142" s="498"/>
      <c r="I142" s="434">
        <v>2.0</v>
      </c>
      <c r="J142" s="55">
        <v>2.0</v>
      </c>
      <c r="K142" s="55">
        <v>3.0</v>
      </c>
      <c r="L142" s="55">
        <v>3.0</v>
      </c>
      <c r="M142" s="548">
        <v>2.0</v>
      </c>
      <c r="N142" s="55">
        <v>3.0</v>
      </c>
      <c r="O142" s="156"/>
      <c r="P142" s="499"/>
      <c r="Q142" s="17"/>
    </row>
    <row r="143">
      <c r="A143" s="11"/>
      <c r="B143" s="572"/>
      <c r="C143" s="531" t="s">
        <v>553</v>
      </c>
      <c r="D143" s="541" t="s">
        <v>67</v>
      </c>
      <c r="E143" s="67"/>
      <c r="F143" s="68"/>
      <c r="G143" s="69">
        <v>2.0</v>
      </c>
      <c r="H143" s="519" t="s">
        <v>437</v>
      </c>
      <c r="I143" s="434">
        <v>2.0</v>
      </c>
      <c r="J143" s="55">
        <v>4.0</v>
      </c>
      <c r="K143" s="55">
        <v>3.0</v>
      </c>
      <c r="L143" s="55">
        <v>1.0</v>
      </c>
      <c r="M143" s="567">
        <v>4.0</v>
      </c>
      <c r="N143" s="55">
        <v>2.0</v>
      </c>
      <c r="O143" s="156"/>
      <c r="P143" s="499"/>
      <c r="Q143" s="17"/>
    </row>
    <row r="144">
      <c r="A144" s="11"/>
      <c r="C144" s="531" t="s">
        <v>554</v>
      </c>
      <c r="D144" s="541" t="s">
        <v>162</v>
      </c>
      <c r="E144" s="67"/>
      <c r="F144" s="68"/>
      <c r="G144" s="69">
        <v>7.0</v>
      </c>
      <c r="H144" s="498"/>
      <c r="I144" s="434">
        <v>1.0</v>
      </c>
      <c r="J144" s="55">
        <v>2.0</v>
      </c>
      <c r="K144" s="55">
        <v>2.0</v>
      </c>
      <c r="L144" s="55">
        <v>1.0</v>
      </c>
      <c r="M144" s="543">
        <v>1.0</v>
      </c>
      <c r="N144" s="55">
        <v>1.0</v>
      </c>
      <c r="O144" s="156"/>
      <c r="P144" s="499"/>
      <c r="Q144" s="17"/>
    </row>
    <row r="145">
      <c r="A145" s="11"/>
      <c r="B145" s="22"/>
      <c r="C145" s="568" t="s">
        <v>555</v>
      </c>
      <c r="D145" s="555" t="s">
        <v>71</v>
      </c>
      <c r="E145" s="556"/>
      <c r="F145" s="557"/>
      <c r="G145" s="558">
        <v>3.0</v>
      </c>
      <c r="H145" s="498"/>
      <c r="I145" s="434">
        <v>1.0</v>
      </c>
      <c r="J145" s="55">
        <v>1.0</v>
      </c>
      <c r="K145" s="55">
        <v>1.0</v>
      </c>
      <c r="L145" s="55">
        <v>1.0</v>
      </c>
      <c r="M145" s="543">
        <v>1.0</v>
      </c>
      <c r="N145" s="55">
        <v>2.0</v>
      </c>
      <c r="O145" s="156"/>
      <c r="P145" s="499"/>
      <c r="Q145" s="17"/>
    </row>
    <row r="146">
      <c r="A146" s="11"/>
      <c r="B146" s="551"/>
      <c r="C146" s="496" t="s">
        <v>556</v>
      </c>
      <c r="D146" s="541" t="s">
        <v>71</v>
      </c>
      <c r="E146" s="67"/>
      <c r="F146" s="68"/>
      <c r="G146" s="69">
        <v>1.0</v>
      </c>
      <c r="H146" s="498"/>
      <c r="I146" s="434">
        <v>2.0</v>
      </c>
      <c r="J146" s="55">
        <v>1.0</v>
      </c>
      <c r="K146" s="55">
        <v>2.0</v>
      </c>
      <c r="L146" s="55">
        <v>1.0</v>
      </c>
      <c r="M146" s="543">
        <v>1.0</v>
      </c>
      <c r="N146" s="55">
        <v>3.0</v>
      </c>
      <c r="O146" s="156"/>
      <c r="P146" s="499"/>
      <c r="Q146" s="17"/>
    </row>
    <row r="147">
      <c r="A147" s="11"/>
      <c r="B147" s="22"/>
      <c r="C147" s="554" t="s">
        <v>557</v>
      </c>
      <c r="D147" s="555"/>
      <c r="E147" s="556">
        <v>3.0</v>
      </c>
      <c r="F147" s="557">
        <v>4.0</v>
      </c>
      <c r="G147" s="558">
        <v>5.0</v>
      </c>
      <c r="H147" s="519" t="s">
        <v>437</v>
      </c>
      <c r="I147" s="434">
        <v>3.0</v>
      </c>
      <c r="J147" s="55">
        <v>4.0</v>
      </c>
      <c r="K147" s="55">
        <v>4.0</v>
      </c>
      <c r="L147" s="55">
        <v>4.0</v>
      </c>
      <c r="M147" s="543">
        <v>1.0</v>
      </c>
      <c r="N147" s="55">
        <v>3.0</v>
      </c>
      <c r="O147" s="156"/>
      <c r="P147" s="499"/>
      <c r="Q147" s="17"/>
    </row>
    <row r="148">
      <c r="A148" s="11"/>
      <c r="B148" s="115"/>
      <c r="C148" s="496" t="s">
        <v>558</v>
      </c>
      <c r="D148" s="541"/>
      <c r="E148" s="67">
        <v>3.0</v>
      </c>
      <c r="F148" s="68">
        <v>3.0</v>
      </c>
      <c r="G148" s="69">
        <v>3.0</v>
      </c>
      <c r="H148" s="519" t="s">
        <v>437</v>
      </c>
      <c r="I148" s="434">
        <v>3.0</v>
      </c>
      <c r="J148" s="55">
        <v>3.0</v>
      </c>
      <c r="K148" s="55">
        <v>3.0</v>
      </c>
      <c r="L148" s="55">
        <v>3.0</v>
      </c>
      <c r="M148" s="548">
        <v>2.0</v>
      </c>
      <c r="N148" s="55">
        <v>1.0</v>
      </c>
      <c r="O148" s="156"/>
      <c r="P148" s="499"/>
      <c r="Q148" s="17"/>
    </row>
    <row r="149">
      <c r="A149" s="11"/>
      <c r="B149" s="22"/>
      <c r="C149" s="559" t="s">
        <v>559</v>
      </c>
      <c r="D149" s="550"/>
      <c r="E149" s="231">
        <v>7.0</v>
      </c>
      <c r="F149" s="232">
        <v>7.0</v>
      </c>
      <c r="G149" s="208">
        <v>7.0</v>
      </c>
      <c r="H149" s="498"/>
      <c r="I149" s="441">
        <v>2.0</v>
      </c>
      <c r="J149" s="442">
        <v>1.0</v>
      </c>
      <c r="K149" s="442">
        <v>1.0</v>
      </c>
      <c r="L149" s="442">
        <v>1.0</v>
      </c>
      <c r="M149" s="543">
        <v>1.0</v>
      </c>
      <c r="N149" s="442">
        <v>1.0</v>
      </c>
      <c r="O149" s="192"/>
      <c r="P149" s="560"/>
      <c r="Q149" s="17"/>
    </row>
    <row r="150">
      <c r="A150" s="11"/>
      <c r="B150" s="121"/>
      <c r="C150" s="195" t="s">
        <v>193</v>
      </c>
      <c r="D150" s="125"/>
      <c r="E150" s="125"/>
      <c r="F150" s="125"/>
      <c r="G150" s="125"/>
      <c r="H150" s="538"/>
      <c r="I150" s="127"/>
      <c r="J150" s="128"/>
      <c r="K150" s="128"/>
      <c r="L150" s="445"/>
      <c r="M150" s="539"/>
      <c r="N150" s="574"/>
      <c r="O150" s="130"/>
      <c r="P150" s="128"/>
      <c r="Q150" s="17"/>
    </row>
    <row r="151">
      <c r="A151" s="11"/>
      <c r="B151" s="524"/>
      <c r="C151" s="136"/>
      <c r="D151" s="525"/>
      <c r="E151" s="85"/>
      <c r="F151" s="85"/>
      <c r="G151" s="86"/>
      <c r="H151" s="498"/>
      <c r="I151" s="87" t="s">
        <v>1</v>
      </c>
      <c r="J151" s="88" t="s">
        <v>2</v>
      </c>
      <c r="K151" s="140" t="s">
        <v>426</v>
      </c>
      <c r="L151" s="93" t="s">
        <v>208</v>
      </c>
      <c r="M151" s="494" t="s">
        <v>3</v>
      </c>
      <c r="N151" s="526" t="s">
        <v>4</v>
      </c>
      <c r="O151" s="88" t="s">
        <v>210</v>
      </c>
      <c r="P151" s="88" t="s">
        <v>427</v>
      </c>
      <c r="Q151" s="17"/>
    </row>
    <row r="152">
      <c r="A152" s="11"/>
      <c r="B152" s="575"/>
      <c r="C152" s="531" t="s">
        <v>560</v>
      </c>
      <c r="D152" s="541" t="s">
        <v>77</v>
      </c>
      <c r="E152" s="67">
        <v>2.0</v>
      </c>
      <c r="F152" s="68">
        <v>2.0</v>
      </c>
      <c r="G152" s="69">
        <v>3.0</v>
      </c>
      <c r="H152" s="519" t="s">
        <v>437</v>
      </c>
      <c r="I152" s="457">
        <v>2.0</v>
      </c>
      <c r="J152" s="56">
        <v>5.0</v>
      </c>
      <c r="K152" s="56">
        <v>2.0</v>
      </c>
      <c r="L152" s="56">
        <v>2.0</v>
      </c>
      <c r="M152" s="446">
        <v>4.0</v>
      </c>
      <c r="N152" s="56">
        <v>5.0</v>
      </c>
      <c r="O152" s="146"/>
      <c r="P152" s="571"/>
      <c r="Q152" s="17"/>
    </row>
    <row r="153">
      <c r="A153" s="11"/>
      <c r="C153" s="531" t="s">
        <v>561</v>
      </c>
      <c r="D153" s="541"/>
      <c r="E153" s="67">
        <v>4.0</v>
      </c>
      <c r="F153" s="68">
        <v>4.0</v>
      </c>
      <c r="G153" s="69">
        <v>2.0</v>
      </c>
      <c r="H153" s="498"/>
      <c r="I153" s="434">
        <v>2.0</v>
      </c>
      <c r="J153" s="55">
        <v>3.0</v>
      </c>
      <c r="K153" s="55">
        <v>2.0</v>
      </c>
      <c r="L153" s="55">
        <v>2.0</v>
      </c>
      <c r="M153" s="548">
        <v>2.0</v>
      </c>
      <c r="N153" s="55">
        <v>3.0</v>
      </c>
      <c r="O153" s="156"/>
      <c r="P153" s="499"/>
      <c r="Q153" s="17"/>
    </row>
    <row r="154">
      <c r="A154" s="11"/>
      <c r="C154" s="531" t="s">
        <v>562</v>
      </c>
      <c r="D154" s="541" t="s">
        <v>563</v>
      </c>
      <c r="E154" s="67"/>
      <c r="F154" s="68"/>
      <c r="G154" s="69">
        <v>2.0</v>
      </c>
      <c r="H154" s="498"/>
      <c r="I154" s="434">
        <v>3.0</v>
      </c>
      <c r="J154" s="55">
        <v>2.0</v>
      </c>
      <c r="K154" s="55">
        <v>2.0</v>
      </c>
      <c r="L154" s="55">
        <v>2.0</v>
      </c>
      <c r="M154" s="517">
        <v>3.0</v>
      </c>
      <c r="N154" s="55">
        <v>2.0</v>
      </c>
      <c r="O154" s="156"/>
      <c r="P154" s="499"/>
      <c r="Q154" s="17"/>
    </row>
    <row r="155">
      <c r="A155" s="11"/>
      <c r="B155" s="283"/>
      <c r="C155" s="496" t="s">
        <v>564</v>
      </c>
      <c r="D155" s="541" t="s">
        <v>563</v>
      </c>
      <c r="E155" s="67"/>
      <c r="F155" s="68"/>
      <c r="G155" s="69">
        <v>3.0</v>
      </c>
      <c r="H155" s="498"/>
      <c r="I155" s="434">
        <v>3.0</v>
      </c>
      <c r="J155" s="55">
        <v>2.0</v>
      </c>
      <c r="K155" s="55">
        <v>2.0</v>
      </c>
      <c r="L155" s="55">
        <v>2.0</v>
      </c>
      <c r="M155" s="517">
        <v>3.0</v>
      </c>
      <c r="N155" s="55">
        <v>2.0</v>
      </c>
      <c r="O155" s="156"/>
      <c r="P155" s="499"/>
      <c r="Q155" s="17"/>
    </row>
    <row r="156">
      <c r="A156" s="11"/>
      <c r="C156" s="531" t="s">
        <v>565</v>
      </c>
      <c r="D156" s="541" t="s">
        <v>67</v>
      </c>
      <c r="E156" s="67"/>
      <c r="F156" s="68"/>
      <c r="G156" s="69">
        <v>3.0</v>
      </c>
      <c r="H156" s="519" t="s">
        <v>437</v>
      </c>
      <c r="I156" s="434">
        <v>5.0</v>
      </c>
      <c r="J156" s="55">
        <v>2.0</v>
      </c>
      <c r="K156" s="55">
        <v>3.0</v>
      </c>
      <c r="L156" s="55">
        <v>3.0</v>
      </c>
      <c r="M156" s="517">
        <v>3.0</v>
      </c>
      <c r="N156" s="55">
        <v>2.0</v>
      </c>
      <c r="O156" s="156"/>
      <c r="P156" s="499"/>
      <c r="Q156" s="17"/>
    </row>
    <row r="157">
      <c r="A157" s="11"/>
      <c r="C157" s="568" t="s">
        <v>566</v>
      </c>
      <c r="D157" s="555" t="s">
        <v>71</v>
      </c>
      <c r="E157" s="556"/>
      <c r="F157" s="557"/>
      <c r="G157" s="558">
        <v>0.0</v>
      </c>
      <c r="H157" s="498"/>
      <c r="I157" s="434">
        <v>2.0</v>
      </c>
      <c r="J157" s="55">
        <v>4.0</v>
      </c>
      <c r="K157" s="55">
        <v>2.0</v>
      </c>
      <c r="L157" s="55">
        <v>3.0</v>
      </c>
      <c r="M157" s="517">
        <v>3.0</v>
      </c>
      <c r="N157" s="55">
        <v>4.0</v>
      </c>
      <c r="O157" s="156"/>
      <c r="P157" s="499"/>
      <c r="Q157" s="17"/>
    </row>
    <row r="158">
      <c r="A158" s="11"/>
      <c r="B158" s="551"/>
      <c r="C158" s="496" t="s">
        <v>567</v>
      </c>
      <c r="D158" s="541" t="s">
        <v>563</v>
      </c>
      <c r="E158" s="67"/>
      <c r="F158" s="68"/>
      <c r="G158" s="69">
        <v>5.0</v>
      </c>
      <c r="H158" s="519" t="s">
        <v>437</v>
      </c>
      <c r="I158" s="434">
        <v>4.0</v>
      </c>
      <c r="J158" s="55">
        <v>2.0</v>
      </c>
      <c r="K158" s="55">
        <v>3.0</v>
      </c>
      <c r="L158" s="55">
        <v>4.0</v>
      </c>
      <c r="M158" s="517">
        <v>3.0</v>
      </c>
      <c r="N158" s="55">
        <v>2.0</v>
      </c>
      <c r="O158" s="156"/>
      <c r="P158" s="499"/>
      <c r="Q158" s="17"/>
    </row>
    <row r="159">
      <c r="A159" s="11"/>
      <c r="B159" s="22"/>
      <c r="C159" s="496" t="s">
        <v>568</v>
      </c>
      <c r="D159" s="541"/>
      <c r="E159" s="67"/>
      <c r="F159" s="68"/>
      <c r="G159" s="69">
        <v>1.0</v>
      </c>
      <c r="H159" s="498"/>
      <c r="I159" s="434">
        <v>1.0</v>
      </c>
      <c r="J159" s="55">
        <v>1.0</v>
      </c>
      <c r="K159" s="55">
        <v>1.0</v>
      </c>
      <c r="L159" s="55">
        <v>1.0</v>
      </c>
      <c r="M159" s="501">
        <v>1.0</v>
      </c>
      <c r="N159" s="55">
        <v>1.0</v>
      </c>
      <c r="O159" s="156"/>
      <c r="P159" s="499"/>
      <c r="Q159" s="17"/>
    </row>
    <row r="160">
      <c r="A160" s="11"/>
      <c r="B160" s="115"/>
      <c r="C160" s="496" t="s">
        <v>569</v>
      </c>
      <c r="D160" s="541"/>
      <c r="E160" s="67">
        <v>7.0</v>
      </c>
      <c r="F160" s="68">
        <v>7.0</v>
      </c>
      <c r="G160" s="69">
        <v>4.0</v>
      </c>
      <c r="H160" s="498"/>
      <c r="I160" s="434">
        <v>2.0</v>
      </c>
      <c r="J160" s="55">
        <v>3.0</v>
      </c>
      <c r="K160" s="55">
        <v>3.0</v>
      </c>
      <c r="L160" s="55">
        <v>3.0</v>
      </c>
      <c r="M160" s="530">
        <v>4.0</v>
      </c>
      <c r="N160" s="55">
        <v>4.0</v>
      </c>
      <c r="O160" s="156"/>
      <c r="P160" s="499"/>
      <c r="Q160" s="17"/>
    </row>
    <row r="161">
      <c r="A161" s="11"/>
      <c r="B161" s="22"/>
      <c r="C161" s="554" t="s">
        <v>570</v>
      </c>
      <c r="D161" s="555"/>
      <c r="E161" s="556">
        <v>8.0</v>
      </c>
      <c r="F161" s="557">
        <v>8.0</v>
      </c>
      <c r="G161" s="558">
        <v>8.0</v>
      </c>
      <c r="H161" s="570" t="s">
        <v>437</v>
      </c>
      <c r="I161" s="474">
        <v>5.0</v>
      </c>
      <c r="J161" s="75">
        <v>2.0</v>
      </c>
      <c r="K161" s="75">
        <v>3.0</v>
      </c>
      <c r="L161" s="75">
        <v>3.0</v>
      </c>
      <c r="M161" s="576">
        <v>3.0</v>
      </c>
      <c r="N161" s="75">
        <v>2.0</v>
      </c>
      <c r="O161" s="192"/>
      <c r="P161" s="577"/>
      <c r="Q161" s="17"/>
    </row>
    <row r="162">
      <c r="A162" s="11"/>
      <c r="B162" s="332"/>
      <c r="C162" s="333"/>
      <c r="D162" s="333"/>
      <c r="E162" s="333"/>
      <c r="F162" s="333"/>
      <c r="G162" s="333"/>
      <c r="H162" s="294"/>
      <c r="I162" s="295"/>
      <c r="J162" s="295"/>
      <c r="K162" s="295"/>
      <c r="L162" s="295"/>
      <c r="M162" s="295"/>
      <c r="N162" s="295"/>
      <c r="O162" s="295"/>
      <c r="P162" s="296"/>
      <c r="Q162" s="17"/>
    </row>
    <row r="163">
      <c r="A163" s="11"/>
      <c r="B163" s="300"/>
      <c r="C163" s="301"/>
      <c r="D163" s="344"/>
      <c r="F163" s="17"/>
      <c r="G163" s="304"/>
      <c r="H163" s="305"/>
      <c r="I163" s="87" t="s">
        <v>1</v>
      </c>
      <c r="J163" s="88" t="s">
        <v>2</v>
      </c>
      <c r="K163" s="140" t="s">
        <v>426</v>
      </c>
      <c r="L163" s="88" t="s">
        <v>208</v>
      </c>
      <c r="M163" s="88" t="s">
        <v>3</v>
      </c>
      <c r="N163" s="88" t="s">
        <v>4</v>
      </c>
      <c r="O163" s="88" t="s">
        <v>210</v>
      </c>
      <c r="P163" s="88" t="s">
        <v>427</v>
      </c>
      <c r="Q163" s="17"/>
    </row>
    <row r="164">
      <c r="A164" s="11"/>
      <c r="B164" s="307"/>
      <c r="C164" s="307"/>
      <c r="F164" s="17"/>
      <c r="G164" s="309"/>
      <c r="H164" s="310" t="s">
        <v>204</v>
      </c>
      <c r="I164" s="311">
        <f t="shared" ref="I164:K164" si="1">IFERROR(AVERAGE(I6:I25,I27:I41,I44:I53,I56:I65,I68:I77,I80:I89,I92:I101,I104:I113,I116:I125,I128:I137,I140:I149,I152:I161),"")</f>
        <v>2.318518519</v>
      </c>
      <c r="J164" s="311">
        <f t="shared" si="1"/>
        <v>2.192592593</v>
      </c>
      <c r="K164" s="311">
        <f t="shared" si="1"/>
        <v>2.318518519</v>
      </c>
      <c r="L164" s="311">
        <f>IFERROR(AVERAGE(L6:L25,L27:L41,L44:L52,L56:L65,L68:L77,L80:L89,L92:L101,L104:L113,L116:L125,L128:L137,L140:L149,L152:L161),"")</f>
        <v>2.253731343</v>
      </c>
      <c r="M164" s="311">
        <f t="shared" ref="M164:P164" si="2">IFERROR(AVERAGE(M6:M25,M27:M41,M44:M53,M56:M65,M68:M77,M80:M89,M92:M101,M104:M113,M116:M125,M128:M137,M140:M149,M152:M161),"")</f>
        <v>2.362962963</v>
      </c>
      <c r="N164" s="311">
        <f t="shared" si="2"/>
        <v>2.244444444</v>
      </c>
      <c r="O164" s="311" t="str">
        <f t="shared" si="2"/>
        <v/>
      </c>
      <c r="P164" s="311" t="str">
        <f t="shared" si="2"/>
        <v/>
      </c>
      <c r="Q164" s="17"/>
    </row>
    <row r="165">
      <c r="A165" s="11"/>
      <c r="B165" s="313"/>
      <c r="C165" s="313"/>
      <c r="F165" s="17"/>
      <c r="G165" s="314"/>
      <c r="H165" s="310" t="s">
        <v>205</v>
      </c>
      <c r="I165" s="311">
        <f t="shared" ref="I165:N165" si="3">IFERROR(STDEV(I6:I25,I27:I41,I44:I53,I56:I65,I68:I77,I80:I89,I92:I101,I104:I113,I116:I125,I128:I137,I140:I149,I152:I161),"")</f>
        <v>1.163190747</v>
      </c>
      <c r="J165" s="311">
        <f t="shared" si="3"/>
        <v>1.0823985</v>
      </c>
      <c r="K165" s="311">
        <f t="shared" si="3"/>
        <v>1.163190747</v>
      </c>
      <c r="L165" s="311">
        <f t="shared" si="3"/>
        <v>1.251643475</v>
      </c>
      <c r="M165" s="311">
        <f t="shared" si="3"/>
        <v>1.243534967</v>
      </c>
      <c r="N165" s="311">
        <f t="shared" si="3"/>
        <v>1.187413259</v>
      </c>
      <c r="O165" s="318"/>
      <c r="P165" s="319"/>
      <c r="Q165" s="17"/>
    </row>
    <row r="166">
      <c r="A166" s="11"/>
      <c r="B166" s="300"/>
      <c r="C166" s="301"/>
      <c r="F166" s="17"/>
      <c r="G166" s="316" t="s">
        <v>206</v>
      </c>
      <c r="H166" s="317"/>
      <c r="O166" s="318"/>
      <c r="P166" s="319"/>
      <c r="Q166" s="17"/>
    </row>
    <row r="167">
      <c r="A167" s="11"/>
      <c r="B167" s="322"/>
      <c r="C167" s="323"/>
      <c r="F167" s="17"/>
      <c r="G167" s="316">
        <v>1.0</v>
      </c>
      <c r="H167" s="325"/>
      <c r="I167" s="316">
        <f t="shared" ref="I167:P167" si="4">COUNTIF(I6:I161,$G$167)</f>
        <v>41</v>
      </c>
      <c r="J167" s="316">
        <f t="shared" si="4"/>
        <v>42</v>
      </c>
      <c r="K167" s="316">
        <f t="shared" si="4"/>
        <v>41</v>
      </c>
      <c r="L167" s="316">
        <f t="shared" si="4"/>
        <v>54</v>
      </c>
      <c r="M167" s="316">
        <f t="shared" si="4"/>
        <v>44</v>
      </c>
      <c r="N167" s="316">
        <f t="shared" si="4"/>
        <v>48</v>
      </c>
      <c r="O167" s="316">
        <f t="shared" si="4"/>
        <v>0</v>
      </c>
      <c r="P167" s="316">
        <f t="shared" si="4"/>
        <v>0</v>
      </c>
      <c r="Q167" s="17"/>
    </row>
    <row r="168">
      <c r="A168" s="11"/>
      <c r="B168" s="328"/>
      <c r="C168" s="323"/>
      <c r="F168" s="17"/>
      <c r="G168" s="316">
        <v>2.0</v>
      </c>
      <c r="H168" s="325"/>
      <c r="I168" s="316">
        <f t="shared" ref="I168:L168" si="5">COUNTIF(I6:I161,$G$168)</f>
        <v>40</v>
      </c>
      <c r="J168" s="316">
        <f t="shared" si="5"/>
        <v>49</v>
      </c>
      <c r="K168" s="316">
        <f t="shared" si="5"/>
        <v>40</v>
      </c>
      <c r="L168" s="316">
        <f t="shared" si="5"/>
        <v>24</v>
      </c>
      <c r="M168" s="316">
        <f>COUNTIF(M28:M162,$G$168)</f>
        <v>22</v>
      </c>
      <c r="N168" s="316">
        <f>COUNTIF(N6:N161,$G$168)</f>
        <v>34</v>
      </c>
      <c r="O168" s="316">
        <f t="shared" ref="O168:P168" si="6">COUNTIF(O28:O162,$G$168)</f>
        <v>0</v>
      </c>
      <c r="P168" s="316">
        <f t="shared" si="6"/>
        <v>0</v>
      </c>
      <c r="Q168" s="17"/>
    </row>
    <row r="169">
      <c r="A169" s="11"/>
      <c r="B169" s="328"/>
      <c r="C169" s="323"/>
      <c r="F169" s="17"/>
      <c r="G169" s="329">
        <v>3.0</v>
      </c>
      <c r="H169" s="325"/>
      <c r="I169" s="329">
        <f t="shared" ref="I169:L169" si="7">COUNTIF(I6:I161,$G$169)</f>
        <v>29</v>
      </c>
      <c r="J169" s="329">
        <f t="shared" si="7"/>
        <v>22</v>
      </c>
      <c r="K169" s="329">
        <f t="shared" si="7"/>
        <v>29</v>
      </c>
      <c r="L169" s="329">
        <f t="shared" si="7"/>
        <v>31</v>
      </c>
      <c r="M169" s="329">
        <f>COUNTIF(M6:M163,$G$169)</f>
        <v>28</v>
      </c>
      <c r="N169" s="329">
        <f>COUNTIF(N6:N161,$G$169)</f>
        <v>31</v>
      </c>
      <c r="O169" s="329">
        <f t="shared" ref="O169:P169" si="8">COUNTIF(O6:O163,$G$169)</f>
        <v>0</v>
      </c>
      <c r="P169" s="329">
        <f t="shared" si="8"/>
        <v>0</v>
      </c>
      <c r="Q169" s="17"/>
    </row>
    <row r="170">
      <c r="A170" s="11"/>
      <c r="B170" s="328"/>
      <c r="C170" s="323"/>
      <c r="F170" s="17"/>
      <c r="G170" s="316">
        <v>4.0</v>
      </c>
      <c r="H170" s="325"/>
      <c r="I170" s="316">
        <f t="shared" ref="I170:L170" si="9">COUNTIF(I6:I161,$G$170)</f>
        <v>20</v>
      </c>
      <c r="J170" s="316">
        <f t="shared" si="9"/>
        <v>20</v>
      </c>
      <c r="K170" s="316">
        <f t="shared" si="9"/>
        <v>20</v>
      </c>
      <c r="L170" s="316">
        <f t="shared" si="9"/>
        <v>20</v>
      </c>
      <c r="M170" s="316">
        <f>COUNTIF(M7:M164,$G$170)</f>
        <v>26</v>
      </c>
      <c r="N170" s="316">
        <f>COUNTIF(N6:N161,$G$170)</f>
        <v>16</v>
      </c>
      <c r="O170" s="316">
        <f t="shared" ref="O170:P170" si="10">COUNTIF(O7:O164,$G$170)</f>
        <v>0</v>
      </c>
      <c r="P170" s="316">
        <f t="shared" si="10"/>
        <v>0</v>
      </c>
      <c r="Q170" s="17"/>
    </row>
    <row r="171">
      <c r="A171" s="11"/>
      <c r="B171" s="328"/>
      <c r="C171" s="323"/>
      <c r="F171" s="17"/>
      <c r="G171" s="329">
        <v>5.0</v>
      </c>
      <c r="H171" s="325"/>
      <c r="I171" s="329">
        <f t="shared" ref="I171:L171" si="11">COUNTIF(I6:I161,$G$171)</f>
        <v>5</v>
      </c>
      <c r="J171" s="329">
        <f t="shared" si="11"/>
        <v>2</v>
      </c>
      <c r="K171" s="329">
        <f t="shared" si="11"/>
        <v>5</v>
      </c>
      <c r="L171" s="329">
        <f t="shared" si="11"/>
        <v>6</v>
      </c>
      <c r="M171" s="329">
        <f>COUNTIF(M8:M165,$G$171)</f>
        <v>5</v>
      </c>
      <c r="N171" s="329">
        <f>COUNTIF(N6:N161,$G$171)</f>
        <v>6</v>
      </c>
      <c r="O171" s="329">
        <f t="shared" ref="O171:P171" si="12">COUNTIF(O8:O165,$G$171)</f>
        <v>0</v>
      </c>
      <c r="P171" s="329">
        <f t="shared" si="12"/>
        <v>0</v>
      </c>
      <c r="Q171" s="17"/>
    </row>
    <row r="172">
      <c r="A172" s="286"/>
      <c r="B172" s="332"/>
      <c r="C172" s="333"/>
      <c r="D172" s="334"/>
      <c r="E172" s="334"/>
      <c r="F172" s="287"/>
      <c r="G172" s="291"/>
      <c r="H172" s="294"/>
      <c r="I172" s="291"/>
      <c r="J172" s="291"/>
      <c r="K172" s="291"/>
      <c r="L172" s="291"/>
      <c r="M172" s="291"/>
      <c r="N172" s="291"/>
      <c r="O172" s="291"/>
      <c r="P172" s="291"/>
      <c r="Q172" s="287"/>
    </row>
  </sheetData>
  <mergeCells count="54">
    <mergeCell ref="B2:H3"/>
    <mergeCell ref="C4:H4"/>
    <mergeCell ref="D163:F172"/>
    <mergeCell ref="H166:N166"/>
    <mergeCell ref="A1:A172"/>
    <mergeCell ref="I1:I3"/>
    <mergeCell ref="J1:J3"/>
    <mergeCell ref="K1:K3"/>
    <mergeCell ref="L1:L3"/>
    <mergeCell ref="M1:M3"/>
    <mergeCell ref="N1:N3"/>
    <mergeCell ref="B80:B82"/>
    <mergeCell ref="B83:B85"/>
    <mergeCell ref="B86:B87"/>
    <mergeCell ref="B88:B89"/>
    <mergeCell ref="B92:B94"/>
    <mergeCell ref="B95:B97"/>
    <mergeCell ref="B98:B99"/>
    <mergeCell ref="B100:B101"/>
    <mergeCell ref="B104:B106"/>
    <mergeCell ref="B107:B109"/>
    <mergeCell ref="B110:B111"/>
    <mergeCell ref="B112:B113"/>
    <mergeCell ref="B116:B118"/>
    <mergeCell ref="B119:B121"/>
    <mergeCell ref="B158:B159"/>
    <mergeCell ref="B160:B161"/>
    <mergeCell ref="B136:B137"/>
    <mergeCell ref="B140:B142"/>
    <mergeCell ref="B143:B145"/>
    <mergeCell ref="B146:B147"/>
    <mergeCell ref="B148:B149"/>
    <mergeCell ref="B152:B154"/>
    <mergeCell ref="B155:B157"/>
    <mergeCell ref="O1:O3"/>
    <mergeCell ref="P1:P3"/>
    <mergeCell ref="Q1:Q172"/>
    <mergeCell ref="B44:B46"/>
    <mergeCell ref="B47:B49"/>
    <mergeCell ref="B50:B51"/>
    <mergeCell ref="B52:B53"/>
    <mergeCell ref="B56:B58"/>
    <mergeCell ref="B59:B61"/>
    <mergeCell ref="B62:B63"/>
    <mergeCell ref="B64:B65"/>
    <mergeCell ref="B68:B70"/>
    <mergeCell ref="B71:B73"/>
    <mergeCell ref="B74:B75"/>
    <mergeCell ref="B76:B77"/>
    <mergeCell ref="B122:B123"/>
    <mergeCell ref="B124:B125"/>
    <mergeCell ref="B128:B130"/>
    <mergeCell ref="B131:B133"/>
    <mergeCell ref="B134:B135"/>
  </mergeCells>
  <conditionalFormatting sqref="I6:P25 I27:P41 I44:P53 I56:P65 I68:P77 I80:P89 I92:P101 I104:P113 I116:P125 I128:P137 I140:P149 I152:P161">
    <cfRule type="cellIs" dxfId="0" priority="1" operator="equal">
      <formula>1</formula>
    </cfRule>
  </conditionalFormatting>
  <conditionalFormatting sqref="I6:P25 I27:P41 I44:P53 I56:P65 I68:P77 I80:P89 I92:P101 I104:P113 I116:P125 I128:P137 I140:P149 I152:P161">
    <cfRule type="cellIs" dxfId="1" priority="2" operator="equal">
      <formula>2</formula>
    </cfRule>
  </conditionalFormatting>
  <conditionalFormatting sqref="I6:P25 I27:P41 I44:P53 I56:P65 I68:P77 I80:P89 I92:P101 I104:P113 I116:P125 I128:P137 I140:P149 I152:P161">
    <cfRule type="cellIs" dxfId="2" priority="3" operator="equal">
      <formula>5</formula>
    </cfRule>
  </conditionalFormatting>
  <conditionalFormatting sqref="I6:P25 I27:P41 I44:P53 I56:P65 I68:P77 I80:P89 I92:P101 I104:P113 I116:P125 I128:P137 I140:P149 I152:P161">
    <cfRule type="cellIs" dxfId="3" priority="4" operator="equal">
      <formula>3</formula>
    </cfRule>
  </conditionalFormatting>
  <conditionalFormatting sqref="I6:P25 I27:P41 I44:P53 I56:P65 I68:P77 I80:P89 I92:P101 I104:P113 I116:P125 I128:P137 I140:P149 I152:P161">
    <cfRule type="cellIs" dxfId="4" priority="5" operator="equal">
      <formula>4</formula>
    </cfRule>
  </conditionalFormatting>
  <conditionalFormatting sqref="A1:A9 Q1 C2:H2 A27:A28 A32 A37 A162 Q162:Q172 A165:A172">
    <cfRule type="notContainsBlanks" dxfId="5" priority="6">
      <formula>LEN(TRIM(A1))&gt;0</formula>
    </cfRule>
  </conditionalFormatting>
  <conditionalFormatting sqref="N156:O156 N159:O159">
    <cfRule type="notContainsBlanks" dxfId="5" priority="7">
      <formula>LEN(TRIM(N156))&gt;0</formula>
    </cfRule>
  </conditionalFormatting>
  <hyperlinks>
    <hyperlink r:id="rId1" ref="C1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H14"/>
    <hyperlink r:id="rId12" ref="C15"/>
    <hyperlink r:id="rId13" ref="C16"/>
    <hyperlink r:id="rId14" ref="C17"/>
    <hyperlink r:id="rId15" ref="C18"/>
    <hyperlink r:id="rId16" ref="C19"/>
    <hyperlink r:id="rId17" ref="C20"/>
    <hyperlink r:id="rId18" ref="H20"/>
    <hyperlink r:id="rId19" ref="C21"/>
    <hyperlink r:id="rId20" ref="C22"/>
    <hyperlink r:id="rId21" ref="H22"/>
    <hyperlink r:id="rId22" ref="C23"/>
    <hyperlink r:id="rId23" ref="C24"/>
    <hyperlink r:id="rId24" ref="C25"/>
    <hyperlink r:id="rId25" ref="C27"/>
    <hyperlink r:id="rId26" ref="C28"/>
    <hyperlink r:id="rId27" ref="C29"/>
    <hyperlink r:id="rId28" ref="C30"/>
    <hyperlink r:id="rId29" ref="C31"/>
    <hyperlink r:id="rId30" ref="H31"/>
    <hyperlink r:id="rId31" ref="C32"/>
    <hyperlink r:id="rId32" ref="C33"/>
    <hyperlink r:id="rId33" ref="C34"/>
    <hyperlink r:id="rId34" ref="C35"/>
    <hyperlink r:id="rId35" ref="H35"/>
    <hyperlink r:id="rId36" ref="C36"/>
    <hyperlink r:id="rId37" ref="C37"/>
    <hyperlink r:id="rId38" ref="C38"/>
    <hyperlink r:id="rId39" ref="C39"/>
    <hyperlink r:id="rId40" ref="H39"/>
    <hyperlink r:id="rId41" ref="C40"/>
    <hyperlink r:id="rId42" ref="H40"/>
    <hyperlink r:id="rId43" ref="C41"/>
    <hyperlink r:id="rId44" ref="H41"/>
    <hyperlink r:id="rId45" ref="C44"/>
    <hyperlink r:id="rId46" ref="C45"/>
    <hyperlink r:id="rId47" ref="C46"/>
    <hyperlink r:id="rId48" ref="H46"/>
    <hyperlink r:id="rId49" ref="C47"/>
    <hyperlink r:id="rId50" ref="C48"/>
    <hyperlink r:id="rId51" ref="C49"/>
    <hyperlink r:id="rId52" ref="C50"/>
    <hyperlink r:id="rId53" ref="C51"/>
    <hyperlink r:id="rId54" ref="C52"/>
    <hyperlink r:id="rId55" ref="H52"/>
    <hyperlink r:id="rId56" ref="C53"/>
    <hyperlink r:id="rId57" ref="H53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H64"/>
    <hyperlink r:id="rId68" ref="C65"/>
    <hyperlink r:id="rId69" ref="C68"/>
    <hyperlink r:id="rId70" ref="H68"/>
    <hyperlink r:id="rId71" ref="C69"/>
    <hyperlink r:id="rId72" ref="C70"/>
    <hyperlink r:id="rId73" ref="C71"/>
    <hyperlink r:id="rId74" ref="C72"/>
    <hyperlink r:id="rId75" ref="H72"/>
    <hyperlink r:id="rId76" ref="C73"/>
    <hyperlink r:id="rId77" ref="C74"/>
    <hyperlink r:id="rId78" ref="H74"/>
    <hyperlink r:id="rId79" ref="C75"/>
    <hyperlink r:id="rId80" ref="C76"/>
    <hyperlink r:id="rId81" ref="C77"/>
    <hyperlink r:id="rId82" ref="H77"/>
    <hyperlink r:id="rId83" ref="C80"/>
    <hyperlink r:id="rId84" ref="C81"/>
    <hyperlink r:id="rId85" ref="C82"/>
    <hyperlink r:id="rId86" ref="C83"/>
    <hyperlink r:id="rId87" ref="C84"/>
    <hyperlink r:id="rId88" ref="H84"/>
    <hyperlink r:id="rId89" ref="C85"/>
    <hyperlink r:id="rId90" ref="C86"/>
    <hyperlink r:id="rId91" ref="C87"/>
    <hyperlink r:id="rId92" ref="C88"/>
    <hyperlink r:id="rId93" ref="C89"/>
    <hyperlink r:id="rId94" ref="C92"/>
    <hyperlink r:id="rId95" ref="H92"/>
    <hyperlink r:id="rId96" ref="C93"/>
    <hyperlink r:id="rId97" ref="C94"/>
    <hyperlink r:id="rId98" ref="C95"/>
    <hyperlink r:id="rId99" ref="C96"/>
    <hyperlink r:id="rId100" ref="C97"/>
    <hyperlink r:id="rId101" ref="C98"/>
    <hyperlink r:id="rId102" ref="C99"/>
    <hyperlink r:id="rId103" ref="C100"/>
    <hyperlink r:id="rId104" ref="C101"/>
    <hyperlink r:id="rId105" ref="C104"/>
    <hyperlink r:id="rId106" ref="C105"/>
    <hyperlink r:id="rId107" ref="C106"/>
    <hyperlink r:id="rId108" ref="C107"/>
    <hyperlink r:id="rId109" ref="H107"/>
    <hyperlink r:id="rId110" ref="C108"/>
    <hyperlink r:id="rId111" ref="H108"/>
    <hyperlink r:id="rId112" ref="C109"/>
    <hyperlink r:id="rId113" ref="H109"/>
    <hyperlink r:id="rId114" ref="C110"/>
    <hyperlink r:id="rId115" ref="C111"/>
    <hyperlink r:id="rId116" ref="H111"/>
    <hyperlink r:id="rId117" ref="C112"/>
    <hyperlink r:id="rId118" ref="H112"/>
    <hyperlink r:id="rId119" ref="C113"/>
    <hyperlink r:id="rId120" ref="H113"/>
    <hyperlink r:id="rId121" ref="C116"/>
    <hyperlink r:id="rId122" ref="C117"/>
    <hyperlink r:id="rId123" ref="H117"/>
    <hyperlink r:id="rId124" ref="C118"/>
    <hyperlink r:id="rId125" ref="H118"/>
    <hyperlink r:id="rId126" ref="C119"/>
    <hyperlink r:id="rId127" ref="C120"/>
    <hyperlink r:id="rId128" ref="C121"/>
    <hyperlink r:id="rId129" ref="C122"/>
    <hyperlink r:id="rId130" ref="C123"/>
    <hyperlink r:id="rId131" ref="C124"/>
    <hyperlink r:id="rId132" ref="C125"/>
    <hyperlink r:id="rId133" ref="C128"/>
    <hyperlink r:id="rId134" ref="H128"/>
    <hyperlink r:id="rId135" ref="C129"/>
    <hyperlink r:id="rId136" ref="H129"/>
    <hyperlink r:id="rId137" ref="C130"/>
    <hyperlink r:id="rId138" ref="C131"/>
    <hyperlink r:id="rId139" ref="H131"/>
    <hyperlink r:id="rId140" ref="C132"/>
    <hyperlink r:id="rId141" ref="C133"/>
    <hyperlink r:id="rId142" ref="C134"/>
    <hyperlink r:id="rId143" ref="H134"/>
    <hyperlink r:id="rId144" ref="C135"/>
    <hyperlink r:id="rId145" ref="C136"/>
    <hyperlink r:id="rId146" ref="C137"/>
    <hyperlink r:id="rId147" ref="C140"/>
    <hyperlink r:id="rId148" ref="C141"/>
    <hyperlink r:id="rId149" ref="C142"/>
    <hyperlink r:id="rId150" ref="C143"/>
    <hyperlink r:id="rId151" ref="H143"/>
    <hyperlink r:id="rId152" ref="C144"/>
    <hyperlink r:id="rId153" ref="C145"/>
    <hyperlink r:id="rId154" ref="C146"/>
    <hyperlink r:id="rId155" ref="C147"/>
    <hyperlink r:id="rId156" ref="H147"/>
    <hyperlink r:id="rId157" ref="C148"/>
    <hyperlink r:id="rId158" ref="H148"/>
    <hyperlink r:id="rId159" ref="C149"/>
    <hyperlink r:id="rId160" ref="C152"/>
    <hyperlink r:id="rId161" ref="H152"/>
    <hyperlink r:id="rId162" ref="C153"/>
    <hyperlink r:id="rId163" ref="C154"/>
    <hyperlink r:id="rId164" ref="C155"/>
    <hyperlink r:id="rId165" ref="C156"/>
    <hyperlink r:id="rId166" ref="H156"/>
    <hyperlink r:id="rId167" ref="C157"/>
    <hyperlink r:id="rId168" ref="C158"/>
    <hyperlink r:id="rId169" ref="H158"/>
    <hyperlink r:id="rId170" ref="C159"/>
    <hyperlink r:id="rId171" ref="C160"/>
    <hyperlink r:id="rId172" ref="C161"/>
    <hyperlink r:id="rId173" ref="H161"/>
  </hyperlinks>
  <drawing r:id="rId17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38"/>
    <col customWidth="1" min="2" max="2" width="2.63"/>
    <col customWidth="1" min="3" max="3" width="29.88"/>
    <col customWidth="1" min="4" max="4" width="16.88"/>
    <col customWidth="1" min="8" max="8" width="16.88"/>
    <col customWidth="1" min="9" max="15" width="12.63"/>
    <col customWidth="1" min="16" max="16" width="3.63"/>
  </cols>
  <sheetData>
    <row r="1">
      <c r="A1" s="479"/>
      <c r="B1" s="480"/>
      <c r="C1" s="481" t="s">
        <v>571</v>
      </c>
      <c r="D1" s="482"/>
      <c r="E1" s="483"/>
      <c r="F1" s="484"/>
      <c r="G1" s="485"/>
      <c r="H1" s="578"/>
      <c r="I1" s="5" t="s">
        <v>1</v>
      </c>
      <c r="J1" s="5" t="s">
        <v>2</v>
      </c>
      <c r="K1" s="487" t="s">
        <v>426</v>
      </c>
      <c r="L1" s="5" t="s">
        <v>208</v>
      </c>
      <c r="M1" s="5" t="s">
        <v>3</v>
      </c>
      <c r="N1" s="5" t="s">
        <v>210</v>
      </c>
      <c r="O1" s="5" t="s">
        <v>427</v>
      </c>
      <c r="P1" s="10"/>
    </row>
    <row r="2">
      <c r="A2" s="11"/>
      <c r="B2" s="488"/>
      <c r="C2" s="348"/>
      <c r="D2" s="348"/>
      <c r="E2" s="348"/>
      <c r="F2" s="348"/>
      <c r="G2" s="348"/>
      <c r="H2" s="349"/>
      <c r="I2" s="14"/>
      <c r="J2" s="14"/>
      <c r="K2" s="14"/>
      <c r="L2" s="14"/>
      <c r="M2" s="14"/>
      <c r="N2" s="14"/>
      <c r="O2" s="14"/>
      <c r="P2" s="17"/>
    </row>
    <row r="3">
      <c r="A3" s="11"/>
      <c r="B3" s="18"/>
      <c r="H3" s="17"/>
      <c r="I3" s="20"/>
      <c r="J3" s="20"/>
      <c r="K3" s="20"/>
      <c r="L3" s="20"/>
      <c r="M3" s="20"/>
      <c r="N3" s="20"/>
      <c r="O3" s="20"/>
      <c r="P3" s="17"/>
    </row>
    <row r="4">
      <c r="A4" s="11"/>
      <c r="B4" s="24"/>
      <c r="C4" s="25" t="s">
        <v>11</v>
      </c>
      <c r="I4" s="26"/>
      <c r="J4" s="26"/>
      <c r="K4" s="26"/>
      <c r="L4" s="26"/>
      <c r="M4" s="26"/>
      <c r="N4" s="26"/>
      <c r="O4" s="489"/>
      <c r="P4" s="17"/>
    </row>
    <row r="5">
      <c r="A5" s="11"/>
      <c r="B5" s="30"/>
      <c r="C5" s="31"/>
      <c r="D5" s="490"/>
      <c r="E5" s="34"/>
      <c r="F5" s="35"/>
      <c r="G5" s="36"/>
      <c r="H5" s="358"/>
      <c r="I5" s="491" t="s">
        <v>1</v>
      </c>
      <c r="J5" s="43" t="s">
        <v>2</v>
      </c>
      <c r="K5" s="492" t="s">
        <v>426</v>
      </c>
      <c r="L5" s="43" t="s">
        <v>208</v>
      </c>
      <c r="M5" s="43" t="s">
        <v>3</v>
      </c>
      <c r="N5" s="43" t="s">
        <v>210</v>
      </c>
      <c r="O5" s="43" t="s">
        <v>427</v>
      </c>
      <c r="P5" s="17"/>
    </row>
    <row r="6">
      <c r="A6" s="11"/>
      <c r="B6" s="46"/>
      <c r="C6" s="579" t="s">
        <v>572</v>
      </c>
      <c r="D6" s="541" t="s">
        <v>20</v>
      </c>
      <c r="E6" s="67">
        <v>1.0</v>
      </c>
      <c r="F6" s="68">
        <v>1.0</v>
      </c>
      <c r="G6" s="69">
        <v>1.0</v>
      </c>
      <c r="H6" s="358"/>
      <c r="I6" s="434">
        <v>3.0</v>
      </c>
      <c r="J6" s="55">
        <v>4.0</v>
      </c>
      <c r="K6" s="55">
        <v>3.0</v>
      </c>
      <c r="L6" s="55">
        <v>3.0</v>
      </c>
      <c r="M6" s="55"/>
      <c r="N6" s="146"/>
      <c r="O6" s="499"/>
      <c r="P6" s="17"/>
    </row>
    <row r="7">
      <c r="A7" s="11"/>
      <c r="B7" s="46"/>
      <c r="C7" s="579" t="s">
        <v>573</v>
      </c>
      <c r="D7" s="541" t="s">
        <v>22</v>
      </c>
      <c r="E7" s="67">
        <v>1.0</v>
      </c>
      <c r="F7" s="68">
        <v>1.0</v>
      </c>
      <c r="G7" s="69">
        <v>1.0</v>
      </c>
      <c r="H7" s="358"/>
      <c r="I7" s="434">
        <v>1.0</v>
      </c>
      <c r="J7" s="55">
        <v>1.0</v>
      </c>
      <c r="K7" s="55">
        <v>1.0</v>
      </c>
      <c r="L7" s="55">
        <v>1.0</v>
      </c>
      <c r="M7" s="55"/>
      <c r="N7" s="156"/>
      <c r="O7" s="499"/>
      <c r="P7" s="17"/>
    </row>
    <row r="8">
      <c r="A8" s="11"/>
      <c r="B8" s="46"/>
      <c r="C8" s="579" t="s">
        <v>574</v>
      </c>
      <c r="D8" s="541" t="s">
        <v>22</v>
      </c>
      <c r="E8" s="67">
        <v>4.0</v>
      </c>
      <c r="F8" s="68">
        <v>1.0</v>
      </c>
      <c r="G8" s="69">
        <v>1.0</v>
      </c>
      <c r="H8" s="358"/>
      <c r="I8" s="434">
        <v>2.0</v>
      </c>
      <c r="J8" s="55">
        <v>1.0</v>
      </c>
      <c r="K8" s="55">
        <v>2.0</v>
      </c>
      <c r="L8" s="55">
        <v>1.0</v>
      </c>
      <c r="M8" s="55"/>
      <c r="N8" s="156"/>
      <c r="O8" s="499"/>
      <c r="P8" s="17"/>
    </row>
    <row r="9">
      <c r="A9" s="11"/>
      <c r="B9" s="506"/>
      <c r="C9" s="580" t="s">
        <v>575</v>
      </c>
      <c r="D9" s="541" t="s">
        <v>20</v>
      </c>
      <c r="E9" s="67">
        <v>1.0</v>
      </c>
      <c r="F9" s="68">
        <v>3.0</v>
      </c>
      <c r="G9" s="69">
        <v>2.0</v>
      </c>
      <c r="H9" s="358"/>
      <c r="I9" s="434">
        <v>3.0</v>
      </c>
      <c r="J9" s="55">
        <v>3.0</v>
      </c>
      <c r="K9" s="55">
        <v>3.0</v>
      </c>
      <c r="L9" s="55">
        <v>4.0</v>
      </c>
      <c r="M9" s="55"/>
      <c r="N9" s="156"/>
      <c r="O9" s="499"/>
      <c r="P9" s="17"/>
    </row>
    <row r="10">
      <c r="A10" s="11"/>
      <c r="B10" s="506"/>
      <c r="C10" s="580" t="s">
        <v>576</v>
      </c>
      <c r="D10" s="541" t="s">
        <v>39</v>
      </c>
      <c r="E10" s="67">
        <v>2.0</v>
      </c>
      <c r="F10" s="68">
        <v>3.0</v>
      </c>
      <c r="G10" s="69">
        <v>2.0</v>
      </c>
      <c r="H10" s="358"/>
      <c r="I10" s="434">
        <v>1.0</v>
      </c>
      <c r="J10" s="55">
        <v>2.0</v>
      </c>
      <c r="K10" s="55">
        <v>2.0</v>
      </c>
      <c r="L10" s="55">
        <v>2.0</v>
      </c>
      <c r="M10" s="55"/>
      <c r="N10" s="156"/>
      <c r="O10" s="499"/>
      <c r="P10" s="17"/>
    </row>
    <row r="11">
      <c r="A11" s="11"/>
      <c r="B11" s="506"/>
      <c r="C11" s="580" t="s">
        <v>577</v>
      </c>
      <c r="D11" s="532" t="s">
        <v>60</v>
      </c>
      <c r="E11" s="460">
        <v>2.0</v>
      </c>
      <c r="F11" s="460">
        <v>3.0</v>
      </c>
      <c r="G11" s="581">
        <v>2.0</v>
      </c>
      <c r="H11" s="358"/>
      <c r="I11" s="434">
        <v>3.0</v>
      </c>
      <c r="J11" s="55">
        <v>3.0</v>
      </c>
      <c r="K11" s="55">
        <v>2.0</v>
      </c>
      <c r="L11" s="55">
        <v>1.0</v>
      </c>
      <c r="M11" s="55"/>
      <c r="N11" s="156"/>
      <c r="O11" s="499"/>
      <c r="P11" s="17"/>
    </row>
    <row r="12">
      <c r="A12" s="11"/>
      <c r="B12" s="506"/>
      <c r="C12" s="580" t="s">
        <v>578</v>
      </c>
      <c r="D12" s="532" t="s">
        <v>20</v>
      </c>
      <c r="E12" s="50">
        <v>0.0</v>
      </c>
      <c r="F12" s="50">
        <v>2.0</v>
      </c>
      <c r="G12" s="65">
        <v>2.0</v>
      </c>
      <c r="H12" s="358"/>
      <c r="I12" s="434">
        <v>1.0</v>
      </c>
      <c r="J12" s="55">
        <v>1.0</v>
      </c>
      <c r="K12" s="55">
        <v>1.0</v>
      </c>
      <c r="L12" s="55">
        <v>1.0</v>
      </c>
      <c r="M12" s="55"/>
      <c r="N12" s="156"/>
      <c r="O12" s="499"/>
      <c r="P12" s="17"/>
    </row>
    <row r="13">
      <c r="A13" s="11"/>
      <c r="B13" s="506"/>
      <c r="C13" s="580" t="s">
        <v>579</v>
      </c>
      <c r="D13" s="532" t="s">
        <v>39</v>
      </c>
      <c r="E13" s="50">
        <v>3.0</v>
      </c>
      <c r="F13" s="50">
        <v>2.0</v>
      </c>
      <c r="G13" s="65">
        <v>2.0</v>
      </c>
      <c r="H13" s="358"/>
      <c r="I13" s="434">
        <v>4.0</v>
      </c>
      <c r="J13" s="55">
        <v>3.0</v>
      </c>
      <c r="K13" s="55">
        <v>4.0</v>
      </c>
      <c r="L13" s="55">
        <v>4.0</v>
      </c>
      <c r="M13" s="55"/>
      <c r="N13" s="156"/>
      <c r="O13" s="499"/>
      <c r="P13" s="17"/>
    </row>
    <row r="14">
      <c r="A14" s="11"/>
      <c r="B14" s="506"/>
      <c r="C14" s="580" t="s">
        <v>580</v>
      </c>
      <c r="D14" s="532" t="s">
        <v>39</v>
      </c>
      <c r="E14" s="50">
        <v>1.0</v>
      </c>
      <c r="F14" s="50">
        <v>5.0</v>
      </c>
      <c r="G14" s="65">
        <v>3.0</v>
      </c>
      <c r="H14" s="358"/>
      <c r="I14" s="434">
        <v>3.0</v>
      </c>
      <c r="J14" s="55">
        <v>3.0</v>
      </c>
      <c r="K14" s="55">
        <v>1.0</v>
      </c>
      <c r="L14" s="55">
        <v>1.0</v>
      </c>
      <c r="M14" s="55"/>
      <c r="N14" s="156"/>
      <c r="O14" s="499"/>
      <c r="P14" s="17"/>
    </row>
    <row r="15">
      <c r="A15" s="11"/>
      <c r="B15" s="506"/>
      <c r="C15" s="580" t="s">
        <v>581</v>
      </c>
      <c r="D15" s="532" t="s">
        <v>455</v>
      </c>
      <c r="E15" s="67">
        <v>3.0</v>
      </c>
      <c r="F15" s="68">
        <v>2.0</v>
      </c>
      <c r="G15" s="69">
        <v>3.0</v>
      </c>
      <c r="H15" s="358"/>
      <c r="I15" s="434">
        <v>1.0</v>
      </c>
      <c r="J15" s="55">
        <v>1.0</v>
      </c>
      <c r="K15" s="55">
        <v>1.0</v>
      </c>
      <c r="L15" s="55">
        <v>1.0</v>
      </c>
      <c r="M15" s="55"/>
      <c r="N15" s="156"/>
      <c r="O15" s="499"/>
      <c r="P15" s="17"/>
    </row>
    <row r="16">
      <c r="A16" s="11"/>
      <c r="B16" s="506"/>
      <c r="C16" s="580" t="s">
        <v>582</v>
      </c>
      <c r="D16" s="532"/>
      <c r="E16" s="67">
        <v>2.0</v>
      </c>
      <c r="F16" s="68">
        <v>4.0</v>
      </c>
      <c r="G16" s="69">
        <v>3.0</v>
      </c>
      <c r="H16" s="358"/>
      <c r="I16" s="434">
        <v>1.0</v>
      </c>
      <c r="J16" s="55">
        <v>1.0</v>
      </c>
      <c r="K16" s="55">
        <v>1.0</v>
      </c>
      <c r="L16" s="55">
        <v>1.0</v>
      </c>
      <c r="M16" s="55"/>
      <c r="N16" s="156"/>
      <c r="O16" s="499"/>
      <c r="P16" s="17"/>
    </row>
    <row r="17">
      <c r="A17" s="11"/>
      <c r="B17" s="506"/>
      <c r="C17" s="580" t="s">
        <v>583</v>
      </c>
      <c r="D17" s="532" t="s">
        <v>51</v>
      </c>
      <c r="E17" s="231">
        <v>2.0</v>
      </c>
      <c r="F17" s="231">
        <v>4.0</v>
      </c>
      <c r="G17" s="582">
        <v>3.0</v>
      </c>
      <c r="H17" s="358"/>
      <c r="I17" s="434">
        <v>2.0</v>
      </c>
      <c r="J17" s="55">
        <v>2.0</v>
      </c>
      <c r="K17" s="55">
        <v>1.0</v>
      </c>
      <c r="L17" s="55">
        <v>1.0</v>
      </c>
      <c r="M17" s="55"/>
      <c r="N17" s="156"/>
      <c r="O17" s="499"/>
      <c r="P17" s="17"/>
    </row>
    <row r="18">
      <c r="A18" s="11"/>
      <c r="B18" s="506"/>
      <c r="C18" s="580" t="s">
        <v>584</v>
      </c>
      <c r="D18" s="532" t="s">
        <v>60</v>
      </c>
      <c r="E18" s="460">
        <v>3.0</v>
      </c>
      <c r="F18" s="460">
        <v>4.0</v>
      </c>
      <c r="G18" s="581">
        <v>3.0</v>
      </c>
      <c r="H18" s="358"/>
      <c r="I18" s="434">
        <v>2.0</v>
      </c>
      <c r="J18" s="55">
        <v>3.0</v>
      </c>
      <c r="K18" s="55">
        <v>2.0</v>
      </c>
      <c r="L18" s="55">
        <v>2.0</v>
      </c>
      <c r="M18" s="55"/>
      <c r="N18" s="156"/>
      <c r="O18" s="499"/>
      <c r="P18" s="17"/>
    </row>
    <row r="19">
      <c r="A19" s="11"/>
      <c r="B19" s="506"/>
      <c r="C19" s="580" t="s">
        <v>585</v>
      </c>
      <c r="D19" s="532" t="s">
        <v>39</v>
      </c>
      <c r="E19" s="460">
        <v>4.0</v>
      </c>
      <c r="F19" s="460">
        <v>4.0</v>
      </c>
      <c r="G19" s="581">
        <v>4.0</v>
      </c>
      <c r="H19" s="358"/>
      <c r="I19" s="434">
        <v>1.0</v>
      </c>
      <c r="J19" s="55">
        <v>1.0</v>
      </c>
      <c r="K19" s="55">
        <v>1.0</v>
      </c>
      <c r="L19" s="55">
        <v>1.0</v>
      </c>
      <c r="M19" s="55"/>
      <c r="N19" s="156"/>
      <c r="O19" s="499"/>
      <c r="P19" s="17"/>
    </row>
    <row r="20">
      <c r="A20" s="11"/>
      <c r="B20" s="506"/>
      <c r="C20" s="580" t="s">
        <v>586</v>
      </c>
      <c r="D20" s="532" t="s">
        <v>22</v>
      </c>
      <c r="E20" s="50">
        <v>7.0</v>
      </c>
      <c r="F20" s="50">
        <v>7.0</v>
      </c>
      <c r="G20" s="65">
        <v>4.0</v>
      </c>
      <c r="H20" s="358"/>
      <c r="I20" s="434">
        <v>2.0</v>
      </c>
      <c r="J20" s="55">
        <v>2.0</v>
      </c>
      <c r="K20" s="55">
        <v>2.0</v>
      </c>
      <c r="L20" s="55">
        <v>2.0</v>
      </c>
      <c r="M20" s="55"/>
      <c r="N20" s="156"/>
      <c r="O20" s="499"/>
      <c r="P20" s="17"/>
    </row>
    <row r="21">
      <c r="A21" s="11"/>
      <c r="B21" s="506"/>
      <c r="C21" s="580" t="s">
        <v>587</v>
      </c>
      <c r="D21" s="532"/>
      <c r="E21" s="460">
        <v>3.0</v>
      </c>
      <c r="F21" s="460">
        <v>6.0</v>
      </c>
      <c r="G21" s="581">
        <v>4.0</v>
      </c>
      <c r="H21" s="358"/>
      <c r="I21" s="434">
        <v>2.0</v>
      </c>
      <c r="J21" s="55">
        <v>2.0</v>
      </c>
      <c r="K21" s="55">
        <v>1.0</v>
      </c>
      <c r="L21" s="55">
        <v>1.0</v>
      </c>
      <c r="M21" s="55"/>
      <c r="N21" s="156"/>
      <c r="O21" s="499"/>
      <c r="P21" s="17"/>
    </row>
    <row r="22">
      <c r="A22" s="11"/>
      <c r="B22" s="506"/>
      <c r="C22" s="580" t="s">
        <v>588</v>
      </c>
      <c r="D22" s="532"/>
      <c r="E22" s="50">
        <v>6.0</v>
      </c>
      <c r="F22" s="50">
        <v>4.0</v>
      </c>
      <c r="G22" s="65">
        <v>5.0</v>
      </c>
      <c r="H22" s="358"/>
      <c r="I22" s="434">
        <v>1.0</v>
      </c>
      <c r="J22" s="55">
        <v>1.0</v>
      </c>
      <c r="K22" s="55">
        <v>1.0</v>
      </c>
      <c r="L22" s="55">
        <v>2.0</v>
      </c>
      <c r="M22" s="55"/>
      <c r="N22" s="156"/>
      <c r="O22" s="499"/>
      <c r="P22" s="17"/>
    </row>
    <row r="23">
      <c r="A23" s="11"/>
      <c r="B23" s="506"/>
      <c r="C23" s="580" t="s">
        <v>589</v>
      </c>
      <c r="D23" s="532" t="s">
        <v>51</v>
      </c>
      <c r="E23" s="67">
        <v>4.0</v>
      </c>
      <c r="F23" s="68">
        <v>3.0</v>
      </c>
      <c r="G23" s="69">
        <v>5.0</v>
      </c>
      <c r="H23" s="358"/>
      <c r="I23" s="434">
        <v>3.0</v>
      </c>
      <c r="J23" s="55">
        <v>4.0</v>
      </c>
      <c r="K23" s="55">
        <v>3.0</v>
      </c>
      <c r="L23" s="55">
        <v>3.0</v>
      </c>
      <c r="M23" s="55"/>
      <c r="N23" s="156"/>
      <c r="O23" s="499"/>
      <c r="P23" s="17"/>
    </row>
    <row r="24">
      <c r="A24" s="11"/>
      <c r="B24" s="506"/>
      <c r="C24" s="580" t="s">
        <v>590</v>
      </c>
      <c r="D24" s="532"/>
      <c r="E24" s="67">
        <v>5.0</v>
      </c>
      <c r="F24" s="68">
        <v>6.0</v>
      </c>
      <c r="G24" s="69">
        <v>5.0</v>
      </c>
      <c r="H24" s="358"/>
      <c r="I24" s="434">
        <v>1.0</v>
      </c>
      <c r="J24" s="55">
        <v>1.0</v>
      </c>
      <c r="K24" s="55">
        <v>1.0</v>
      </c>
      <c r="L24" s="55">
        <v>1.0</v>
      </c>
      <c r="M24" s="55"/>
      <c r="N24" s="156"/>
      <c r="O24" s="499"/>
      <c r="P24" s="17"/>
    </row>
    <row r="25">
      <c r="A25" s="11"/>
      <c r="B25" s="506"/>
      <c r="C25" s="580" t="s">
        <v>591</v>
      </c>
      <c r="D25" s="532" t="s">
        <v>39</v>
      </c>
      <c r="E25" s="50">
        <v>3.0</v>
      </c>
      <c r="F25" s="50">
        <v>7.0</v>
      </c>
      <c r="G25" s="65">
        <v>6.0</v>
      </c>
      <c r="H25" s="358"/>
      <c r="I25" s="521">
        <v>1.0</v>
      </c>
      <c r="J25" s="76">
        <v>1.0</v>
      </c>
      <c r="K25" s="76">
        <v>1.0</v>
      </c>
      <c r="L25" s="76">
        <v>1.0</v>
      </c>
      <c r="M25" s="76"/>
      <c r="N25" s="192"/>
      <c r="O25" s="523"/>
      <c r="P25" s="17"/>
    </row>
    <row r="26">
      <c r="A26" s="11"/>
      <c r="B26" s="524"/>
      <c r="C26" s="136"/>
      <c r="D26" s="525"/>
      <c r="E26" s="85"/>
      <c r="F26" s="85"/>
      <c r="G26" s="86"/>
      <c r="H26" s="358"/>
      <c r="I26" s="87" t="s">
        <v>1</v>
      </c>
      <c r="J26" s="88" t="s">
        <v>2</v>
      </c>
      <c r="K26" s="140" t="s">
        <v>426</v>
      </c>
      <c r="L26" s="88" t="s">
        <v>208</v>
      </c>
      <c r="M26" s="88" t="s">
        <v>3</v>
      </c>
      <c r="N26" s="88" t="s">
        <v>210</v>
      </c>
      <c r="O26" s="88" t="s">
        <v>427</v>
      </c>
      <c r="P26" s="17"/>
    </row>
    <row r="27">
      <c r="A27" s="11"/>
      <c r="B27" s="97"/>
      <c r="C27" s="580" t="s">
        <v>592</v>
      </c>
      <c r="D27" s="532" t="s">
        <v>22</v>
      </c>
      <c r="E27" s="50">
        <v>4.0</v>
      </c>
      <c r="F27" s="50">
        <v>3.0</v>
      </c>
      <c r="G27" s="65">
        <v>1.0</v>
      </c>
      <c r="H27" s="358"/>
      <c r="I27" s="434">
        <v>1.0</v>
      </c>
      <c r="J27" s="55">
        <v>2.0</v>
      </c>
      <c r="K27" s="55">
        <v>1.0</v>
      </c>
      <c r="L27" s="55">
        <v>1.0</v>
      </c>
      <c r="M27" s="55"/>
      <c r="N27" s="146"/>
      <c r="O27" s="499"/>
      <c r="P27" s="17"/>
    </row>
    <row r="28">
      <c r="A28" s="11"/>
      <c r="B28" s="97"/>
      <c r="C28" s="580" t="s">
        <v>593</v>
      </c>
      <c r="D28" s="532" t="s">
        <v>39</v>
      </c>
      <c r="E28" s="50">
        <v>1.0</v>
      </c>
      <c r="F28" s="50">
        <v>3.0</v>
      </c>
      <c r="G28" s="65">
        <v>1.0</v>
      </c>
      <c r="H28" s="358"/>
      <c r="I28" s="434">
        <v>3.0</v>
      </c>
      <c r="J28" s="55">
        <v>2.0</v>
      </c>
      <c r="K28" s="55">
        <v>2.0</v>
      </c>
      <c r="L28" s="55">
        <v>3.0</v>
      </c>
      <c r="M28" s="55"/>
      <c r="N28" s="156"/>
      <c r="O28" s="499"/>
      <c r="P28" s="17"/>
    </row>
    <row r="29">
      <c r="A29" s="11"/>
      <c r="B29" s="97"/>
      <c r="C29" s="580" t="s">
        <v>594</v>
      </c>
      <c r="D29" s="532" t="s">
        <v>39</v>
      </c>
      <c r="E29" s="50">
        <v>3.0</v>
      </c>
      <c r="F29" s="50">
        <v>4.0</v>
      </c>
      <c r="G29" s="65">
        <v>3.0</v>
      </c>
      <c r="H29" s="358"/>
      <c r="I29" s="434">
        <v>3.0</v>
      </c>
      <c r="J29" s="55">
        <v>2.0</v>
      </c>
      <c r="K29" s="55">
        <v>2.0</v>
      </c>
      <c r="L29" s="55">
        <v>2.0</v>
      </c>
      <c r="M29" s="55"/>
      <c r="N29" s="156"/>
      <c r="O29" s="499"/>
      <c r="P29" s="17"/>
    </row>
    <row r="30">
      <c r="A30" s="11"/>
      <c r="B30" s="97"/>
      <c r="C30" s="580" t="s">
        <v>595</v>
      </c>
      <c r="D30" s="532" t="s">
        <v>51</v>
      </c>
      <c r="E30" s="50">
        <v>2.0</v>
      </c>
      <c r="F30" s="50">
        <v>1.0</v>
      </c>
      <c r="G30" s="65">
        <v>3.0</v>
      </c>
      <c r="H30" s="358"/>
      <c r="I30" s="434">
        <v>2.0</v>
      </c>
      <c r="J30" s="55">
        <v>3.0</v>
      </c>
      <c r="K30" s="55">
        <v>2.0</v>
      </c>
      <c r="L30" s="55">
        <v>2.0</v>
      </c>
      <c r="M30" s="55"/>
      <c r="N30" s="156"/>
      <c r="O30" s="499"/>
      <c r="P30" s="17"/>
    </row>
    <row r="31">
      <c r="A31" s="11"/>
      <c r="B31" s="97"/>
      <c r="C31" s="580" t="s">
        <v>596</v>
      </c>
      <c r="D31" s="532" t="s">
        <v>20</v>
      </c>
      <c r="E31" s="50">
        <v>5.0</v>
      </c>
      <c r="F31" s="50">
        <v>4.0</v>
      </c>
      <c r="G31" s="65">
        <v>6.0</v>
      </c>
      <c r="H31" s="358"/>
      <c r="I31" s="434">
        <v>1.0</v>
      </c>
      <c r="J31" s="55">
        <v>1.0</v>
      </c>
      <c r="K31" s="55">
        <v>2.0</v>
      </c>
      <c r="L31" s="55">
        <v>2.0</v>
      </c>
      <c r="M31" s="55"/>
      <c r="N31" s="156"/>
      <c r="O31" s="499"/>
      <c r="P31" s="17"/>
    </row>
    <row r="32">
      <c r="A32" s="11"/>
      <c r="B32" s="378"/>
      <c r="C32" s="580" t="s">
        <v>597</v>
      </c>
      <c r="D32" s="532" t="s">
        <v>62</v>
      </c>
      <c r="E32" s="50">
        <v>2.0</v>
      </c>
      <c r="F32" s="50">
        <v>3.0</v>
      </c>
      <c r="G32" s="65">
        <v>2.0</v>
      </c>
      <c r="H32" s="358"/>
      <c r="I32" s="434">
        <v>4.0</v>
      </c>
      <c r="J32" s="55">
        <v>4.0</v>
      </c>
      <c r="K32" s="55">
        <v>4.0</v>
      </c>
      <c r="L32" s="55">
        <v>4.0</v>
      </c>
      <c r="M32" s="55"/>
      <c r="N32" s="156"/>
      <c r="O32" s="499"/>
      <c r="P32" s="17"/>
    </row>
    <row r="33">
      <c r="A33" s="11"/>
      <c r="B33" s="378"/>
      <c r="C33" s="580" t="s">
        <v>598</v>
      </c>
      <c r="D33" s="532" t="s">
        <v>22</v>
      </c>
      <c r="E33" s="50">
        <v>2.0</v>
      </c>
      <c r="F33" s="50">
        <v>4.0</v>
      </c>
      <c r="G33" s="65">
        <v>3.0</v>
      </c>
      <c r="H33" s="358"/>
      <c r="I33" s="434">
        <v>3.0</v>
      </c>
      <c r="J33" s="55">
        <v>3.0</v>
      </c>
      <c r="K33" s="55">
        <v>2.0</v>
      </c>
      <c r="L33" s="55">
        <v>3.0</v>
      </c>
      <c r="M33" s="55"/>
      <c r="N33" s="156"/>
      <c r="O33" s="499"/>
      <c r="P33" s="17"/>
    </row>
    <row r="34">
      <c r="A34" s="11"/>
      <c r="B34" s="378"/>
      <c r="C34" s="580" t="s">
        <v>599</v>
      </c>
      <c r="D34" s="532" t="s">
        <v>39</v>
      </c>
      <c r="E34" s="50">
        <v>5.0</v>
      </c>
      <c r="F34" s="50">
        <v>4.0</v>
      </c>
      <c r="G34" s="65">
        <v>4.0</v>
      </c>
      <c r="H34" s="358"/>
      <c r="I34" s="434">
        <v>2.0</v>
      </c>
      <c r="J34" s="55">
        <v>2.0</v>
      </c>
      <c r="K34" s="55">
        <v>2.0</v>
      </c>
      <c r="L34" s="55">
        <v>3.0</v>
      </c>
      <c r="M34" s="55"/>
      <c r="N34" s="156"/>
      <c r="O34" s="499"/>
      <c r="P34" s="17"/>
    </row>
    <row r="35">
      <c r="A35" s="11"/>
      <c r="B35" s="378"/>
      <c r="C35" s="580" t="s">
        <v>600</v>
      </c>
      <c r="D35" s="532" t="s">
        <v>39</v>
      </c>
      <c r="E35" s="50">
        <v>5.0</v>
      </c>
      <c r="F35" s="50">
        <v>9.0</v>
      </c>
      <c r="G35" s="65">
        <v>7.0</v>
      </c>
      <c r="H35" s="384"/>
      <c r="I35" s="434">
        <v>2.0</v>
      </c>
      <c r="J35" s="55">
        <v>1.0</v>
      </c>
      <c r="K35" s="55">
        <v>2.0</v>
      </c>
      <c r="L35" s="55">
        <v>1.0</v>
      </c>
      <c r="M35" s="55"/>
      <c r="N35" s="156"/>
      <c r="O35" s="499"/>
      <c r="P35" s="17"/>
    </row>
    <row r="36">
      <c r="A36" s="11"/>
      <c r="B36" s="378"/>
      <c r="C36" s="580" t="s">
        <v>601</v>
      </c>
      <c r="D36" s="532" t="s">
        <v>39</v>
      </c>
      <c r="E36" s="50">
        <v>8.0</v>
      </c>
      <c r="F36" s="50">
        <v>8.0</v>
      </c>
      <c r="G36" s="65">
        <v>20.0</v>
      </c>
      <c r="H36" s="384"/>
      <c r="I36" s="434">
        <v>3.0</v>
      </c>
      <c r="J36" s="55">
        <v>3.0</v>
      </c>
      <c r="K36" s="55">
        <v>4.0</v>
      </c>
      <c r="L36" s="55">
        <v>4.0</v>
      </c>
      <c r="M36" s="55"/>
      <c r="N36" s="156"/>
      <c r="O36" s="499"/>
      <c r="P36" s="17"/>
    </row>
    <row r="37">
      <c r="A37" s="11"/>
      <c r="B37" s="534"/>
      <c r="C37" s="580" t="s">
        <v>602</v>
      </c>
      <c r="D37" s="532" t="s">
        <v>51</v>
      </c>
      <c r="E37" s="50">
        <v>1.0</v>
      </c>
      <c r="F37" s="50">
        <v>3.0</v>
      </c>
      <c r="G37" s="65">
        <v>1.0</v>
      </c>
      <c r="H37" s="384"/>
      <c r="I37" s="434">
        <v>4.0</v>
      </c>
      <c r="J37" s="55">
        <v>3.0</v>
      </c>
      <c r="K37" s="55">
        <v>4.0</v>
      </c>
      <c r="L37" s="55">
        <v>3.0</v>
      </c>
      <c r="M37" s="55"/>
      <c r="N37" s="156"/>
      <c r="O37" s="499"/>
      <c r="P37" s="17"/>
    </row>
    <row r="38">
      <c r="A38" s="11"/>
      <c r="B38" s="534"/>
      <c r="C38" s="580" t="s">
        <v>603</v>
      </c>
      <c r="D38" s="532"/>
      <c r="E38" s="50">
        <v>4.0</v>
      </c>
      <c r="F38" s="50">
        <v>5.0</v>
      </c>
      <c r="G38" s="65">
        <v>4.0</v>
      </c>
      <c r="H38" s="384"/>
      <c r="I38" s="434">
        <v>3.0</v>
      </c>
      <c r="J38" s="55">
        <v>2.0</v>
      </c>
      <c r="K38" s="55">
        <v>2.0</v>
      </c>
      <c r="L38" s="55">
        <v>3.0</v>
      </c>
      <c r="M38" s="55"/>
      <c r="N38" s="156"/>
      <c r="O38" s="499"/>
      <c r="P38" s="17"/>
    </row>
    <row r="39">
      <c r="A39" s="11"/>
      <c r="B39" s="534"/>
      <c r="C39" s="580" t="s">
        <v>604</v>
      </c>
      <c r="D39" s="532"/>
      <c r="E39" s="50">
        <v>2.0</v>
      </c>
      <c r="F39" s="50">
        <v>6.0</v>
      </c>
      <c r="G39" s="65">
        <v>4.0</v>
      </c>
      <c r="H39" s="384"/>
      <c r="I39" s="434">
        <v>2.0</v>
      </c>
      <c r="J39" s="55">
        <v>3.0</v>
      </c>
      <c r="K39" s="55">
        <v>3.0</v>
      </c>
      <c r="L39" s="55">
        <v>2.0</v>
      </c>
      <c r="M39" s="55"/>
      <c r="N39" s="156"/>
      <c r="O39" s="499"/>
      <c r="P39" s="17"/>
    </row>
    <row r="40">
      <c r="A40" s="11"/>
      <c r="B40" s="534"/>
      <c r="C40" s="580" t="s">
        <v>605</v>
      </c>
      <c r="D40" s="532"/>
      <c r="E40" s="439">
        <v>4.0</v>
      </c>
      <c r="F40" s="439">
        <v>4.0</v>
      </c>
      <c r="G40" s="537">
        <v>5.0</v>
      </c>
      <c r="H40" s="384"/>
      <c r="I40" s="434">
        <v>3.0</v>
      </c>
      <c r="J40" s="55">
        <v>3.0</v>
      </c>
      <c r="K40" s="55">
        <v>3.0</v>
      </c>
      <c r="L40" s="55">
        <v>3.0</v>
      </c>
      <c r="M40" s="55"/>
      <c r="N40" s="156"/>
      <c r="O40" s="499"/>
      <c r="P40" s="17"/>
    </row>
    <row r="41">
      <c r="A41" s="11"/>
      <c r="B41" s="534"/>
      <c r="C41" s="580" t="s">
        <v>606</v>
      </c>
      <c r="D41" s="532" t="s">
        <v>39</v>
      </c>
      <c r="E41" s="439">
        <v>5.0</v>
      </c>
      <c r="F41" s="439">
        <v>5.0</v>
      </c>
      <c r="G41" s="537">
        <v>5.0</v>
      </c>
      <c r="H41" s="384"/>
      <c r="I41" s="521">
        <v>4.0</v>
      </c>
      <c r="J41" s="76">
        <v>4.0</v>
      </c>
      <c r="K41" s="76">
        <v>4.0</v>
      </c>
      <c r="L41" s="76">
        <v>4.0</v>
      </c>
      <c r="M41" s="76"/>
      <c r="N41" s="192"/>
      <c r="O41" s="523"/>
      <c r="P41" s="17"/>
    </row>
    <row r="42">
      <c r="A42" s="11"/>
      <c r="B42" s="121"/>
      <c r="C42" s="195" t="s">
        <v>83</v>
      </c>
      <c r="D42" s="125"/>
      <c r="E42" s="125"/>
      <c r="F42" s="125"/>
      <c r="G42" s="125"/>
      <c r="H42" s="127"/>
      <c r="I42" s="127"/>
      <c r="J42" s="128"/>
      <c r="K42" s="128"/>
      <c r="L42" s="128"/>
      <c r="M42" s="128"/>
      <c r="N42" s="130"/>
      <c r="O42" s="128"/>
      <c r="P42" s="17"/>
    </row>
    <row r="43">
      <c r="A43" s="11"/>
      <c r="B43" s="524"/>
      <c r="C43" s="136"/>
      <c r="D43" s="525"/>
      <c r="E43" s="85"/>
      <c r="F43" s="85"/>
      <c r="G43" s="86"/>
      <c r="H43" s="384"/>
      <c r="I43" s="87" t="s">
        <v>1</v>
      </c>
      <c r="J43" s="88" t="s">
        <v>2</v>
      </c>
      <c r="K43" s="140" t="s">
        <v>426</v>
      </c>
      <c r="L43" s="88" t="s">
        <v>208</v>
      </c>
      <c r="M43" s="88" t="s">
        <v>3</v>
      </c>
      <c r="N43" s="88" t="s">
        <v>210</v>
      </c>
      <c r="O43" s="88" t="s">
        <v>427</v>
      </c>
      <c r="P43" s="17"/>
    </row>
    <row r="44">
      <c r="A44" s="11"/>
      <c r="B44" s="540" t="s">
        <v>64</v>
      </c>
      <c r="C44" s="583" t="s">
        <v>607</v>
      </c>
      <c r="D44" s="541" t="s">
        <v>608</v>
      </c>
      <c r="E44" s="67"/>
      <c r="F44" s="68"/>
      <c r="G44" s="69">
        <v>2.0</v>
      </c>
      <c r="H44" s="384"/>
      <c r="I44" s="432">
        <v>4.0</v>
      </c>
      <c r="J44" s="54">
        <v>4.0</v>
      </c>
      <c r="K44" s="54">
        <v>4.0</v>
      </c>
      <c r="L44" s="54">
        <v>4.0</v>
      </c>
      <c r="M44" s="426"/>
      <c r="N44" s="146"/>
      <c r="O44" s="542"/>
      <c r="P44" s="17"/>
    </row>
    <row r="45">
      <c r="A45" s="11"/>
      <c r="C45" s="580" t="s">
        <v>609</v>
      </c>
      <c r="D45" s="541" t="s">
        <v>608</v>
      </c>
      <c r="E45" s="67"/>
      <c r="F45" s="68"/>
      <c r="G45" s="69">
        <v>2.0</v>
      </c>
      <c r="H45" s="384"/>
      <c r="I45" s="434">
        <v>2.0</v>
      </c>
      <c r="J45" s="55">
        <v>1.0</v>
      </c>
      <c r="K45" s="55">
        <v>2.0</v>
      </c>
      <c r="L45" s="55">
        <v>3.0</v>
      </c>
      <c r="M45" s="428"/>
      <c r="N45" s="156"/>
      <c r="O45" s="499"/>
      <c r="P45" s="17"/>
    </row>
    <row r="46">
      <c r="A46" s="11"/>
      <c r="B46" s="544"/>
      <c r="C46" s="580" t="s">
        <v>610</v>
      </c>
      <c r="D46" s="541" t="s">
        <v>77</v>
      </c>
      <c r="E46" s="67">
        <v>3.0</v>
      </c>
      <c r="F46" s="68">
        <v>2.0</v>
      </c>
      <c r="G46" s="69">
        <v>3.0</v>
      </c>
      <c r="H46" s="384"/>
      <c r="I46" s="434">
        <v>2.0</v>
      </c>
      <c r="J46" s="55">
        <v>1.0</v>
      </c>
      <c r="K46" s="55">
        <v>2.0</v>
      </c>
      <c r="L46" s="55">
        <v>1.0</v>
      </c>
      <c r="M46" s="428"/>
      <c r="N46" s="156"/>
      <c r="O46" s="499"/>
      <c r="P46" s="17"/>
    </row>
    <row r="47">
      <c r="A47" s="11"/>
      <c r="B47" s="545"/>
      <c r="C47" s="584" t="s">
        <v>611</v>
      </c>
      <c r="D47" s="547" t="s">
        <v>60</v>
      </c>
      <c r="E47" s="250">
        <v>3.0</v>
      </c>
      <c r="F47" s="251">
        <v>2.0</v>
      </c>
      <c r="G47" s="205">
        <v>2.0</v>
      </c>
      <c r="H47" s="384"/>
      <c r="I47" s="434">
        <v>4.0</v>
      </c>
      <c r="J47" s="55">
        <v>4.0</v>
      </c>
      <c r="K47" s="55">
        <v>4.0</v>
      </c>
      <c r="L47" s="55">
        <v>3.0</v>
      </c>
      <c r="M47" s="428"/>
      <c r="N47" s="156"/>
      <c r="O47" s="499"/>
      <c r="P47" s="17"/>
    </row>
    <row r="48">
      <c r="A48" s="11"/>
      <c r="C48" s="580" t="s">
        <v>612</v>
      </c>
      <c r="D48" s="541" t="s">
        <v>613</v>
      </c>
      <c r="E48" s="67"/>
      <c r="F48" s="68"/>
      <c r="G48" s="69">
        <v>3.0</v>
      </c>
      <c r="H48" s="384"/>
      <c r="I48" s="434">
        <v>4.0</v>
      </c>
      <c r="J48" s="55">
        <v>4.0</v>
      </c>
      <c r="K48" s="55">
        <v>3.0</v>
      </c>
      <c r="L48" s="55">
        <v>4.0</v>
      </c>
      <c r="M48" s="428"/>
      <c r="N48" s="156"/>
      <c r="O48" s="499"/>
      <c r="P48" s="17"/>
    </row>
    <row r="49">
      <c r="A49" s="11"/>
      <c r="B49" s="22"/>
      <c r="C49" s="585" t="s">
        <v>614</v>
      </c>
      <c r="D49" s="550" t="s">
        <v>39</v>
      </c>
      <c r="E49" s="231">
        <v>5.0</v>
      </c>
      <c r="F49" s="232">
        <v>6.0</v>
      </c>
      <c r="G49" s="208">
        <v>7.0</v>
      </c>
      <c r="H49" s="384"/>
      <c r="I49" s="434">
        <v>1.0</v>
      </c>
      <c r="J49" s="55">
        <v>1.0</v>
      </c>
      <c r="K49" s="55">
        <v>2.0</v>
      </c>
      <c r="L49" s="55">
        <v>1.0</v>
      </c>
      <c r="M49" s="428"/>
      <c r="N49" s="156"/>
      <c r="O49" s="499"/>
      <c r="P49" s="17"/>
    </row>
    <row r="50">
      <c r="A50" s="11"/>
      <c r="B50" s="551"/>
      <c r="C50" s="586" t="s">
        <v>615</v>
      </c>
      <c r="D50" s="547" t="s">
        <v>608</v>
      </c>
      <c r="E50" s="250"/>
      <c r="F50" s="251"/>
      <c r="G50" s="205">
        <v>2.0</v>
      </c>
      <c r="H50" s="384"/>
      <c r="I50" s="434">
        <v>1.0</v>
      </c>
      <c r="J50" s="55">
        <v>1.0</v>
      </c>
      <c r="K50" s="55">
        <v>2.0</v>
      </c>
      <c r="L50" s="55">
        <v>2.0</v>
      </c>
      <c r="M50" s="428"/>
      <c r="N50" s="156"/>
      <c r="O50" s="499"/>
      <c r="P50" s="17"/>
    </row>
    <row r="51">
      <c r="A51" s="11"/>
      <c r="B51" s="22"/>
      <c r="C51" s="587" t="s">
        <v>616</v>
      </c>
      <c r="D51" s="555" t="s">
        <v>22</v>
      </c>
      <c r="E51" s="556">
        <v>8.0</v>
      </c>
      <c r="F51" s="557">
        <v>9.0</v>
      </c>
      <c r="G51" s="558">
        <v>9.0</v>
      </c>
      <c r="H51" s="384"/>
      <c r="I51" s="434">
        <v>1.0</v>
      </c>
      <c r="J51" s="55">
        <v>1.0</v>
      </c>
      <c r="K51" s="55">
        <v>1.0</v>
      </c>
      <c r="L51" s="55">
        <v>1.0</v>
      </c>
      <c r="M51" s="55"/>
      <c r="N51" s="156"/>
      <c r="O51" s="499"/>
      <c r="P51" s="17"/>
    </row>
    <row r="52">
      <c r="A52" s="11"/>
      <c r="B52" s="115"/>
      <c r="C52" s="579" t="s">
        <v>617</v>
      </c>
      <c r="D52" s="541"/>
      <c r="E52" s="67">
        <v>5.0</v>
      </c>
      <c r="F52" s="68">
        <v>5.0</v>
      </c>
      <c r="G52" s="69">
        <v>5.0</v>
      </c>
      <c r="H52" s="384"/>
      <c r="I52" s="434">
        <v>1.0</v>
      </c>
      <c r="J52" s="55">
        <v>2.0</v>
      </c>
      <c r="K52" s="55">
        <v>1.0</v>
      </c>
      <c r="L52" s="76">
        <v>1.0</v>
      </c>
      <c r="M52" s="428"/>
      <c r="N52" s="156"/>
      <c r="O52" s="499"/>
      <c r="P52" s="17"/>
    </row>
    <row r="53">
      <c r="A53" s="11"/>
      <c r="B53" s="22"/>
      <c r="C53" s="588" t="s">
        <v>618</v>
      </c>
      <c r="D53" s="550" t="s">
        <v>22</v>
      </c>
      <c r="E53" s="231">
        <v>5.0</v>
      </c>
      <c r="F53" s="232">
        <v>5.0</v>
      </c>
      <c r="G53" s="208">
        <v>7.0</v>
      </c>
      <c r="H53" s="384"/>
      <c r="I53" s="441">
        <v>3.0</v>
      </c>
      <c r="J53" s="76">
        <v>4.0</v>
      </c>
      <c r="K53" s="76">
        <v>3.0</v>
      </c>
      <c r="L53" s="76">
        <v>4.0</v>
      </c>
      <c r="M53" s="589"/>
      <c r="N53" s="192"/>
      <c r="O53" s="560"/>
      <c r="P53" s="17"/>
    </row>
    <row r="54">
      <c r="A54" s="11"/>
      <c r="B54" s="121"/>
      <c r="C54" s="195" t="s">
        <v>95</v>
      </c>
      <c r="D54" s="125"/>
      <c r="E54" s="125"/>
      <c r="F54" s="125"/>
      <c r="G54" s="125"/>
      <c r="H54" s="127"/>
      <c r="I54" s="127"/>
      <c r="J54" s="561"/>
      <c r="K54" s="561"/>
      <c r="L54" s="561"/>
      <c r="M54" s="561"/>
      <c r="N54" s="130"/>
      <c r="O54" s="128"/>
      <c r="P54" s="17"/>
    </row>
    <row r="55">
      <c r="A55" s="11"/>
      <c r="B55" s="135"/>
      <c r="C55" s="136"/>
      <c r="D55" s="525"/>
      <c r="E55" s="85"/>
      <c r="F55" s="85"/>
      <c r="G55" s="86"/>
      <c r="H55" s="384"/>
      <c r="I55" s="88" t="s">
        <v>1</v>
      </c>
      <c r="J55" s="88" t="s">
        <v>2</v>
      </c>
      <c r="K55" s="140" t="s">
        <v>426</v>
      </c>
      <c r="L55" s="88" t="s">
        <v>208</v>
      </c>
      <c r="M55" s="88" t="s">
        <v>3</v>
      </c>
      <c r="N55" s="88" t="s">
        <v>210</v>
      </c>
      <c r="O55" s="88" t="s">
        <v>427</v>
      </c>
      <c r="P55" s="17"/>
    </row>
    <row r="56">
      <c r="A56" s="11"/>
      <c r="B56" s="540"/>
      <c r="C56" s="580" t="s">
        <v>619</v>
      </c>
      <c r="D56" s="541" t="s">
        <v>39</v>
      </c>
      <c r="E56" s="67">
        <v>2.0</v>
      </c>
      <c r="F56" s="68">
        <v>3.0</v>
      </c>
      <c r="G56" s="69">
        <v>3.0</v>
      </c>
      <c r="H56" s="384"/>
      <c r="I56" s="432">
        <v>3.0</v>
      </c>
      <c r="J56" s="54">
        <v>1.0</v>
      </c>
      <c r="K56" s="54">
        <v>3.0</v>
      </c>
      <c r="L56" s="54">
        <v>3.0</v>
      </c>
      <c r="M56" s="426"/>
      <c r="N56" s="426"/>
      <c r="O56" s="542"/>
      <c r="P56" s="17"/>
    </row>
    <row r="57">
      <c r="A57" s="11"/>
      <c r="C57" s="580" t="s">
        <v>620</v>
      </c>
      <c r="D57" s="541" t="s">
        <v>51</v>
      </c>
      <c r="E57" s="67">
        <v>3.0</v>
      </c>
      <c r="F57" s="68">
        <v>4.0</v>
      </c>
      <c r="G57" s="69">
        <v>3.0</v>
      </c>
      <c r="H57" s="384"/>
      <c r="I57" s="434">
        <v>2.0</v>
      </c>
      <c r="J57" s="55">
        <v>4.0</v>
      </c>
      <c r="K57" s="55">
        <v>2.0</v>
      </c>
      <c r="L57" s="55">
        <v>2.0</v>
      </c>
      <c r="M57" s="428"/>
      <c r="N57" s="55"/>
      <c r="O57" s="499"/>
      <c r="P57" s="17"/>
    </row>
    <row r="58">
      <c r="A58" s="11"/>
      <c r="B58" s="22"/>
      <c r="C58" s="590" t="s">
        <v>621</v>
      </c>
      <c r="D58" s="565" t="s">
        <v>503</v>
      </c>
      <c r="E58" s="201"/>
      <c r="F58" s="202"/>
      <c r="G58" s="203">
        <v>4.0</v>
      </c>
      <c r="H58" s="384"/>
      <c r="I58" s="434">
        <v>2.0</v>
      </c>
      <c r="J58" s="55">
        <v>1.0</v>
      </c>
      <c r="K58" s="55">
        <v>2.0</v>
      </c>
      <c r="L58" s="55">
        <v>1.0</v>
      </c>
      <c r="M58" s="428"/>
      <c r="N58" s="428"/>
      <c r="O58" s="499"/>
      <c r="P58" s="17"/>
    </row>
    <row r="59">
      <c r="A59" s="11"/>
      <c r="B59" s="166"/>
      <c r="C59" s="580" t="s">
        <v>622</v>
      </c>
      <c r="D59" s="541" t="s">
        <v>623</v>
      </c>
      <c r="E59" s="67"/>
      <c r="F59" s="68"/>
      <c r="G59" s="69">
        <v>1.0</v>
      </c>
      <c r="H59" s="384"/>
      <c r="I59" s="434">
        <v>3.0</v>
      </c>
      <c r="J59" s="55">
        <v>4.0</v>
      </c>
      <c r="K59" s="55">
        <v>4.0</v>
      </c>
      <c r="L59" s="55">
        <v>4.0</v>
      </c>
      <c r="M59" s="428"/>
      <c r="N59" s="55"/>
      <c r="O59" s="499"/>
      <c r="P59" s="17"/>
    </row>
    <row r="60">
      <c r="A60" s="11"/>
      <c r="C60" s="580" t="s">
        <v>624</v>
      </c>
      <c r="D60" s="541" t="s">
        <v>51</v>
      </c>
      <c r="E60" s="67">
        <v>3.0</v>
      </c>
      <c r="F60" s="68">
        <v>2.0</v>
      </c>
      <c r="G60" s="69">
        <v>2.0</v>
      </c>
      <c r="H60" s="384"/>
      <c r="I60" s="434">
        <v>2.0</v>
      </c>
      <c r="J60" s="55">
        <v>4.0</v>
      </c>
      <c r="K60" s="55">
        <v>3.0</v>
      </c>
      <c r="L60" s="55">
        <v>3.0</v>
      </c>
      <c r="M60" s="428"/>
      <c r="N60" s="55"/>
      <c r="O60" s="499"/>
      <c r="P60" s="17"/>
    </row>
    <row r="61">
      <c r="A61" s="11"/>
      <c r="B61" s="22"/>
      <c r="C61" s="591" t="s">
        <v>625</v>
      </c>
      <c r="D61" s="555" t="s">
        <v>51</v>
      </c>
      <c r="E61" s="556">
        <v>4.0</v>
      </c>
      <c r="F61" s="557">
        <v>4.0</v>
      </c>
      <c r="G61" s="558">
        <v>4.0</v>
      </c>
      <c r="H61" s="384"/>
      <c r="I61" s="434">
        <v>3.0</v>
      </c>
      <c r="J61" s="55">
        <v>4.0</v>
      </c>
      <c r="K61" s="55">
        <v>4.0</v>
      </c>
      <c r="L61" s="55">
        <v>4.0</v>
      </c>
      <c r="M61" s="428"/>
      <c r="N61" s="55"/>
      <c r="O61" s="499"/>
      <c r="P61" s="17"/>
    </row>
    <row r="62">
      <c r="A62" s="11"/>
      <c r="B62" s="551"/>
      <c r="C62" s="579" t="s">
        <v>626</v>
      </c>
      <c r="D62" s="541" t="s">
        <v>71</v>
      </c>
      <c r="E62" s="67"/>
      <c r="F62" s="68"/>
      <c r="G62" s="69">
        <v>2.0</v>
      </c>
      <c r="H62" s="384"/>
      <c r="I62" s="434">
        <v>2.0</v>
      </c>
      <c r="J62" s="55">
        <v>4.0</v>
      </c>
      <c r="K62" s="55">
        <v>2.0</v>
      </c>
      <c r="L62" s="55">
        <v>4.0</v>
      </c>
      <c r="M62" s="428"/>
      <c r="N62" s="55"/>
      <c r="O62" s="499"/>
      <c r="P62" s="17"/>
    </row>
    <row r="63">
      <c r="A63" s="11"/>
      <c r="B63" s="22"/>
      <c r="C63" s="587" t="s">
        <v>627</v>
      </c>
      <c r="D63" s="555" t="s">
        <v>503</v>
      </c>
      <c r="E63" s="556"/>
      <c r="F63" s="557"/>
      <c r="G63" s="558">
        <v>6.0</v>
      </c>
      <c r="H63" s="384"/>
      <c r="I63" s="434">
        <v>3.0</v>
      </c>
      <c r="J63" s="55">
        <v>1.0</v>
      </c>
      <c r="K63" s="55">
        <v>3.0</v>
      </c>
      <c r="L63" s="55">
        <v>2.0</v>
      </c>
      <c r="M63" s="428"/>
      <c r="N63" s="55"/>
      <c r="O63" s="499"/>
      <c r="P63" s="17"/>
    </row>
    <row r="64">
      <c r="A64" s="11"/>
      <c r="B64" s="115"/>
      <c r="C64" s="579" t="s">
        <v>628</v>
      </c>
      <c r="D64" s="541"/>
      <c r="E64" s="67">
        <v>6.0</v>
      </c>
      <c r="F64" s="68">
        <v>5.0</v>
      </c>
      <c r="G64" s="69">
        <v>5.0</v>
      </c>
      <c r="H64" s="384"/>
      <c r="I64" s="434">
        <v>3.0</v>
      </c>
      <c r="J64" s="55">
        <v>1.0</v>
      </c>
      <c r="K64" s="55">
        <v>3.0</v>
      </c>
      <c r="L64" s="55">
        <v>3.0</v>
      </c>
      <c r="M64" s="428"/>
      <c r="N64" s="55"/>
      <c r="O64" s="499"/>
      <c r="P64" s="17"/>
    </row>
    <row r="65">
      <c r="A65" s="11"/>
      <c r="B65" s="22"/>
      <c r="C65" s="588" t="s">
        <v>629</v>
      </c>
      <c r="D65" s="550" t="s">
        <v>51</v>
      </c>
      <c r="E65" s="231">
        <v>7.0</v>
      </c>
      <c r="F65" s="232">
        <v>4.0</v>
      </c>
      <c r="G65" s="208">
        <v>8.0</v>
      </c>
      <c r="H65" s="384"/>
      <c r="I65" s="441">
        <v>3.0</v>
      </c>
      <c r="J65" s="442">
        <v>4.0</v>
      </c>
      <c r="K65" s="442">
        <v>3.0</v>
      </c>
      <c r="L65" s="442">
        <v>4.0</v>
      </c>
      <c r="M65" s="589"/>
      <c r="N65" s="55"/>
      <c r="O65" s="560"/>
      <c r="P65" s="17"/>
    </row>
    <row r="66">
      <c r="A66" s="11"/>
      <c r="B66" s="121"/>
      <c r="C66" s="195" t="s">
        <v>109</v>
      </c>
      <c r="D66" s="125"/>
      <c r="E66" s="125"/>
      <c r="F66" s="125"/>
      <c r="G66" s="125"/>
      <c r="H66" s="127"/>
      <c r="I66" s="127"/>
      <c r="J66" s="128"/>
      <c r="K66" s="128"/>
      <c r="L66" s="128"/>
      <c r="M66" s="128"/>
      <c r="N66" s="130"/>
      <c r="O66" s="128"/>
      <c r="P66" s="17"/>
    </row>
    <row r="67">
      <c r="A67" s="11"/>
      <c r="B67" s="135"/>
      <c r="C67" s="136"/>
      <c r="D67" s="525"/>
      <c r="E67" s="85"/>
      <c r="F67" s="85"/>
      <c r="G67" s="86"/>
      <c r="H67" s="384"/>
      <c r="I67" s="87" t="s">
        <v>1</v>
      </c>
      <c r="J67" s="88" t="s">
        <v>2</v>
      </c>
      <c r="K67" s="140" t="s">
        <v>426</v>
      </c>
      <c r="L67" s="88" t="s">
        <v>208</v>
      </c>
      <c r="M67" s="88" t="s">
        <v>3</v>
      </c>
      <c r="N67" s="88" t="s">
        <v>210</v>
      </c>
      <c r="O67" s="88" t="s">
        <v>427</v>
      </c>
      <c r="P67" s="17"/>
    </row>
    <row r="68">
      <c r="A68" s="11"/>
      <c r="B68" s="540"/>
      <c r="C68" s="580" t="s">
        <v>630</v>
      </c>
      <c r="D68" s="592" t="s">
        <v>608</v>
      </c>
      <c r="E68" s="67"/>
      <c r="F68" s="68"/>
      <c r="G68" s="69">
        <v>1.0</v>
      </c>
      <c r="H68" s="384"/>
      <c r="I68" s="432">
        <v>4.0</v>
      </c>
      <c r="J68" s="54">
        <v>4.0</v>
      </c>
      <c r="K68" s="54">
        <v>4.0</v>
      </c>
      <c r="L68" s="54">
        <v>4.0</v>
      </c>
      <c r="M68" s="426"/>
      <c r="N68" s="55"/>
      <c r="O68" s="542"/>
      <c r="P68" s="17"/>
    </row>
    <row r="69">
      <c r="A69" s="11"/>
      <c r="C69" s="580" t="s">
        <v>631</v>
      </c>
      <c r="D69" s="541" t="s">
        <v>623</v>
      </c>
      <c r="E69" s="67"/>
      <c r="F69" s="68"/>
      <c r="G69" s="69">
        <v>1.0</v>
      </c>
      <c r="H69" s="384"/>
      <c r="I69" s="434">
        <v>1.0</v>
      </c>
      <c r="J69" s="55">
        <v>2.0</v>
      </c>
      <c r="K69" s="55">
        <v>1.0</v>
      </c>
      <c r="L69" s="55">
        <v>1.0</v>
      </c>
      <c r="M69" s="428"/>
      <c r="N69" s="62"/>
      <c r="O69" s="499"/>
      <c r="P69" s="17"/>
    </row>
    <row r="70">
      <c r="A70" s="11"/>
      <c r="B70" s="22"/>
      <c r="C70" s="590" t="s">
        <v>632</v>
      </c>
      <c r="D70" s="565" t="s">
        <v>29</v>
      </c>
      <c r="E70" s="201">
        <v>0.0</v>
      </c>
      <c r="F70" s="202">
        <v>3.0</v>
      </c>
      <c r="G70" s="203">
        <v>2.0</v>
      </c>
      <c r="H70" s="384"/>
      <c r="I70" s="434">
        <v>1.0</v>
      </c>
      <c r="J70" s="55">
        <v>2.0</v>
      </c>
      <c r="K70" s="55">
        <v>2.0</v>
      </c>
      <c r="L70" s="55">
        <v>2.0</v>
      </c>
      <c r="M70" s="428"/>
      <c r="N70" s="55"/>
      <c r="O70" s="499"/>
      <c r="P70" s="17"/>
    </row>
    <row r="71">
      <c r="A71" s="11"/>
      <c r="B71" s="166"/>
      <c r="C71" s="580" t="s">
        <v>633</v>
      </c>
      <c r="D71" s="541" t="s">
        <v>71</v>
      </c>
      <c r="E71" s="67"/>
      <c r="F71" s="68"/>
      <c r="G71" s="69">
        <v>1.0</v>
      </c>
      <c r="H71" s="384"/>
      <c r="I71" s="434">
        <v>4.0</v>
      </c>
      <c r="J71" s="55">
        <v>4.0</v>
      </c>
      <c r="K71" s="55">
        <v>4.0</v>
      </c>
      <c r="L71" s="55">
        <v>4.0</v>
      </c>
      <c r="M71" s="428"/>
      <c r="N71" s="62"/>
      <c r="O71" s="499"/>
      <c r="P71" s="17"/>
    </row>
    <row r="72">
      <c r="A72" s="11"/>
      <c r="C72" s="580" t="s">
        <v>634</v>
      </c>
      <c r="D72" s="541" t="s">
        <v>51</v>
      </c>
      <c r="E72" s="67">
        <v>2.0</v>
      </c>
      <c r="F72" s="68">
        <v>5.0</v>
      </c>
      <c r="G72" s="69">
        <v>3.0</v>
      </c>
      <c r="H72" s="384"/>
      <c r="I72" s="434">
        <v>1.0</v>
      </c>
      <c r="J72" s="55">
        <v>2.0</v>
      </c>
      <c r="K72" s="55">
        <v>1.0</v>
      </c>
      <c r="L72" s="55">
        <v>1.0</v>
      </c>
      <c r="M72" s="428"/>
      <c r="N72" s="55"/>
      <c r="O72" s="499"/>
      <c r="P72" s="17"/>
    </row>
    <row r="73">
      <c r="A73" s="11"/>
      <c r="B73" s="22"/>
      <c r="C73" s="591" t="s">
        <v>635</v>
      </c>
      <c r="D73" s="555" t="s">
        <v>39</v>
      </c>
      <c r="E73" s="556">
        <v>3.0</v>
      </c>
      <c r="F73" s="557">
        <v>4.0</v>
      </c>
      <c r="G73" s="558">
        <v>5.0</v>
      </c>
      <c r="H73" s="384"/>
      <c r="I73" s="434">
        <v>4.0</v>
      </c>
      <c r="J73" s="55">
        <v>4.0</v>
      </c>
      <c r="K73" s="55">
        <v>3.0</v>
      </c>
      <c r="L73" s="55">
        <v>3.0</v>
      </c>
      <c r="M73" s="428"/>
      <c r="N73" s="55"/>
      <c r="O73" s="499"/>
      <c r="P73" s="17"/>
    </row>
    <row r="74">
      <c r="A74" s="11"/>
      <c r="B74" s="551"/>
      <c r="C74" s="579" t="s">
        <v>636</v>
      </c>
      <c r="D74" s="541" t="s">
        <v>637</v>
      </c>
      <c r="E74" s="67"/>
      <c r="F74" s="68"/>
      <c r="G74" s="69">
        <v>3.0</v>
      </c>
      <c r="H74" s="384"/>
      <c r="I74" s="434">
        <v>1.0</v>
      </c>
      <c r="J74" s="55">
        <v>2.0</v>
      </c>
      <c r="K74" s="55">
        <v>2.0</v>
      </c>
      <c r="L74" s="55">
        <v>2.0</v>
      </c>
      <c r="M74" s="428"/>
      <c r="N74" s="62"/>
      <c r="O74" s="499"/>
      <c r="P74" s="17"/>
    </row>
    <row r="75">
      <c r="A75" s="11"/>
      <c r="B75" s="22"/>
      <c r="C75" s="587" t="s">
        <v>638</v>
      </c>
      <c r="D75" s="555" t="s">
        <v>39</v>
      </c>
      <c r="E75" s="556">
        <v>5.0</v>
      </c>
      <c r="F75" s="557">
        <v>4.0</v>
      </c>
      <c r="G75" s="558">
        <v>7.0</v>
      </c>
      <c r="H75" s="384"/>
      <c r="I75" s="434">
        <v>1.0</v>
      </c>
      <c r="J75" s="55">
        <v>1.0</v>
      </c>
      <c r="K75" s="55">
        <v>1.0</v>
      </c>
      <c r="L75" s="55">
        <v>1.0</v>
      </c>
      <c r="M75" s="428"/>
      <c r="N75" s="428"/>
      <c r="O75" s="499"/>
      <c r="P75" s="17"/>
    </row>
    <row r="76">
      <c r="A76" s="11"/>
      <c r="B76" s="115"/>
      <c r="C76" s="579" t="s">
        <v>639</v>
      </c>
      <c r="D76" s="541" t="s">
        <v>455</v>
      </c>
      <c r="E76" s="67">
        <v>3.0</v>
      </c>
      <c r="F76" s="68">
        <v>4.0</v>
      </c>
      <c r="G76" s="69">
        <v>3.0</v>
      </c>
      <c r="H76" s="384"/>
      <c r="I76" s="434">
        <v>4.0</v>
      </c>
      <c r="J76" s="55">
        <v>4.0</v>
      </c>
      <c r="K76" s="55">
        <v>4.0</v>
      </c>
      <c r="L76" s="55">
        <v>4.0</v>
      </c>
      <c r="M76" s="428"/>
      <c r="N76" s="62"/>
      <c r="O76" s="499"/>
      <c r="P76" s="17"/>
    </row>
    <row r="77">
      <c r="A77" s="11"/>
      <c r="B77" s="22"/>
      <c r="C77" s="588" t="s">
        <v>640</v>
      </c>
      <c r="D77" s="550" t="s">
        <v>22</v>
      </c>
      <c r="E77" s="231">
        <v>3.0</v>
      </c>
      <c r="F77" s="232">
        <v>5.0</v>
      </c>
      <c r="G77" s="208">
        <v>7.0</v>
      </c>
      <c r="H77" s="384"/>
      <c r="I77" s="441">
        <v>1.0</v>
      </c>
      <c r="J77" s="442">
        <v>1.0</v>
      </c>
      <c r="K77" s="442">
        <v>2.0</v>
      </c>
      <c r="L77" s="442">
        <v>2.0</v>
      </c>
      <c r="M77" s="589"/>
      <c r="N77" s="62"/>
      <c r="O77" s="560"/>
      <c r="P77" s="17"/>
    </row>
    <row r="78">
      <c r="A78" s="11"/>
      <c r="B78" s="121"/>
      <c r="C78" s="195" t="s">
        <v>123</v>
      </c>
      <c r="D78" s="125"/>
      <c r="E78" s="125"/>
      <c r="F78" s="125"/>
      <c r="G78" s="125"/>
      <c r="H78" s="127"/>
      <c r="I78" s="127"/>
      <c r="J78" s="128"/>
      <c r="K78" s="128"/>
      <c r="L78" s="128"/>
      <c r="M78" s="128"/>
      <c r="N78" s="130"/>
      <c r="O78" s="128"/>
      <c r="P78" s="17"/>
    </row>
    <row r="79">
      <c r="A79" s="11"/>
      <c r="B79" s="135"/>
      <c r="C79" s="136"/>
      <c r="D79" s="525"/>
      <c r="E79" s="85"/>
      <c r="F79" s="85"/>
      <c r="G79" s="86"/>
      <c r="H79" s="384"/>
      <c r="I79" s="87" t="s">
        <v>1</v>
      </c>
      <c r="J79" s="88" t="s">
        <v>2</v>
      </c>
      <c r="K79" s="140" t="s">
        <v>426</v>
      </c>
      <c r="L79" s="88" t="s">
        <v>208</v>
      </c>
      <c r="M79" s="88" t="s">
        <v>3</v>
      </c>
      <c r="N79" s="88" t="s">
        <v>210</v>
      </c>
      <c r="O79" s="88" t="s">
        <v>427</v>
      </c>
      <c r="P79" s="17"/>
    </row>
    <row r="80">
      <c r="A80" s="11"/>
      <c r="B80" s="540"/>
      <c r="C80" s="580" t="s">
        <v>641</v>
      </c>
      <c r="D80" s="541" t="s">
        <v>60</v>
      </c>
      <c r="E80" s="67">
        <v>3.0</v>
      </c>
      <c r="F80" s="68">
        <v>1.0</v>
      </c>
      <c r="G80" s="69">
        <v>1.0</v>
      </c>
      <c r="H80" s="384"/>
      <c r="I80" s="432">
        <v>3.0</v>
      </c>
      <c r="J80" s="54">
        <v>3.0</v>
      </c>
      <c r="K80" s="54">
        <v>3.0</v>
      </c>
      <c r="L80" s="54">
        <v>2.0</v>
      </c>
      <c r="M80" s="426"/>
      <c r="N80" s="426"/>
      <c r="O80" s="542"/>
      <c r="P80" s="17"/>
    </row>
    <row r="81">
      <c r="A81" s="11"/>
      <c r="C81" s="580" t="s">
        <v>642</v>
      </c>
      <c r="D81" s="541" t="s">
        <v>60</v>
      </c>
      <c r="E81" s="67">
        <v>2.0</v>
      </c>
      <c r="F81" s="68">
        <v>5.0</v>
      </c>
      <c r="G81" s="69">
        <v>3.0</v>
      </c>
      <c r="H81" s="384"/>
      <c r="I81" s="434">
        <v>3.0</v>
      </c>
      <c r="J81" s="55">
        <v>3.0</v>
      </c>
      <c r="K81" s="55">
        <v>3.0</v>
      </c>
      <c r="L81" s="55">
        <v>2.0</v>
      </c>
      <c r="M81" s="428"/>
      <c r="N81" s="55"/>
      <c r="O81" s="499"/>
      <c r="P81" s="17"/>
    </row>
    <row r="82">
      <c r="A82" s="11"/>
      <c r="B82" s="22"/>
      <c r="C82" s="590" t="s">
        <v>643</v>
      </c>
      <c r="D82" s="565" t="s">
        <v>71</v>
      </c>
      <c r="E82" s="201"/>
      <c r="F82" s="202"/>
      <c r="G82" s="203">
        <v>6.0</v>
      </c>
      <c r="H82" s="384"/>
      <c r="I82" s="434">
        <v>1.0</v>
      </c>
      <c r="J82" s="55">
        <v>1.0</v>
      </c>
      <c r="K82" s="55">
        <v>1.0</v>
      </c>
      <c r="L82" s="55">
        <v>1.0</v>
      </c>
      <c r="M82" s="428"/>
      <c r="N82" s="55"/>
      <c r="O82" s="499"/>
      <c r="P82" s="17"/>
    </row>
    <row r="83">
      <c r="A83" s="11"/>
      <c r="B83" s="166"/>
      <c r="C83" s="580" t="s">
        <v>644</v>
      </c>
      <c r="D83" s="541" t="s">
        <v>71</v>
      </c>
      <c r="E83" s="67"/>
      <c r="F83" s="68"/>
      <c r="G83" s="69">
        <v>1.0</v>
      </c>
      <c r="H83" s="384"/>
      <c r="I83" s="434">
        <v>3.0</v>
      </c>
      <c r="J83" s="55">
        <v>3.0</v>
      </c>
      <c r="K83" s="55">
        <v>3.0</v>
      </c>
      <c r="L83" s="55">
        <v>3.0</v>
      </c>
      <c r="M83" s="428"/>
      <c r="N83" s="55"/>
      <c r="O83" s="499"/>
      <c r="P83" s="17"/>
    </row>
    <row r="84">
      <c r="A84" s="11"/>
      <c r="C84" s="580" t="s">
        <v>645</v>
      </c>
      <c r="D84" s="541" t="s">
        <v>77</v>
      </c>
      <c r="E84" s="67">
        <v>2.0</v>
      </c>
      <c r="F84" s="68">
        <v>3.0</v>
      </c>
      <c r="G84" s="69">
        <v>3.0</v>
      </c>
      <c r="H84" s="384"/>
      <c r="I84" s="434">
        <v>4.0</v>
      </c>
      <c r="J84" s="55">
        <v>3.0</v>
      </c>
      <c r="K84" s="55">
        <v>3.0</v>
      </c>
      <c r="L84" s="55">
        <v>3.0</v>
      </c>
      <c r="M84" s="428"/>
      <c r="N84" s="428"/>
      <c r="O84" s="499"/>
      <c r="P84" s="17"/>
    </row>
    <row r="85">
      <c r="A85" s="11"/>
      <c r="B85" s="22"/>
      <c r="C85" s="591" t="s">
        <v>646</v>
      </c>
      <c r="D85" s="555" t="s">
        <v>39</v>
      </c>
      <c r="E85" s="556">
        <v>2.0</v>
      </c>
      <c r="F85" s="557">
        <v>2.0</v>
      </c>
      <c r="G85" s="558">
        <v>4.0</v>
      </c>
      <c r="H85" s="384"/>
      <c r="I85" s="434">
        <v>2.0</v>
      </c>
      <c r="J85" s="55">
        <v>2.0</v>
      </c>
      <c r="K85" s="55">
        <v>2.0</v>
      </c>
      <c r="L85" s="55">
        <v>4.0</v>
      </c>
      <c r="M85" s="428"/>
      <c r="N85" s="55"/>
      <c r="O85" s="499"/>
      <c r="P85" s="17"/>
    </row>
    <row r="86">
      <c r="A86" s="11"/>
      <c r="B86" s="551"/>
      <c r="C86" s="579" t="s">
        <v>647</v>
      </c>
      <c r="D86" s="541" t="s">
        <v>71</v>
      </c>
      <c r="E86" s="67"/>
      <c r="F86" s="68"/>
      <c r="G86" s="69">
        <v>5.0</v>
      </c>
      <c r="H86" s="384"/>
      <c r="I86" s="434">
        <v>4.0</v>
      </c>
      <c r="J86" s="55">
        <v>3.0</v>
      </c>
      <c r="K86" s="55">
        <v>2.0</v>
      </c>
      <c r="L86" s="55">
        <v>1.0</v>
      </c>
      <c r="M86" s="428"/>
      <c r="N86" s="428"/>
      <c r="O86" s="499"/>
      <c r="P86" s="17"/>
    </row>
    <row r="87">
      <c r="A87" s="11"/>
      <c r="B87" s="22"/>
      <c r="C87" s="587" t="s">
        <v>648</v>
      </c>
      <c r="D87" s="555" t="s">
        <v>60</v>
      </c>
      <c r="E87" s="556">
        <v>4.0</v>
      </c>
      <c r="F87" s="557">
        <v>4.0</v>
      </c>
      <c r="G87" s="558">
        <v>5.0</v>
      </c>
      <c r="H87" s="384"/>
      <c r="I87" s="434">
        <v>4.0</v>
      </c>
      <c r="J87" s="55">
        <v>3.0</v>
      </c>
      <c r="K87" s="55">
        <v>3.0</v>
      </c>
      <c r="L87" s="55">
        <v>2.0</v>
      </c>
      <c r="M87" s="428"/>
      <c r="N87" s="428"/>
      <c r="O87" s="499"/>
      <c r="P87" s="17"/>
    </row>
    <row r="88">
      <c r="A88" s="11"/>
      <c r="B88" s="115"/>
      <c r="C88" s="579" t="s">
        <v>649</v>
      </c>
      <c r="D88" s="541" t="s">
        <v>22</v>
      </c>
      <c r="E88" s="67">
        <v>6.0</v>
      </c>
      <c r="F88" s="68">
        <v>5.0</v>
      </c>
      <c r="G88" s="69">
        <v>6.0</v>
      </c>
      <c r="H88" s="384"/>
      <c r="I88" s="434">
        <v>4.0</v>
      </c>
      <c r="J88" s="55">
        <v>4.0</v>
      </c>
      <c r="K88" s="55">
        <v>4.0</v>
      </c>
      <c r="L88" s="55">
        <v>3.0</v>
      </c>
      <c r="M88" s="428"/>
      <c r="N88" s="428"/>
      <c r="O88" s="499"/>
      <c r="P88" s="17"/>
    </row>
    <row r="89">
      <c r="A89" s="11"/>
      <c r="B89" s="22"/>
      <c r="C89" s="588" t="s">
        <v>650</v>
      </c>
      <c r="D89" s="550" t="s">
        <v>60</v>
      </c>
      <c r="E89" s="231">
        <v>8.0</v>
      </c>
      <c r="F89" s="232">
        <v>8.0</v>
      </c>
      <c r="G89" s="208">
        <v>8.0</v>
      </c>
      <c r="H89" s="384"/>
      <c r="I89" s="441">
        <v>4.0</v>
      </c>
      <c r="J89" s="442">
        <v>2.0</v>
      </c>
      <c r="K89" s="442">
        <v>2.0</v>
      </c>
      <c r="L89" s="442">
        <v>2.0</v>
      </c>
      <c r="M89" s="589"/>
      <c r="N89" s="428"/>
      <c r="O89" s="499"/>
      <c r="P89" s="17"/>
    </row>
    <row r="90">
      <c r="A90" s="11"/>
      <c r="B90" s="121"/>
      <c r="C90" s="195" t="s">
        <v>135</v>
      </c>
      <c r="D90" s="125"/>
      <c r="E90" s="125"/>
      <c r="F90" s="125"/>
      <c r="G90" s="125"/>
      <c r="H90" s="127"/>
      <c r="I90" s="127"/>
      <c r="J90" s="128"/>
      <c r="K90" s="128"/>
      <c r="L90" s="128"/>
      <c r="M90" s="128"/>
      <c r="N90" s="130"/>
      <c r="O90" s="128"/>
      <c r="P90" s="17"/>
    </row>
    <row r="91">
      <c r="A91" s="11"/>
      <c r="B91" s="135"/>
      <c r="C91" s="136"/>
      <c r="D91" s="525"/>
      <c r="E91" s="85"/>
      <c r="F91" s="85"/>
      <c r="G91" s="86"/>
      <c r="H91" s="384"/>
      <c r="I91" s="87" t="s">
        <v>1</v>
      </c>
      <c r="J91" s="88" t="s">
        <v>2</v>
      </c>
      <c r="K91" s="140" t="s">
        <v>426</v>
      </c>
      <c r="L91" s="88" t="s">
        <v>208</v>
      </c>
      <c r="M91" s="88" t="s">
        <v>3</v>
      </c>
      <c r="N91" s="88" t="s">
        <v>210</v>
      </c>
      <c r="O91" s="88" t="s">
        <v>427</v>
      </c>
      <c r="P91" s="17"/>
    </row>
    <row r="92">
      <c r="A92" s="11"/>
      <c r="B92" s="540"/>
      <c r="C92" s="580" t="s">
        <v>651</v>
      </c>
      <c r="D92" s="541" t="s">
        <v>71</v>
      </c>
      <c r="E92" s="67"/>
      <c r="F92" s="68"/>
      <c r="G92" s="69">
        <v>1.0</v>
      </c>
      <c r="H92" s="384"/>
      <c r="I92" s="457">
        <v>4.0</v>
      </c>
      <c r="J92" s="56">
        <v>4.0</v>
      </c>
      <c r="K92" s="56">
        <v>2.0</v>
      </c>
      <c r="L92" s="56">
        <v>1.0</v>
      </c>
      <c r="M92" s="426"/>
      <c r="N92" s="55"/>
      <c r="O92" s="571"/>
      <c r="P92" s="17"/>
    </row>
    <row r="93">
      <c r="A93" s="11"/>
      <c r="C93" s="580" t="s">
        <v>652</v>
      </c>
      <c r="D93" s="541" t="s">
        <v>637</v>
      </c>
      <c r="E93" s="67"/>
      <c r="F93" s="68"/>
      <c r="G93" s="69">
        <v>5.0</v>
      </c>
      <c r="H93" s="384"/>
      <c r="I93" s="434">
        <v>1.0</v>
      </c>
      <c r="J93" s="55">
        <v>1.0</v>
      </c>
      <c r="K93" s="55">
        <v>2.0</v>
      </c>
      <c r="L93" s="55">
        <v>2.0</v>
      </c>
      <c r="M93" s="428"/>
      <c r="N93" s="55"/>
      <c r="O93" s="499"/>
      <c r="P93" s="17"/>
    </row>
    <row r="94">
      <c r="A94" s="11"/>
      <c r="B94" s="544"/>
      <c r="C94" s="591" t="s">
        <v>653</v>
      </c>
      <c r="D94" s="555" t="s">
        <v>637</v>
      </c>
      <c r="E94" s="556"/>
      <c r="F94" s="557"/>
      <c r="G94" s="558">
        <v>7.0</v>
      </c>
      <c r="H94" s="384"/>
      <c r="I94" s="434">
        <v>2.0</v>
      </c>
      <c r="J94" s="55">
        <v>4.0</v>
      </c>
      <c r="K94" s="55">
        <v>4.0</v>
      </c>
      <c r="L94" s="55">
        <v>4.0</v>
      </c>
      <c r="M94" s="428"/>
      <c r="N94" s="55"/>
      <c r="O94" s="499"/>
      <c r="P94" s="17"/>
    </row>
    <row r="95">
      <c r="A95" s="11"/>
      <c r="B95" s="572"/>
      <c r="C95" s="580" t="s">
        <v>654</v>
      </c>
      <c r="D95" s="541" t="s">
        <v>71</v>
      </c>
      <c r="E95" s="67"/>
      <c r="F95" s="68"/>
      <c r="G95" s="69">
        <v>0.0</v>
      </c>
      <c r="H95" s="384"/>
      <c r="I95" s="434">
        <v>5.0</v>
      </c>
      <c r="J95" s="55">
        <v>5.0</v>
      </c>
      <c r="K95" s="55">
        <v>5.0</v>
      </c>
      <c r="L95" s="55">
        <v>5.0</v>
      </c>
      <c r="M95" s="428"/>
      <c r="N95" s="55"/>
      <c r="O95" s="499"/>
      <c r="P95" s="17"/>
    </row>
    <row r="96">
      <c r="A96" s="11"/>
      <c r="C96" s="580" t="s">
        <v>655</v>
      </c>
      <c r="D96" s="541" t="s">
        <v>39</v>
      </c>
      <c r="E96" s="67">
        <v>4.0</v>
      </c>
      <c r="F96" s="68">
        <v>4.0</v>
      </c>
      <c r="G96" s="69">
        <v>1.0</v>
      </c>
      <c r="H96" s="384"/>
      <c r="I96" s="434">
        <v>3.0</v>
      </c>
      <c r="J96" s="55">
        <v>3.0</v>
      </c>
      <c r="K96" s="55">
        <v>3.0</v>
      </c>
      <c r="L96" s="55">
        <v>4.0</v>
      </c>
      <c r="M96" s="428"/>
      <c r="N96" s="55"/>
      <c r="O96" s="499"/>
      <c r="P96" s="17"/>
    </row>
    <row r="97">
      <c r="A97" s="11"/>
      <c r="B97" s="22"/>
      <c r="C97" s="591" t="s">
        <v>656</v>
      </c>
      <c r="D97" s="555" t="s">
        <v>39</v>
      </c>
      <c r="E97" s="556">
        <v>5.0</v>
      </c>
      <c r="F97" s="557">
        <v>5.0</v>
      </c>
      <c r="G97" s="558">
        <v>6.0</v>
      </c>
      <c r="H97" s="384"/>
      <c r="I97" s="434">
        <v>3.0</v>
      </c>
      <c r="J97" s="55">
        <v>3.0</v>
      </c>
      <c r="K97" s="55">
        <v>2.0</v>
      </c>
      <c r="L97" s="55">
        <v>3.0</v>
      </c>
      <c r="M97" s="428"/>
      <c r="N97" s="55"/>
      <c r="O97" s="499"/>
      <c r="P97" s="17"/>
    </row>
    <row r="98">
      <c r="A98" s="11"/>
      <c r="B98" s="551"/>
      <c r="C98" s="579" t="s">
        <v>657</v>
      </c>
      <c r="D98" s="541" t="s">
        <v>22</v>
      </c>
      <c r="E98" s="67">
        <v>1.0</v>
      </c>
      <c r="F98" s="68">
        <v>3.0</v>
      </c>
      <c r="G98" s="69">
        <v>1.0</v>
      </c>
      <c r="H98" s="384"/>
      <c r="I98" s="434">
        <v>3.0</v>
      </c>
      <c r="J98" s="55">
        <v>2.0</v>
      </c>
      <c r="K98" s="55">
        <v>2.0</v>
      </c>
      <c r="L98" s="55">
        <v>2.0</v>
      </c>
      <c r="M98" s="428"/>
      <c r="N98" s="55"/>
      <c r="O98" s="499"/>
      <c r="P98" s="17"/>
    </row>
    <row r="99">
      <c r="A99" s="11"/>
      <c r="B99" s="22"/>
      <c r="C99" s="587" t="s">
        <v>658</v>
      </c>
      <c r="D99" s="555" t="s">
        <v>637</v>
      </c>
      <c r="E99" s="556"/>
      <c r="F99" s="557"/>
      <c r="G99" s="558">
        <v>3.0</v>
      </c>
      <c r="H99" s="384"/>
      <c r="I99" s="434">
        <v>3.0</v>
      </c>
      <c r="J99" s="55">
        <v>2.0</v>
      </c>
      <c r="K99" s="55">
        <v>2.0</v>
      </c>
      <c r="L99" s="55">
        <v>3.0</v>
      </c>
      <c r="M99" s="428"/>
      <c r="N99" s="55"/>
      <c r="O99" s="499"/>
      <c r="P99" s="17"/>
    </row>
    <row r="100">
      <c r="A100" s="11"/>
      <c r="B100" s="115"/>
      <c r="C100" s="579" t="s">
        <v>659</v>
      </c>
      <c r="D100" s="541" t="s">
        <v>22</v>
      </c>
      <c r="E100" s="67">
        <v>6.0</v>
      </c>
      <c r="F100" s="68">
        <v>5.0</v>
      </c>
      <c r="G100" s="69">
        <v>7.0</v>
      </c>
      <c r="H100" s="384"/>
      <c r="I100" s="434">
        <v>1.0</v>
      </c>
      <c r="J100" s="55">
        <v>1.0</v>
      </c>
      <c r="K100" s="55">
        <v>1.0</v>
      </c>
      <c r="L100" s="55">
        <v>1.0</v>
      </c>
      <c r="M100" s="428"/>
      <c r="N100" s="55"/>
      <c r="O100" s="499"/>
      <c r="P100" s="17"/>
    </row>
    <row r="101">
      <c r="A101" s="11"/>
      <c r="B101" s="22"/>
      <c r="C101" s="588" t="s">
        <v>660</v>
      </c>
      <c r="D101" s="550" t="s">
        <v>39</v>
      </c>
      <c r="E101" s="231">
        <v>4.0</v>
      </c>
      <c r="F101" s="232">
        <v>5.0</v>
      </c>
      <c r="G101" s="208">
        <v>7.0</v>
      </c>
      <c r="H101" s="384"/>
      <c r="I101" s="441">
        <v>1.0</v>
      </c>
      <c r="J101" s="442">
        <v>1.0</v>
      </c>
      <c r="K101" s="442">
        <v>1.0</v>
      </c>
      <c r="L101" s="442">
        <v>1.0</v>
      </c>
      <c r="M101" s="589"/>
      <c r="N101" s="55"/>
      <c r="O101" s="560"/>
      <c r="P101" s="17"/>
    </row>
    <row r="102">
      <c r="A102" s="11"/>
      <c r="B102" s="121"/>
      <c r="C102" s="195" t="s">
        <v>147</v>
      </c>
      <c r="D102" s="125"/>
      <c r="E102" s="125"/>
      <c r="F102" s="125"/>
      <c r="G102" s="125"/>
      <c r="H102" s="127"/>
      <c r="I102" s="127"/>
      <c r="J102" s="128"/>
      <c r="K102" s="128"/>
      <c r="L102" s="128"/>
      <c r="M102" s="128"/>
      <c r="N102" s="130"/>
      <c r="O102" s="128"/>
      <c r="P102" s="17"/>
    </row>
    <row r="103">
      <c r="A103" s="11"/>
      <c r="B103" s="135"/>
      <c r="C103" s="136"/>
      <c r="D103" s="525"/>
      <c r="E103" s="85"/>
      <c r="F103" s="85"/>
      <c r="G103" s="86"/>
      <c r="H103" s="384"/>
      <c r="I103" s="87" t="s">
        <v>1</v>
      </c>
      <c r="J103" s="88" t="s">
        <v>2</v>
      </c>
      <c r="K103" s="140" t="s">
        <v>426</v>
      </c>
      <c r="L103" s="88" t="s">
        <v>208</v>
      </c>
      <c r="M103" s="88" t="s">
        <v>3</v>
      </c>
      <c r="N103" s="88" t="s">
        <v>210</v>
      </c>
      <c r="O103" s="88" t="s">
        <v>427</v>
      </c>
      <c r="P103" s="17"/>
    </row>
    <row r="104">
      <c r="A104" s="11"/>
      <c r="B104" s="540"/>
      <c r="C104" s="580" t="s">
        <v>661</v>
      </c>
      <c r="D104" s="541" t="s">
        <v>490</v>
      </c>
      <c r="E104" s="67"/>
      <c r="F104" s="68"/>
      <c r="G104" s="69">
        <v>1.0</v>
      </c>
      <c r="H104" s="384"/>
      <c r="I104" s="432">
        <v>3.0</v>
      </c>
      <c r="J104" s="54">
        <v>4.0</v>
      </c>
      <c r="K104" s="54">
        <v>4.0</v>
      </c>
      <c r="L104" s="54">
        <v>4.0</v>
      </c>
      <c r="M104" s="426"/>
      <c r="N104" s="156"/>
      <c r="O104" s="542"/>
      <c r="P104" s="17"/>
    </row>
    <row r="105">
      <c r="A105" s="11"/>
      <c r="C105" s="580" t="s">
        <v>662</v>
      </c>
      <c r="D105" s="541" t="s">
        <v>490</v>
      </c>
      <c r="E105" s="67"/>
      <c r="F105" s="68"/>
      <c r="G105" s="69">
        <v>3.0</v>
      </c>
      <c r="H105" s="384"/>
      <c r="I105" s="434">
        <v>2.0</v>
      </c>
      <c r="J105" s="55">
        <v>2.0</v>
      </c>
      <c r="K105" s="55">
        <v>1.0</v>
      </c>
      <c r="L105" s="55">
        <v>2.0</v>
      </c>
      <c r="M105" s="428"/>
      <c r="N105" s="156"/>
      <c r="O105" s="499"/>
      <c r="P105" s="17"/>
    </row>
    <row r="106">
      <c r="A106" s="11"/>
      <c r="B106" s="22"/>
      <c r="C106" s="590" t="s">
        <v>663</v>
      </c>
      <c r="D106" s="565" t="s">
        <v>22</v>
      </c>
      <c r="E106" s="201">
        <v>3.0</v>
      </c>
      <c r="F106" s="202">
        <v>3.0</v>
      </c>
      <c r="G106" s="203">
        <v>4.0</v>
      </c>
      <c r="H106" s="384"/>
      <c r="I106" s="434">
        <v>2.0</v>
      </c>
      <c r="J106" s="55">
        <v>1.0</v>
      </c>
      <c r="K106" s="55">
        <v>2.0</v>
      </c>
      <c r="L106" s="55">
        <v>1.0</v>
      </c>
      <c r="M106" s="428"/>
      <c r="N106" s="156"/>
      <c r="O106" s="499"/>
      <c r="P106" s="17"/>
    </row>
    <row r="107">
      <c r="A107" s="11"/>
      <c r="B107" s="166"/>
      <c r="C107" s="580" t="s">
        <v>664</v>
      </c>
      <c r="D107" s="541" t="s">
        <v>77</v>
      </c>
      <c r="E107" s="67">
        <v>3.0</v>
      </c>
      <c r="F107" s="68">
        <v>2.0</v>
      </c>
      <c r="G107" s="69">
        <v>3.0</v>
      </c>
      <c r="H107" s="384"/>
      <c r="I107" s="434">
        <v>4.0</v>
      </c>
      <c r="J107" s="55">
        <v>3.0</v>
      </c>
      <c r="K107" s="55">
        <v>4.0</v>
      </c>
      <c r="L107" s="55">
        <v>3.0</v>
      </c>
      <c r="M107" s="428"/>
      <c r="N107" s="156"/>
      <c r="O107" s="499"/>
      <c r="P107" s="17"/>
    </row>
    <row r="108">
      <c r="A108" s="11"/>
      <c r="C108" s="580" t="s">
        <v>665</v>
      </c>
      <c r="D108" s="541" t="s">
        <v>490</v>
      </c>
      <c r="E108" s="67"/>
      <c r="F108" s="68"/>
      <c r="G108" s="69">
        <v>3.0</v>
      </c>
      <c r="H108" s="384"/>
      <c r="I108" s="434">
        <v>1.0</v>
      </c>
      <c r="J108" s="55">
        <v>2.0</v>
      </c>
      <c r="K108" s="55">
        <v>2.0</v>
      </c>
      <c r="L108" s="55">
        <v>1.0</v>
      </c>
      <c r="M108" s="428"/>
      <c r="N108" s="156"/>
      <c r="O108" s="499"/>
      <c r="P108" s="17"/>
    </row>
    <row r="109">
      <c r="A109" s="11"/>
      <c r="B109" s="22"/>
      <c r="C109" s="591" t="s">
        <v>666</v>
      </c>
      <c r="D109" s="555" t="s">
        <v>39</v>
      </c>
      <c r="E109" s="556">
        <v>4.0</v>
      </c>
      <c r="F109" s="557">
        <v>4.0</v>
      </c>
      <c r="G109" s="558">
        <v>4.0</v>
      </c>
      <c r="H109" s="384"/>
      <c r="I109" s="434">
        <v>3.0</v>
      </c>
      <c r="J109" s="55">
        <v>2.0</v>
      </c>
      <c r="K109" s="55">
        <v>2.0</v>
      </c>
      <c r="L109" s="55">
        <v>4.0</v>
      </c>
      <c r="M109" s="428"/>
      <c r="N109" s="463"/>
      <c r="O109" s="499"/>
      <c r="P109" s="17"/>
    </row>
    <row r="110">
      <c r="A110" s="11"/>
      <c r="B110" s="551"/>
      <c r="C110" s="579" t="s">
        <v>667</v>
      </c>
      <c r="D110" s="541" t="s">
        <v>490</v>
      </c>
      <c r="E110" s="67"/>
      <c r="F110" s="68"/>
      <c r="G110" s="69">
        <v>1.0</v>
      </c>
      <c r="H110" s="384"/>
      <c r="I110" s="434">
        <v>2.0</v>
      </c>
      <c r="J110" s="55">
        <v>1.0</v>
      </c>
      <c r="K110" s="55">
        <v>2.0</v>
      </c>
      <c r="L110" s="55">
        <v>3.0</v>
      </c>
      <c r="M110" s="428"/>
      <c r="N110" s="463"/>
      <c r="O110" s="499"/>
      <c r="P110" s="17"/>
    </row>
    <row r="111">
      <c r="A111" s="11"/>
      <c r="B111" s="22"/>
      <c r="C111" s="587" t="s">
        <v>668</v>
      </c>
      <c r="D111" s="555" t="s">
        <v>71</v>
      </c>
      <c r="E111" s="556"/>
      <c r="F111" s="557"/>
      <c r="G111" s="558">
        <v>2.0</v>
      </c>
      <c r="H111" s="384"/>
      <c r="I111" s="434">
        <v>2.0</v>
      </c>
      <c r="J111" s="55">
        <v>2.0</v>
      </c>
      <c r="K111" s="55">
        <v>2.0</v>
      </c>
      <c r="L111" s="55">
        <v>1.0</v>
      </c>
      <c r="M111" s="428"/>
      <c r="N111" s="156"/>
      <c r="O111" s="499"/>
      <c r="P111" s="17"/>
    </row>
    <row r="112">
      <c r="A112" s="11"/>
      <c r="B112" s="115"/>
      <c r="C112" s="579" t="s">
        <v>669</v>
      </c>
      <c r="D112" s="541" t="s">
        <v>39</v>
      </c>
      <c r="E112" s="67">
        <v>2.0</v>
      </c>
      <c r="F112" s="68">
        <v>3.0</v>
      </c>
      <c r="G112" s="69">
        <v>2.0</v>
      </c>
      <c r="H112" s="384"/>
      <c r="I112" s="434">
        <v>2.0</v>
      </c>
      <c r="J112" s="55">
        <v>2.0</v>
      </c>
      <c r="K112" s="55">
        <v>4.0</v>
      </c>
      <c r="L112" s="55">
        <v>4.0</v>
      </c>
      <c r="M112" s="428"/>
      <c r="N112" s="156"/>
      <c r="O112" s="499"/>
      <c r="P112" s="17"/>
    </row>
    <row r="113">
      <c r="A113" s="11"/>
      <c r="B113" s="22"/>
      <c r="C113" s="588" t="s">
        <v>670</v>
      </c>
      <c r="D113" s="550" t="s">
        <v>22</v>
      </c>
      <c r="E113" s="231">
        <v>5.0</v>
      </c>
      <c r="F113" s="232">
        <v>5.0</v>
      </c>
      <c r="G113" s="208">
        <v>7.0</v>
      </c>
      <c r="H113" s="384"/>
      <c r="I113" s="441">
        <v>4.0</v>
      </c>
      <c r="J113" s="442">
        <v>3.0</v>
      </c>
      <c r="K113" s="442">
        <v>3.0</v>
      </c>
      <c r="L113" s="442">
        <v>2.0</v>
      </c>
      <c r="M113" s="589"/>
      <c r="N113" s="156"/>
      <c r="O113" s="560"/>
      <c r="P113" s="17"/>
    </row>
    <row r="114">
      <c r="A114" s="11"/>
      <c r="B114" s="121"/>
      <c r="C114" s="195" t="s">
        <v>158</v>
      </c>
      <c r="D114" s="125"/>
      <c r="E114" s="125"/>
      <c r="F114" s="125"/>
      <c r="G114" s="125"/>
      <c r="H114" s="127"/>
      <c r="I114" s="127"/>
      <c r="J114" s="128"/>
      <c r="K114" s="128"/>
      <c r="L114" s="128"/>
      <c r="M114" s="128"/>
      <c r="N114" s="130"/>
      <c r="O114" s="128"/>
      <c r="P114" s="17"/>
    </row>
    <row r="115">
      <c r="A115" s="11"/>
      <c r="B115" s="135"/>
      <c r="C115" s="136"/>
      <c r="D115" s="525"/>
      <c r="E115" s="85"/>
      <c r="F115" s="85"/>
      <c r="G115" s="86"/>
      <c r="H115" s="384"/>
      <c r="I115" s="87" t="s">
        <v>1</v>
      </c>
      <c r="J115" s="88" t="s">
        <v>2</v>
      </c>
      <c r="K115" s="140" t="s">
        <v>426</v>
      </c>
      <c r="L115" s="88" t="s">
        <v>208</v>
      </c>
      <c r="M115" s="88" t="s">
        <v>3</v>
      </c>
      <c r="N115" s="88" t="s">
        <v>210</v>
      </c>
      <c r="O115" s="88" t="s">
        <v>427</v>
      </c>
      <c r="P115" s="17"/>
    </row>
    <row r="116">
      <c r="A116" s="11"/>
      <c r="B116" s="540"/>
      <c r="C116" s="580" t="s">
        <v>671</v>
      </c>
      <c r="D116" s="541" t="s">
        <v>406</v>
      </c>
      <c r="E116" s="67"/>
      <c r="F116" s="68"/>
      <c r="G116" s="69">
        <v>0.0</v>
      </c>
      <c r="H116" s="384"/>
      <c r="I116" s="457">
        <v>4.0</v>
      </c>
      <c r="J116" s="56">
        <v>4.0</v>
      </c>
      <c r="K116" s="56">
        <v>4.0</v>
      </c>
      <c r="L116" s="56">
        <v>4.0</v>
      </c>
      <c r="M116" s="426"/>
      <c r="N116" s="428"/>
      <c r="O116" s="571"/>
      <c r="P116" s="17"/>
    </row>
    <row r="117">
      <c r="A117" s="11"/>
      <c r="C117" s="580" t="s">
        <v>672</v>
      </c>
      <c r="D117" s="541" t="s">
        <v>39</v>
      </c>
      <c r="E117" s="67">
        <v>2.0</v>
      </c>
      <c r="F117" s="68">
        <v>3.0</v>
      </c>
      <c r="G117" s="69">
        <v>2.0</v>
      </c>
      <c r="H117" s="384"/>
      <c r="I117" s="434">
        <v>4.0</v>
      </c>
      <c r="J117" s="55">
        <v>4.0</v>
      </c>
      <c r="K117" s="55">
        <v>3.0</v>
      </c>
      <c r="L117" s="55">
        <v>3.0</v>
      </c>
      <c r="M117" s="428"/>
      <c r="N117" s="55"/>
      <c r="O117" s="499"/>
      <c r="P117" s="17"/>
    </row>
    <row r="118">
      <c r="A118" s="11"/>
      <c r="B118" s="544"/>
      <c r="C118" s="591" t="s">
        <v>673</v>
      </c>
      <c r="D118" s="555" t="s">
        <v>623</v>
      </c>
      <c r="E118" s="556"/>
      <c r="F118" s="557"/>
      <c r="G118" s="558">
        <v>3.0</v>
      </c>
      <c r="H118" s="384"/>
      <c r="I118" s="434">
        <v>2.0</v>
      </c>
      <c r="J118" s="55">
        <v>3.0</v>
      </c>
      <c r="K118" s="55">
        <v>3.0</v>
      </c>
      <c r="L118" s="55">
        <v>3.0</v>
      </c>
      <c r="M118" s="428"/>
      <c r="N118" s="55"/>
      <c r="O118" s="499"/>
      <c r="P118" s="17"/>
    </row>
    <row r="119">
      <c r="A119" s="11"/>
      <c r="B119" s="572"/>
      <c r="C119" s="580" t="s">
        <v>674</v>
      </c>
      <c r="D119" s="541" t="s">
        <v>503</v>
      </c>
      <c r="E119" s="67"/>
      <c r="F119" s="68"/>
      <c r="G119" s="69">
        <v>1.0</v>
      </c>
      <c r="H119" s="384"/>
      <c r="I119" s="434">
        <v>1.0</v>
      </c>
      <c r="J119" s="55">
        <v>2.0</v>
      </c>
      <c r="K119" s="55">
        <v>2.0</v>
      </c>
      <c r="L119" s="55">
        <v>2.0</v>
      </c>
      <c r="M119" s="428"/>
      <c r="N119" s="55"/>
      <c r="O119" s="499"/>
      <c r="P119" s="17"/>
    </row>
    <row r="120">
      <c r="A120" s="11"/>
      <c r="C120" s="580" t="s">
        <v>675</v>
      </c>
      <c r="D120" s="541" t="s">
        <v>39</v>
      </c>
      <c r="E120" s="67">
        <v>3.0</v>
      </c>
      <c r="F120" s="68">
        <v>2.0</v>
      </c>
      <c r="G120" s="69">
        <v>3.0</v>
      </c>
      <c r="H120" s="384"/>
      <c r="I120" s="434">
        <v>4.0</v>
      </c>
      <c r="J120" s="55">
        <v>4.0</v>
      </c>
      <c r="K120" s="55">
        <v>4.0</v>
      </c>
      <c r="L120" s="55">
        <v>4.0</v>
      </c>
      <c r="M120" s="428"/>
      <c r="N120" s="55"/>
      <c r="O120" s="499"/>
      <c r="P120" s="17"/>
    </row>
    <row r="121">
      <c r="A121" s="11"/>
      <c r="B121" s="22"/>
      <c r="C121" s="591" t="s">
        <v>676</v>
      </c>
      <c r="D121" s="555" t="s">
        <v>490</v>
      </c>
      <c r="E121" s="556"/>
      <c r="F121" s="557"/>
      <c r="G121" s="558">
        <v>4.0</v>
      </c>
      <c r="H121" s="384"/>
      <c r="I121" s="434">
        <v>1.0</v>
      </c>
      <c r="J121" s="55">
        <v>2.0</v>
      </c>
      <c r="K121" s="55">
        <v>1.0</v>
      </c>
      <c r="L121" s="55">
        <v>1.0</v>
      </c>
      <c r="M121" s="428"/>
      <c r="N121" s="55"/>
      <c r="O121" s="499"/>
      <c r="P121" s="17"/>
    </row>
    <row r="122">
      <c r="A122" s="11"/>
      <c r="B122" s="551"/>
      <c r="C122" s="579" t="s">
        <v>677</v>
      </c>
      <c r="D122" s="541" t="s">
        <v>71</v>
      </c>
      <c r="E122" s="67"/>
      <c r="F122" s="68"/>
      <c r="G122" s="69">
        <v>1.0</v>
      </c>
      <c r="H122" s="384"/>
      <c r="I122" s="434">
        <v>2.0</v>
      </c>
      <c r="J122" s="55">
        <v>3.0</v>
      </c>
      <c r="K122" s="55">
        <v>2.0</v>
      </c>
      <c r="L122" s="55">
        <v>3.0</v>
      </c>
      <c r="M122" s="428"/>
      <c r="N122" s="55"/>
      <c r="O122" s="499"/>
      <c r="P122" s="17"/>
    </row>
    <row r="123">
      <c r="A123" s="11"/>
      <c r="B123" s="22"/>
      <c r="C123" s="587" t="s">
        <v>678</v>
      </c>
      <c r="D123" s="555" t="s">
        <v>637</v>
      </c>
      <c r="E123" s="556"/>
      <c r="F123" s="557"/>
      <c r="G123" s="558">
        <v>9.0</v>
      </c>
      <c r="H123" s="384"/>
      <c r="I123" s="434">
        <v>1.0</v>
      </c>
      <c r="J123" s="55">
        <v>2.0</v>
      </c>
      <c r="K123" s="55">
        <v>2.0</v>
      </c>
      <c r="L123" s="55">
        <v>2.0</v>
      </c>
      <c r="M123" s="428"/>
      <c r="N123" s="55"/>
      <c r="O123" s="499"/>
      <c r="P123" s="17"/>
    </row>
    <row r="124">
      <c r="A124" s="11"/>
      <c r="B124" s="115"/>
      <c r="C124" s="579" t="s">
        <v>679</v>
      </c>
      <c r="D124" s="541" t="s">
        <v>39</v>
      </c>
      <c r="E124" s="67">
        <v>1.0</v>
      </c>
      <c r="F124" s="68">
        <v>1.0</v>
      </c>
      <c r="G124" s="69">
        <v>0.0</v>
      </c>
      <c r="H124" s="384"/>
      <c r="I124" s="434">
        <v>4.0</v>
      </c>
      <c r="J124" s="55">
        <v>4.0</v>
      </c>
      <c r="K124" s="55">
        <v>4.0</v>
      </c>
      <c r="L124" s="55">
        <v>4.0</v>
      </c>
      <c r="M124" s="428"/>
      <c r="N124" s="55"/>
      <c r="O124" s="499"/>
      <c r="P124" s="17"/>
    </row>
    <row r="125">
      <c r="A125" s="11"/>
      <c r="B125" s="22"/>
      <c r="C125" s="588" t="s">
        <v>680</v>
      </c>
      <c r="D125" s="550" t="s">
        <v>22</v>
      </c>
      <c r="E125" s="231">
        <v>8.0</v>
      </c>
      <c r="F125" s="232">
        <v>10.0</v>
      </c>
      <c r="G125" s="208">
        <v>8.0</v>
      </c>
      <c r="H125" s="384"/>
      <c r="I125" s="441">
        <v>1.0</v>
      </c>
      <c r="J125" s="442">
        <v>1.0</v>
      </c>
      <c r="K125" s="442">
        <v>1.0</v>
      </c>
      <c r="L125" s="442">
        <v>1.0</v>
      </c>
      <c r="M125" s="589"/>
      <c r="N125" s="55"/>
      <c r="O125" s="560"/>
      <c r="P125" s="17"/>
    </row>
    <row r="126">
      <c r="A126" s="11"/>
      <c r="B126" s="121"/>
      <c r="C126" s="195" t="s">
        <v>170</v>
      </c>
      <c r="D126" s="125"/>
      <c r="E126" s="125"/>
      <c r="F126" s="125"/>
      <c r="G126" s="125"/>
      <c r="H126" s="127"/>
      <c r="I126" s="127"/>
      <c r="J126" s="128"/>
      <c r="K126" s="128"/>
      <c r="L126" s="128"/>
      <c r="M126" s="128"/>
      <c r="N126" s="130"/>
      <c r="O126" s="128"/>
      <c r="P126" s="17"/>
    </row>
    <row r="127">
      <c r="A127" s="11"/>
      <c r="B127" s="135"/>
      <c r="C127" s="136"/>
      <c r="D127" s="525"/>
      <c r="E127" s="85"/>
      <c r="F127" s="85"/>
      <c r="G127" s="86"/>
      <c r="H127" s="384"/>
      <c r="I127" s="87" t="s">
        <v>1</v>
      </c>
      <c r="J127" s="88" t="s">
        <v>2</v>
      </c>
      <c r="K127" s="140" t="s">
        <v>426</v>
      </c>
      <c r="L127" s="88" t="s">
        <v>208</v>
      </c>
      <c r="M127" s="88" t="s">
        <v>3</v>
      </c>
      <c r="N127" s="88" t="s">
        <v>210</v>
      </c>
      <c r="O127" s="88" t="s">
        <v>427</v>
      </c>
      <c r="P127" s="17"/>
    </row>
    <row r="128">
      <c r="A128" s="11"/>
      <c r="B128" s="540"/>
      <c r="C128" s="580" t="s">
        <v>681</v>
      </c>
      <c r="D128" s="541" t="s">
        <v>39</v>
      </c>
      <c r="E128" s="67">
        <v>2.0</v>
      </c>
      <c r="F128" s="68">
        <v>3.0</v>
      </c>
      <c r="G128" s="69">
        <v>2.0</v>
      </c>
      <c r="H128" s="384"/>
      <c r="I128" s="457">
        <v>3.0</v>
      </c>
      <c r="J128" s="56">
        <v>4.0</v>
      </c>
      <c r="K128" s="56">
        <v>4.0</v>
      </c>
      <c r="L128" s="56">
        <v>4.0</v>
      </c>
      <c r="M128" s="426"/>
      <c r="N128" s="146"/>
      <c r="O128" s="571"/>
      <c r="P128" s="17"/>
    </row>
    <row r="129">
      <c r="A129" s="11"/>
      <c r="C129" s="580" t="s">
        <v>682</v>
      </c>
      <c r="D129" s="541" t="s">
        <v>20</v>
      </c>
      <c r="E129" s="67">
        <v>4.0</v>
      </c>
      <c r="F129" s="68">
        <v>3.0</v>
      </c>
      <c r="G129" s="69">
        <v>3.0</v>
      </c>
      <c r="H129" s="384"/>
      <c r="I129" s="434">
        <v>1.0</v>
      </c>
      <c r="J129" s="55">
        <v>1.0</v>
      </c>
      <c r="K129" s="55">
        <v>2.0</v>
      </c>
      <c r="L129" s="55">
        <v>2.0</v>
      </c>
      <c r="M129" s="428"/>
      <c r="N129" s="156"/>
      <c r="O129" s="499"/>
      <c r="P129" s="17"/>
    </row>
    <row r="130">
      <c r="A130" s="11"/>
      <c r="B130" s="544"/>
      <c r="C130" s="580" t="s">
        <v>683</v>
      </c>
      <c r="D130" s="541" t="s">
        <v>20</v>
      </c>
      <c r="E130" s="67">
        <v>3.0</v>
      </c>
      <c r="F130" s="68">
        <v>4.0</v>
      </c>
      <c r="G130" s="69">
        <v>3.0</v>
      </c>
      <c r="H130" s="384"/>
      <c r="I130" s="434">
        <v>1.0</v>
      </c>
      <c r="J130" s="55">
        <v>1.0</v>
      </c>
      <c r="K130" s="55">
        <v>1.0</v>
      </c>
      <c r="L130" s="55">
        <v>1.0</v>
      </c>
      <c r="M130" s="428"/>
      <c r="N130" s="156"/>
      <c r="O130" s="499"/>
      <c r="P130" s="17"/>
    </row>
    <row r="131">
      <c r="A131" s="11"/>
      <c r="B131" s="572"/>
      <c r="C131" s="580" t="s">
        <v>684</v>
      </c>
      <c r="D131" s="541" t="s">
        <v>176</v>
      </c>
      <c r="E131" s="67"/>
      <c r="F131" s="68"/>
      <c r="G131" s="69">
        <v>2.0</v>
      </c>
      <c r="H131" s="384"/>
      <c r="I131" s="434">
        <v>3.0</v>
      </c>
      <c r="J131" s="55">
        <v>4.0</v>
      </c>
      <c r="K131" s="55">
        <v>3.0</v>
      </c>
      <c r="L131" s="55">
        <v>4.0</v>
      </c>
      <c r="M131" s="428"/>
      <c r="N131" s="156"/>
      <c r="O131" s="499"/>
      <c r="P131" s="17"/>
    </row>
    <row r="132">
      <c r="A132" s="11"/>
      <c r="C132" s="580" t="s">
        <v>685</v>
      </c>
      <c r="D132" s="541" t="s">
        <v>20</v>
      </c>
      <c r="E132" s="67">
        <v>3.0</v>
      </c>
      <c r="F132" s="68">
        <v>2.0</v>
      </c>
      <c r="G132" s="69">
        <v>2.0</v>
      </c>
      <c r="H132" s="384"/>
      <c r="I132" s="434">
        <v>1.0</v>
      </c>
      <c r="J132" s="55">
        <v>1.0</v>
      </c>
      <c r="K132" s="55">
        <v>2.0</v>
      </c>
      <c r="L132" s="55">
        <v>1.0</v>
      </c>
      <c r="M132" s="428"/>
      <c r="N132" s="156"/>
      <c r="O132" s="499"/>
      <c r="P132" s="17"/>
    </row>
    <row r="133">
      <c r="A133" s="11"/>
      <c r="B133" s="22"/>
      <c r="C133" s="591" t="s">
        <v>686</v>
      </c>
      <c r="D133" s="555" t="s">
        <v>623</v>
      </c>
      <c r="E133" s="556"/>
      <c r="F133" s="557"/>
      <c r="G133" s="558">
        <v>3.0</v>
      </c>
      <c r="H133" s="384"/>
      <c r="I133" s="434">
        <v>1.0</v>
      </c>
      <c r="J133" s="55">
        <v>1.0</v>
      </c>
      <c r="K133" s="55">
        <v>2.0</v>
      </c>
      <c r="L133" s="55">
        <v>2.0</v>
      </c>
      <c r="M133" s="428"/>
      <c r="N133" s="156"/>
      <c r="O133" s="499"/>
      <c r="P133" s="17"/>
    </row>
    <row r="134">
      <c r="A134" s="11"/>
      <c r="B134" s="551"/>
      <c r="C134" s="579" t="s">
        <v>687</v>
      </c>
      <c r="D134" s="541" t="s">
        <v>608</v>
      </c>
      <c r="E134" s="67"/>
      <c r="F134" s="68"/>
      <c r="G134" s="69">
        <v>2.0</v>
      </c>
      <c r="H134" s="384"/>
      <c r="I134" s="434">
        <v>3.0</v>
      </c>
      <c r="J134" s="55">
        <v>1.0</v>
      </c>
      <c r="K134" s="55">
        <v>2.0</v>
      </c>
      <c r="L134" s="55">
        <v>2.0</v>
      </c>
      <c r="M134" s="428"/>
      <c r="N134" s="156"/>
      <c r="O134" s="499"/>
      <c r="P134" s="17"/>
    </row>
    <row r="135">
      <c r="A135" s="11"/>
      <c r="B135" s="22"/>
      <c r="C135" s="587" t="s">
        <v>688</v>
      </c>
      <c r="D135" s="555" t="s">
        <v>39</v>
      </c>
      <c r="E135" s="556">
        <v>2.0</v>
      </c>
      <c r="F135" s="557">
        <v>5.0</v>
      </c>
      <c r="G135" s="558">
        <v>4.0</v>
      </c>
      <c r="H135" s="384"/>
      <c r="I135" s="434">
        <v>4.0</v>
      </c>
      <c r="J135" s="55">
        <v>4.0</v>
      </c>
      <c r="K135" s="55">
        <v>5.0</v>
      </c>
      <c r="L135" s="55">
        <v>5.0</v>
      </c>
      <c r="M135" s="428"/>
      <c r="N135" s="156"/>
      <c r="O135" s="499"/>
      <c r="P135" s="17"/>
    </row>
    <row r="136">
      <c r="A136" s="11"/>
      <c r="B136" s="115"/>
      <c r="C136" s="579" t="s">
        <v>689</v>
      </c>
      <c r="D136" s="541" t="s">
        <v>39</v>
      </c>
      <c r="E136" s="67">
        <v>3.0</v>
      </c>
      <c r="F136" s="68">
        <v>5.0</v>
      </c>
      <c r="G136" s="69">
        <v>4.0</v>
      </c>
      <c r="H136" s="384"/>
      <c r="I136" s="434">
        <v>3.0</v>
      </c>
      <c r="J136" s="55">
        <v>4.0</v>
      </c>
      <c r="K136" s="55">
        <v>4.0</v>
      </c>
      <c r="L136" s="55">
        <v>4.0</v>
      </c>
      <c r="M136" s="428"/>
      <c r="N136" s="156"/>
      <c r="O136" s="499"/>
      <c r="P136" s="17"/>
    </row>
    <row r="137">
      <c r="A137" s="11"/>
      <c r="B137" s="22"/>
      <c r="C137" s="588" t="s">
        <v>690</v>
      </c>
      <c r="D137" s="550" t="s">
        <v>20</v>
      </c>
      <c r="E137" s="231">
        <v>5.0</v>
      </c>
      <c r="F137" s="232">
        <v>7.0</v>
      </c>
      <c r="G137" s="208">
        <v>8.0</v>
      </c>
      <c r="H137" s="384"/>
      <c r="I137" s="441">
        <v>1.0</v>
      </c>
      <c r="J137" s="442">
        <v>1.0</v>
      </c>
      <c r="K137" s="442">
        <v>1.0</v>
      </c>
      <c r="L137" s="442">
        <v>1.0</v>
      </c>
      <c r="M137" s="589"/>
      <c r="N137" s="192"/>
      <c r="O137" s="560"/>
      <c r="P137" s="17"/>
    </row>
    <row r="138">
      <c r="A138" s="11"/>
      <c r="B138" s="121"/>
      <c r="C138" s="195" t="s">
        <v>182</v>
      </c>
      <c r="D138" s="125"/>
      <c r="E138" s="125"/>
      <c r="F138" s="125"/>
      <c r="G138" s="125"/>
      <c r="H138" s="127"/>
      <c r="I138" s="127"/>
      <c r="J138" s="128"/>
      <c r="K138" s="128"/>
      <c r="L138" s="128"/>
      <c r="M138" s="128"/>
      <c r="N138" s="130"/>
      <c r="O138" s="128"/>
      <c r="P138" s="17"/>
    </row>
    <row r="139">
      <c r="A139" s="11"/>
      <c r="B139" s="135"/>
      <c r="C139" s="136"/>
      <c r="D139" s="525"/>
      <c r="E139" s="85"/>
      <c r="F139" s="85"/>
      <c r="G139" s="86"/>
      <c r="H139" s="384"/>
      <c r="I139" s="87" t="s">
        <v>1</v>
      </c>
      <c r="J139" s="88" t="s">
        <v>2</v>
      </c>
      <c r="K139" s="140" t="s">
        <v>426</v>
      </c>
      <c r="L139" s="88" t="s">
        <v>208</v>
      </c>
      <c r="M139" s="88" t="s">
        <v>3</v>
      </c>
      <c r="N139" s="88" t="s">
        <v>210</v>
      </c>
      <c r="O139" s="88" t="s">
        <v>427</v>
      </c>
      <c r="P139" s="17"/>
    </row>
    <row r="140">
      <c r="A140" s="11"/>
      <c r="B140" s="540"/>
      <c r="C140" s="580" t="s">
        <v>691</v>
      </c>
      <c r="D140" s="541" t="s">
        <v>20</v>
      </c>
      <c r="E140" s="67">
        <v>2.0</v>
      </c>
      <c r="F140" s="68">
        <v>2.0</v>
      </c>
      <c r="G140" s="69">
        <v>2.0</v>
      </c>
      <c r="H140" s="384"/>
      <c r="I140" s="457">
        <v>4.0</v>
      </c>
      <c r="J140" s="56">
        <v>4.0</v>
      </c>
      <c r="K140" s="56">
        <v>3.0</v>
      </c>
      <c r="L140" s="56">
        <v>3.0</v>
      </c>
      <c r="M140" s="426"/>
      <c r="N140" s="146"/>
      <c r="O140" s="571"/>
      <c r="P140" s="17"/>
    </row>
    <row r="141">
      <c r="A141" s="11"/>
      <c r="C141" s="580" t="s">
        <v>692</v>
      </c>
      <c r="D141" s="541" t="s">
        <v>20</v>
      </c>
      <c r="E141" s="67">
        <v>4.0</v>
      </c>
      <c r="F141" s="68">
        <v>4.0</v>
      </c>
      <c r="G141" s="69">
        <v>4.0</v>
      </c>
      <c r="H141" s="384"/>
      <c r="I141" s="434">
        <v>4.0</v>
      </c>
      <c r="J141" s="55">
        <v>4.0</v>
      </c>
      <c r="K141" s="55">
        <v>4.0</v>
      </c>
      <c r="L141" s="55">
        <v>4.0</v>
      </c>
      <c r="M141" s="428"/>
      <c r="N141" s="156"/>
      <c r="O141" s="499"/>
      <c r="P141" s="17"/>
    </row>
    <row r="142">
      <c r="A142" s="11"/>
      <c r="B142" s="544"/>
      <c r="C142" s="591" t="s">
        <v>693</v>
      </c>
      <c r="D142" s="555" t="s">
        <v>406</v>
      </c>
      <c r="E142" s="556"/>
      <c r="F142" s="557"/>
      <c r="G142" s="558">
        <v>7.0</v>
      </c>
      <c r="H142" s="384"/>
      <c r="I142" s="434">
        <v>1.0</v>
      </c>
      <c r="J142" s="55">
        <v>1.0</v>
      </c>
      <c r="K142" s="55">
        <v>2.0</v>
      </c>
      <c r="L142" s="55">
        <v>2.0</v>
      </c>
      <c r="M142" s="428"/>
      <c r="N142" s="156"/>
      <c r="O142" s="499"/>
      <c r="P142" s="17"/>
    </row>
    <row r="143">
      <c r="A143" s="11"/>
      <c r="B143" s="572"/>
      <c r="C143" s="580" t="s">
        <v>694</v>
      </c>
      <c r="D143" s="541" t="s">
        <v>406</v>
      </c>
      <c r="E143" s="67"/>
      <c r="F143" s="68"/>
      <c r="G143" s="69">
        <v>1.0</v>
      </c>
      <c r="H143" s="384"/>
      <c r="I143" s="434">
        <v>1.0</v>
      </c>
      <c r="J143" s="55">
        <v>2.0</v>
      </c>
      <c r="K143" s="55">
        <v>2.0</v>
      </c>
      <c r="L143" s="55">
        <v>3.0</v>
      </c>
      <c r="M143" s="428"/>
      <c r="N143" s="156"/>
      <c r="O143" s="499"/>
      <c r="P143" s="17"/>
    </row>
    <row r="144">
      <c r="A144" s="11"/>
      <c r="C144" s="580" t="s">
        <v>695</v>
      </c>
      <c r="D144" s="541" t="s">
        <v>20</v>
      </c>
      <c r="E144" s="67">
        <v>4.0</v>
      </c>
      <c r="F144" s="68">
        <v>2.0</v>
      </c>
      <c r="G144" s="69">
        <v>3.0</v>
      </c>
      <c r="H144" s="384"/>
      <c r="I144" s="434">
        <v>4.0</v>
      </c>
      <c r="J144" s="55">
        <v>4.0</v>
      </c>
      <c r="K144" s="55">
        <v>4.0</v>
      </c>
      <c r="L144" s="55">
        <v>4.0</v>
      </c>
      <c r="M144" s="428"/>
      <c r="N144" s="156"/>
      <c r="O144" s="499"/>
      <c r="P144" s="17"/>
    </row>
    <row r="145">
      <c r="A145" s="11"/>
      <c r="B145" s="22"/>
      <c r="C145" s="591" t="s">
        <v>696</v>
      </c>
      <c r="D145" s="555" t="s">
        <v>22</v>
      </c>
      <c r="E145" s="556">
        <v>2.0</v>
      </c>
      <c r="F145" s="557">
        <v>5.0</v>
      </c>
      <c r="G145" s="558">
        <v>3.0</v>
      </c>
      <c r="H145" s="384"/>
      <c r="I145" s="434">
        <v>2.0</v>
      </c>
      <c r="J145" s="55">
        <v>2.0</v>
      </c>
      <c r="K145" s="55">
        <v>2.0</v>
      </c>
      <c r="L145" s="55">
        <v>2.0</v>
      </c>
      <c r="M145" s="428"/>
      <c r="N145" s="156"/>
      <c r="O145" s="499"/>
      <c r="P145" s="17"/>
    </row>
    <row r="146">
      <c r="A146" s="11"/>
      <c r="B146" s="551"/>
      <c r="C146" s="579" t="s">
        <v>697</v>
      </c>
      <c r="D146" s="541" t="s">
        <v>623</v>
      </c>
      <c r="E146" s="67"/>
      <c r="F146" s="68"/>
      <c r="G146" s="69">
        <v>2.0</v>
      </c>
      <c r="H146" s="384"/>
      <c r="I146" s="434">
        <v>4.0</v>
      </c>
      <c r="J146" s="55">
        <v>5.0</v>
      </c>
      <c r="K146" s="55">
        <v>5.0</v>
      </c>
      <c r="L146" s="55">
        <v>5.0</v>
      </c>
      <c r="M146" s="428"/>
      <c r="N146" s="156"/>
      <c r="O146" s="499"/>
      <c r="P146" s="17"/>
    </row>
    <row r="147">
      <c r="A147" s="11"/>
      <c r="B147" s="22"/>
      <c r="C147" s="587" t="s">
        <v>698</v>
      </c>
      <c r="D147" s="555" t="s">
        <v>406</v>
      </c>
      <c r="E147" s="556"/>
      <c r="F147" s="557"/>
      <c r="G147" s="558">
        <v>10.0</v>
      </c>
      <c r="H147" s="384"/>
      <c r="I147" s="434">
        <v>1.0</v>
      </c>
      <c r="J147" s="55">
        <v>3.0</v>
      </c>
      <c r="K147" s="55">
        <v>2.0</v>
      </c>
      <c r="L147" s="55">
        <v>2.0</v>
      </c>
      <c r="M147" s="428"/>
      <c r="N147" s="156"/>
      <c r="O147" s="499"/>
      <c r="P147" s="17"/>
    </row>
    <row r="148">
      <c r="A148" s="11"/>
      <c r="B148" s="115"/>
      <c r="C148" s="579" t="s">
        <v>699</v>
      </c>
      <c r="D148" s="541"/>
      <c r="E148" s="67">
        <v>2.0</v>
      </c>
      <c r="F148" s="68">
        <v>3.0</v>
      </c>
      <c r="G148" s="69">
        <v>2.0</v>
      </c>
      <c r="H148" s="384"/>
      <c r="I148" s="434">
        <v>1.0</v>
      </c>
      <c r="J148" s="55">
        <v>2.0</v>
      </c>
      <c r="K148" s="55">
        <v>1.0</v>
      </c>
      <c r="L148" s="55">
        <v>1.0</v>
      </c>
      <c r="M148" s="428"/>
      <c r="N148" s="156"/>
      <c r="O148" s="499"/>
      <c r="P148" s="17"/>
    </row>
    <row r="149">
      <c r="A149" s="11"/>
      <c r="B149" s="22"/>
      <c r="C149" s="588" t="s">
        <v>700</v>
      </c>
      <c r="D149" s="550" t="s">
        <v>20</v>
      </c>
      <c r="E149" s="231">
        <v>4.0</v>
      </c>
      <c r="F149" s="232">
        <v>5.0</v>
      </c>
      <c r="G149" s="208">
        <v>7.0</v>
      </c>
      <c r="H149" s="384"/>
      <c r="I149" s="441">
        <v>3.0</v>
      </c>
      <c r="J149" s="442">
        <v>3.0</v>
      </c>
      <c r="K149" s="442">
        <v>3.0</v>
      </c>
      <c r="L149" s="442">
        <v>3.0</v>
      </c>
      <c r="M149" s="589"/>
      <c r="N149" s="192"/>
      <c r="O149" s="560"/>
      <c r="P149" s="17"/>
    </row>
    <row r="150">
      <c r="A150" s="11"/>
      <c r="B150" s="121"/>
      <c r="C150" s="195" t="s">
        <v>193</v>
      </c>
      <c r="D150" s="125"/>
      <c r="E150" s="125"/>
      <c r="F150" s="125"/>
      <c r="G150" s="125"/>
      <c r="H150" s="127"/>
      <c r="I150" s="127"/>
      <c r="J150" s="128"/>
      <c r="K150" s="128"/>
      <c r="L150" s="128"/>
      <c r="M150" s="128"/>
      <c r="N150" s="130"/>
      <c r="O150" s="128"/>
      <c r="P150" s="17"/>
    </row>
    <row r="151">
      <c r="A151" s="11"/>
      <c r="B151" s="524"/>
      <c r="C151" s="136"/>
      <c r="D151" s="525"/>
      <c r="E151" s="85"/>
      <c r="F151" s="85"/>
      <c r="G151" s="86"/>
      <c r="H151" s="384"/>
      <c r="I151" s="87" t="s">
        <v>1</v>
      </c>
      <c r="J151" s="88" t="s">
        <v>2</v>
      </c>
      <c r="K151" s="140" t="s">
        <v>426</v>
      </c>
      <c r="L151" s="88" t="s">
        <v>208</v>
      </c>
      <c r="M151" s="88" t="s">
        <v>3</v>
      </c>
      <c r="N151" s="88" t="s">
        <v>210</v>
      </c>
      <c r="O151" s="88" t="s">
        <v>427</v>
      </c>
      <c r="P151" s="17"/>
    </row>
    <row r="152">
      <c r="A152" s="11"/>
      <c r="B152" s="575"/>
      <c r="C152" s="580" t="s">
        <v>701</v>
      </c>
      <c r="D152" s="541" t="s">
        <v>503</v>
      </c>
      <c r="E152" s="67"/>
      <c r="F152" s="68"/>
      <c r="G152" s="69">
        <v>4.0</v>
      </c>
      <c r="H152" s="384"/>
      <c r="I152" s="457">
        <v>2.0</v>
      </c>
      <c r="J152" s="56">
        <v>3.0</v>
      </c>
      <c r="K152" s="56">
        <v>1.0</v>
      </c>
      <c r="L152" s="56">
        <v>1.0</v>
      </c>
      <c r="M152" s="426"/>
      <c r="N152" s="146"/>
      <c r="O152" s="571"/>
      <c r="P152" s="17"/>
    </row>
    <row r="153">
      <c r="A153" s="11"/>
      <c r="C153" s="580" t="s">
        <v>702</v>
      </c>
      <c r="D153" s="541" t="s">
        <v>22</v>
      </c>
      <c r="E153" s="67">
        <v>4.0</v>
      </c>
      <c r="F153" s="68">
        <v>3.0</v>
      </c>
      <c r="G153" s="69">
        <v>4.0</v>
      </c>
      <c r="H153" s="384"/>
      <c r="I153" s="434">
        <v>3.0</v>
      </c>
      <c r="J153" s="55">
        <v>2.0</v>
      </c>
      <c r="K153" s="55">
        <v>2.0</v>
      </c>
      <c r="L153" s="55">
        <v>2.0</v>
      </c>
      <c r="M153" s="428"/>
      <c r="N153" s="156"/>
      <c r="O153" s="499"/>
      <c r="P153" s="17"/>
    </row>
    <row r="154">
      <c r="A154" s="11"/>
      <c r="C154" s="580" t="s">
        <v>703</v>
      </c>
      <c r="D154" s="541" t="s">
        <v>77</v>
      </c>
      <c r="E154" s="67">
        <v>5.0</v>
      </c>
      <c r="F154" s="68">
        <v>2.0</v>
      </c>
      <c r="G154" s="69">
        <v>5.0</v>
      </c>
      <c r="H154" s="384"/>
      <c r="I154" s="434">
        <v>2.0</v>
      </c>
      <c r="J154" s="55">
        <v>1.0</v>
      </c>
      <c r="K154" s="55">
        <v>1.0</v>
      </c>
      <c r="L154" s="55">
        <v>1.0</v>
      </c>
      <c r="M154" s="55"/>
      <c r="N154" s="156"/>
      <c r="O154" s="499"/>
      <c r="P154" s="17"/>
    </row>
    <row r="155">
      <c r="A155" s="11"/>
      <c r="B155" s="283"/>
      <c r="C155" s="579" t="s">
        <v>704</v>
      </c>
      <c r="D155" s="541" t="s">
        <v>705</v>
      </c>
      <c r="E155" s="67"/>
      <c r="F155" s="68"/>
      <c r="G155" s="69">
        <v>1.0</v>
      </c>
      <c r="H155" s="384"/>
      <c r="I155" s="434">
        <v>3.0</v>
      </c>
      <c r="J155" s="55">
        <v>4.0</v>
      </c>
      <c r="K155" s="55">
        <v>3.0</v>
      </c>
      <c r="L155" s="55">
        <v>3.0</v>
      </c>
      <c r="M155" s="55"/>
      <c r="N155" s="156"/>
      <c r="O155" s="499"/>
      <c r="P155" s="17"/>
    </row>
    <row r="156">
      <c r="A156" s="11"/>
      <c r="C156" s="580" t="s">
        <v>706</v>
      </c>
      <c r="D156" s="541" t="s">
        <v>705</v>
      </c>
      <c r="E156" s="67"/>
      <c r="F156" s="68"/>
      <c r="G156" s="69">
        <v>3.0</v>
      </c>
      <c r="H156" s="384"/>
      <c r="I156" s="434">
        <v>2.0</v>
      </c>
      <c r="J156" s="55">
        <v>3.0</v>
      </c>
      <c r="K156" s="55">
        <v>2.0</v>
      </c>
      <c r="L156" s="55">
        <v>3.0</v>
      </c>
      <c r="M156" s="55"/>
      <c r="N156" s="156"/>
      <c r="O156" s="499"/>
      <c r="P156" s="17"/>
    </row>
    <row r="157">
      <c r="A157" s="11"/>
      <c r="C157" s="591" t="s">
        <v>707</v>
      </c>
      <c r="D157" s="555"/>
      <c r="E157" s="556">
        <v>5.0</v>
      </c>
      <c r="F157" s="557">
        <v>3.0</v>
      </c>
      <c r="G157" s="558">
        <v>4.0</v>
      </c>
      <c r="H157" s="384"/>
      <c r="I157" s="434">
        <v>1.0</v>
      </c>
      <c r="J157" s="55">
        <v>1.0</v>
      </c>
      <c r="K157" s="55">
        <v>1.0</v>
      </c>
      <c r="L157" s="55">
        <v>1.0</v>
      </c>
      <c r="M157" s="55"/>
      <c r="N157" s="156"/>
      <c r="O157" s="499"/>
      <c r="P157" s="17"/>
    </row>
    <row r="158">
      <c r="A158" s="11"/>
      <c r="B158" s="551"/>
      <c r="C158" s="579" t="s">
        <v>708</v>
      </c>
      <c r="D158" s="541" t="s">
        <v>39</v>
      </c>
      <c r="E158" s="67">
        <v>2.0</v>
      </c>
      <c r="F158" s="68">
        <v>2.0</v>
      </c>
      <c r="G158" s="69">
        <v>2.0</v>
      </c>
      <c r="H158" s="384"/>
      <c r="I158" s="434">
        <v>3.0</v>
      </c>
      <c r="J158" s="55">
        <v>3.0</v>
      </c>
      <c r="K158" s="55">
        <v>3.0</v>
      </c>
      <c r="L158" s="55">
        <v>3.0</v>
      </c>
      <c r="M158" s="55"/>
      <c r="N158" s="156"/>
      <c r="O158" s="499"/>
      <c r="P158" s="17"/>
    </row>
    <row r="159">
      <c r="A159" s="11"/>
      <c r="B159" s="22"/>
      <c r="C159" s="579" t="s">
        <v>709</v>
      </c>
      <c r="D159" s="541" t="s">
        <v>39</v>
      </c>
      <c r="E159" s="67">
        <v>2.0</v>
      </c>
      <c r="F159" s="68">
        <v>6.0</v>
      </c>
      <c r="G159" s="69">
        <v>6.0</v>
      </c>
      <c r="H159" s="384"/>
      <c r="I159" s="434">
        <v>1.0</v>
      </c>
      <c r="J159" s="55">
        <v>1.0</v>
      </c>
      <c r="K159" s="55">
        <v>2.0</v>
      </c>
      <c r="L159" s="55">
        <v>1.0</v>
      </c>
      <c r="M159" s="55"/>
      <c r="N159" s="156"/>
      <c r="O159" s="499"/>
      <c r="P159" s="17"/>
    </row>
    <row r="160">
      <c r="A160" s="11"/>
      <c r="B160" s="115"/>
      <c r="C160" s="579" t="s">
        <v>710</v>
      </c>
      <c r="D160" s="541" t="s">
        <v>39</v>
      </c>
      <c r="E160" s="67">
        <v>2.0</v>
      </c>
      <c r="F160" s="68">
        <v>4.0</v>
      </c>
      <c r="G160" s="69">
        <v>3.0</v>
      </c>
      <c r="H160" s="384"/>
      <c r="I160" s="434">
        <v>1.0</v>
      </c>
      <c r="J160" s="55">
        <v>1.0</v>
      </c>
      <c r="K160" s="55">
        <v>3.0</v>
      </c>
      <c r="L160" s="55">
        <v>4.0</v>
      </c>
      <c r="M160" s="55"/>
      <c r="N160" s="156"/>
      <c r="O160" s="499"/>
      <c r="P160" s="17"/>
    </row>
    <row r="161">
      <c r="A161" s="11"/>
      <c r="B161" s="22"/>
      <c r="C161" s="587" t="s">
        <v>711</v>
      </c>
      <c r="D161" s="555" t="s">
        <v>97</v>
      </c>
      <c r="E161" s="556">
        <v>3.0</v>
      </c>
      <c r="F161" s="557">
        <v>6.0</v>
      </c>
      <c r="G161" s="558">
        <v>7.0</v>
      </c>
      <c r="H161" s="384"/>
      <c r="I161" s="521">
        <v>2.0</v>
      </c>
      <c r="J161" s="76">
        <v>3.0</v>
      </c>
      <c r="K161" s="76">
        <v>2.0</v>
      </c>
      <c r="L161" s="76">
        <v>1.0</v>
      </c>
      <c r="M161" s="593"/>
      <c r="N161" s="192"/>
      <c r="O161" s="523"/>
      <c r="P161" s="17"/>
    </row>
    <row r="162">
      <c r="A162" s="11"/>
      <c r="B162" s="332"/>
      <c r="C162" s="333"/>
      <c r="D162" s="333"/>
      <c r="E162" s="333"/>
      <c r="F162" s="333"/>
      <c r="G162" s="333"/>
      <c r="H162" s="291"/>
      <c r="I162" s="295"/>
      <c r="J162" s="295"/>
      <c r="K162" s="295"/>
      <c r="L162" s="295"/>
      <c r="M162" s="295"/>
      <c r="N162" s="295"/>
      <c r="O162" s="296"/>
      <c r="P162" s="17"/>
    </row>
    <row r="163">
      <c r="A163" s="11"/>
      <c r="B163" s="300"/>
      <c r="C163" s="301"/>
      <c r="D163" s="344"/>
      <c r="F163" s="17"/>
      <c r="G163" s="304"/>
      <c r="H163" s="476"/>
      <c r="I163" s="87" t="s">
        <v>1</v>
      </c>
      <c r="J163" s="88" t="s">
        <v>2</v>
      </c>
      <c r="K163" s="140" t="s">
        <v>426</v>
      </c>
      <c r="L163" s="88" t="s">
        <v>208</v>
      </c>
      <c r="M163" s="88" t="s">
        <v>3</v>
      </c>
      <c r="N163" s="88" t="s">
        <v>210</v>
      </c>
      <c r="O163" s="88" t="s">
        <v>427</v>
      </c>
      <c r="P163" s="17"/>
    </row>
    <row r="164">
      <c r="A164" s="11"/>
      <c r="B164" s="307"/>
      <c r="C164" s="307"/>
      <c r="F164" s="17"/>
      <c r="G164" s="309"/>
      <c r="H164" s="316" t="s">
        <v>204</v>
      </c>
      <c r="I164" s="311">
        <f t="shared" ref="I164:K164" si="1">IFERROR(AVERAGE(I6:I25,I27:I41,I44:I53,I56:I65,I68:I77,I80:I89,I92:I101,I104:I113,I116:I125,I128:I137,I140:I149,I152:I161),"")</f>
        <v>2.385185185</v>
      </c>
      <c r="J164" s="311">
        <f t="shared" si="1"/>
        <v>2.466666667</v>
      </c>
      <c r="K164" s="311">
        <f t="shared" si="1"/>
        <v>2.414814815</v>
      </c>
      <c r="L164" s="311">
        <f>IFERROR(AVERAGE(L6:L25,L27:L41,L44:L52,L56:L65,L68:L77,L80:L89,L92:L101,L104:L113,L116:L125,L128:L137,L140:L149,L152:L161),"")</f>
        <v>2.417910448</v>
      </c>
      <c r="M164" s="311" t="str">
        <f t="shared" ref="M164:O164" si="2">IFERROR(AVERAGE(M6:M25,M27:M41,M44:M53,M56:M65,M68:M77,M80:M89,M92:M101,M104:M113,M116:M125,M128:M137,M140:M149,M152:M161),"")</f>
        <v/>
      </c>
      <c r="N164" s="311" t="str">
        <f t="shared" si="2"/>
        <v/>
      </c>
      <c r="O164" s="311" t="str">
        <f t="shared" si="2"/>
        <v/>
      </c>
      <c r="P164" s="17"/>
    </row>
    <row r="165">
      <c r="A165" s="11"/>
      <c r="B165" s="313"/>
      <c r="C165" s="313"/>
      <c r="F165" s="17"/>
      <c r="G165" s="314"/>
      <c r="H165" s="316" t="s">
        <v>205</v>
      </c>
      <c r="I165" s="311">
        <f t="shared" ref="I165:M165" si="3">IFERROR(STDEV(I6:I25,I27:I41,I44:I53,I56:I65,I68:I77,I80:I89,I92:I101,I104:I113,I116:I125,I128:I137,I140:I149,I152:I161),"")</f>
        <v>1.152448304</v>
      </c>
      <c r="J165" s="311">
        <f t="shared" si="3"/>
        <v>1.201988402</v>
      </c>
      <c r="K165" s="311">
        <f t="shared" si="3"/>
        <v>1.081632163</v>
      </c>
      <c r="L165" s="311">
        <f t="shared" si="3"/>
        <v>1.200377681</v>
      </c>
      <c r="M165" s="311" t="str">
        <f t="shared" si="3"/>
        <v/>
      </c>
      <c r="N165" s="318"/>
      <c r="O165" s="319"/>
      <c r="P165" s="17"/>
    </row>
    <row r="166">
      <c r="A166" s="11"/>
      <c r="B166" s="300"/>
      <c r="C166" s="301"/>
      <c r="F166" s="17"/>
      <c r="G166" s="316" t="s">
        <v>206</v>
      </c>
      <c r="H166" s="318"/>
      <c r="N166" s="318"/>
      <c r="O166" s="319"/>
      <c r="P166" s="17"/>
    </row>
    <row r="167">
      <c r="A167" s="11"/>
      <c r="B167" s="322"/>
      <c r="C167" s="323"/>
      <c r="F167" s="17"/>
      <c r="G167" s="316">
        <v>1.0</v>
      </c>
      <c r="H167" s="475"/>
      <c r="I167" s="316">
        <f t="shared" ref="I167:O167" si="4">COUNTIF(I6:I161,$G$167)</f>
        <v>42</v>
      </c>
      <c r="J167" s="316">
        <f t="shared" si="4"/>
        <v>40</v>
      </c>
      <c r="K167" s="316">
        <f t="shared" si="4"/>
        <v>29</v>
      </c>
      <c r="L167" s="316">
        <f t="shared" si="4"/>
        <v>41</v>
      </c>
      <c r="M167" s="316">
        <f t="shared" si="4"/>
        <v>0</v>
      </c>
      <c r="N167" s="316">
        <f t="shared" si="4"/>
        <v>0</v>
      </c>
      <c r="O167" s="316">
        <f t="shared" si="4"/>
        <v>0</v>
      </c>
      <c r="P167" s="17"/>
    </row>
    <row r="168">
      <c r="A168" s="11"/>
      <c r="B168" s="328"/>
      <c r="C168" s="323"/>
      <c r="F168" s="17"/>
      <c r="G168" s="316">
        <v>2.0</v>
      </c>
      <c r="H168" s="475"/>
      <c r="I168" s="316">
        <f t="shared" ref="I168:O168" si="5">COUNTIF(I28:I162,$G$168)</f>
        <v>24</v>
      </c>
      <c r="J168" s="316">
        <f t="shared" si="5"/>
        <v>25</v>
      </c>
      <c r="K168" s="316">
        <f t="shared" si="5"/>
        <v>46</v>
      </c>
      <c r="L168" s="316">
        <f t="shared" si="5"/>
        <v>27</v>
      </c>
      <c r="M168" s="316">
        <f t="shared" si="5"/>
        <v>0</v>
      </c>
      <c r="N168" s="316">
        <f t="shared" si="5"/>
        <v>0</v>
      </c>
      <c r="O168" s="316">
        <f t="shared" si="5"/>
        <v>0</v>
      </c>
      <c r="P168" s="17"/>
    </row>
    <row r="169">
      <c r="A169" s="11"/>
      <c r="B169" s="328"/>
      <c r="C169" s="323"/>
      <c r="F169" s="17"/>
      <c r="G169" s="329">
        <v>3.0</v>
      </c>
      <c r="H169" s="478"/>
      <c r="I169" s="329">
        <f t="shared" ref="I169:O169" si="6">COUNTIF(I6:I163,$G$169)</f>
        <v>35</v>
      </c>
      <c r="J169" s="329">
        <f t="shared" si="6"/>
        <v>29</v>
      </c>
      <c r="K169" s="329">
        <f t="shared" si="6"/>
        <v>28</v>
      </c>
      <c r="L169" s="329">
        <f t="shared" si="6"/>
        <v>30</v>
      </c>
      <c r="M169" s="329">
        <f t="shared" si="6"/>
        <v>0</v>
      </c>
      <c r="N169" s="329">
        <f t="shared" si="6"/>
        <v>0</v>
      </c>
      <c r="O169" s="329">
        <f t="shared" si="6"/>
        <v>0</v>
      </c>
      <c r="P169" s="17"/>
    </row>
    <row r="170">
      <c r="A170" s="11"/>
      <c r="B170" s="328"/>
      <c r="C170" s="323"/>
      <c r="F170" s="17"/>
      <c r="G170" s="316">
        <v>4.0</v>
      </c>
      <c r="H170" s="475"/>
      <c r="I170" s="316">
        <f t="shared" ref="I170:O170" si="7">COUNTIF(I7:I164,$G$170)</f>
        <v>28</v>
      </c>
      <c r="J170" s="316">
        <f t="shared" si="7"/>
        <v>33</v>
      </c>
      <c r="K170" s="316">
        <f t="shared" si="7"/>
        <v>24</v>
      </c>
      <c r="L170" s="316">
        <f t="shared" si="7"/>
        <v>30</v>
      </c>
      <c r="M170" s="316">
        <f t="shared" si="7"/>
        <v>0</v>
      </c>
      <c r="N170" s="316">
        <f t="shared" si="7"/>
        <v>0</v>
      </c>
      <c r="O170" s="316">
        <f t="shared" si="7"/>
        <v>0</v>
      </c>
      <c r="P170" s="17"/>
    </row>
    <row r="171">
      <c r="A171" s="11"/>
      <c r="B171" s="328"/>
      <c r="C171" s="323"/>
      <c r="F171" s="17"/>
      <c r="G171" s="329">
        <v>5.0</v>
      </c>
      <c r="H171" s="478"/>
      <c r="I171" s="329">
        <f t="shared" ref="I171:K171" si="8">COUNTIF(I8:I165,$G$171)</f>
        <v>1</v>
      </c>
      <c r="J171" s="329">
        <f t="shared" si="8"/>
        <v>2</v>
      </c>
      <c r="K171" s="329">
        <f t="shared" si="8"/>
        <v>3</v>
      </c>
      <c r="L171" s="329">
        <f>COUNTIF(L11:L165,$G$171)</f>
        <v>3</v>
      </c>
      <c r="M171" s="329">
        <f t="shared" ref="M171:O171" si="9">COUNTIF(M8:M165,$G$171)</f>
        <v>0</v>
      </c>
      <c r="N171" s="329">
        <f t="shared" si="9"/>
        <v>0</v>
      </c>
      <c r="O171" s="329">
        <f t="shared" si="9"/>
        <v>0</v>
      </c>
      <c r="P171" s="17"/>
    </row>
    <row r="172">
      <c r="A172" s="286"/>
      <c r="B172" s="332"/>
      <c r="C172" s="333"/>
      <c r="D172" s="334"/>
      <c r="E172" s="334"/>
      <c r="F172" s="287"/>
      <c r="G172" s="291"/>
      <c r="H172" s="291"/>
      <c r="I172" s="291"/>
      <c r="J172" s="291"/>
      <c r="K172" s="291"/>
      <c r="L172" s="291"/>
      <c r="M172" s="291"/>
      <c r="N172" s="291"/>
      <c r="O172" s="291"/>
      <c r="P172" s="287"/>
    </row>
  </sheetData>
  <mergeCells count="53">
    <mergeCell ref="B2:H3"/>
    <mergeCell ref="C4:H4"/>
    <mergeCell ref="D163:F172"/>
    <mergeCell ref="H166:M166"/>
    <mergeCell ref="A1:A172"/>
    <mergeCell ref="I1:I3"/>
    <mergeCell ref="J1:J3"/>
    <mergeCell ref="K1:K3"/>
    <mergeCell ref="L1:L3"/>
    <mergeCell ref="M1:M3"/>
    <mergeCell ref="N1:N3"/>
    <mergeCell ref="B80:B82"/>
    <mergeCell ref="B83:B85"/>
    <mergeCell ref="B86:B87"/>
    <mergeCell ref="B88:B89"/>
    <mergeCell ref="B92:B94"/>
    <mergeCell ref="B95:B97"/>
    <mergeCell ref="B98:B99"/>
    <mergeCell ref="B100:B101"/>
    <mergeCell ref="B104:B106"/>
    <mergeCell ref="B107:B109"/>
    <mergeCell ref="B110:B111"/>
    <mergeCell ref="B112:B113"/>
    <mergeCell ref="B116:B118"/>
    <mergeCell ref="B119:B121"/>
    <mergeCell ref="B158:B159"/>
    <mergeCell ref="B160:B161"/>
    <mergeCell ref="B136:B137"/>
    <mergeCell ref="B140:B142"/>
    <mergeCell ref="B143:B145"/>
    <mergeCell ref="B146:B147"/>
    <mergeCell ref="B148:B149"/>
    <mergeCell ref="B152:B154"/>
    <mergeCell ref="B155:B157"/>
    <mergeCell ref="O1:O3"/>
    <mergeCell ref="P1:P172"/>
    <mergeCell ref="B44:B46"/>
    <mergeCell ref="B47:B49"/>
    <mergeCell ref="B50:B51"/>
    <mergeCell ref="B52:B53"/>
    <mergeCell ref="B56:B58"/>
    <mergeCell ref="B59:B61"/>
    <mergeCell ref="B62:B63"/>
    <mergeCell ref="B64:B65"/>
    <mergeCell ref="B68:B70"/>
    <mergeCell ref="B71:B73"/>
    <mergeCell ref="B74:B75"/>
    <mergeCell ref="B76:B77"/>
    <mergeCell ref="B122:B123"/>
    <mergeCell ref="B124:B125"/>
    <mergeCell ref="B128:B130"/>
    <mergeCell ref="B131:B133"/>
    <mergeCell ref="B134:B135"/>
  </mergeCells>
  <conditionalFormatting sqref="I6:O25 I27:O41 I44:O53 I56:O65 I68:O77 I80:O89 I92:O101 I104:O113 I116:O125 I128:O137 I140:O149 I152:O161">
    <cfRule type="cellIs" dxfId="0" priority="1" operator="equal">
      <formula>1</formula>
    </cfRule>
  </conditionalFormatting>
  <conditionalFormatting sqref="I6:O25 I27:O41 I44:O53 I56:O65 I68:O77 I80:O89 I92:O101 I104:O113 I116:O125 I128:O137 I140:O149 I152:O161">
    <cfRule type="cellIs" dxfId="1" priority="2" operator="equal">
      <formula>2</formula>
    </cfRule>
  </conditionalFormatting>
  <conditionalFormatting sqref="I6:O25 I27:O41 I44:O53 I56:O65 I68:O77 I80:O89 I92:O101 I104:O113 I116:O125 I128:O137 I140:O149 I152:O161">
    <cfRule type="cellIs" dxfId="2" priority="3" operator="equal">
      <formula>5</formula>
    </cfRule>
  </conditionalFormatting>
  <conditionalFormatting sqref="I6:O25 I27:O41 I44:O53 I56:O65 I68:O77 I80:O89 I92:O101 I104:O113 I116:O125 I128:O137 I140:O149 I152:O161">
    <cfRule type="cellIs" dxfId="3" priority="4" operator="equal">
      <formula>3</formula>
    </cfRule>
  </conditionalFormatting>
  <conditionalFormatting sqref="I6:O25 I27:O41 I44:O53 I56:O65 I68:O77 I80:O89 I92:O101 I104:O113 I116:O125 I128:O137 I140:O149 I152:O161">
    <cfRule type="cellIs" dxfId="4" priority="5" operator="equal">
      <formula>4</formula>
    </cfRule>
  </conditionalFormatting>
  <conditionalFormatting sqref="A1:A9 P1 C2:H2 A27:A28 A32 A37 A162 P162:P172 A165:A172">
    <cfRule type="notContainsBlanks" dxfId="5" priority="6">
      <formula>LEN(TRIM(A1))&gt;0</formula>
    </cfRule>
  </conditionalFormatting>
  <conditionalFormatting sqref="N156 N159">
    <cfRule type="notContainsBlanks" dxfId="5" priority="7">
      <formula>LEN(TRIM(N156))&gt;0</formula>
    </cfRule>
  </conditionalFormatting>
  <hyperlinks>
    <hyperlink r:id="rId1" ref="C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38"/>
    <col customWidth="1" min="2" max="2" width="2.63"/>
    <col customWidth="1" min="3" max="3" width="29.88"/>
    <col customWidth="1" min="4" max="4" width="16.88"/>
    <col customWidth="1" min="8" max="8" width="18.13"/>
    <col customWidth="1" hidden="1" min="9" max="9" width="21.0"/>
    <col customWidth="1" min="10" max="10" width="18.25"/>
    <col customWidth="1" min="11" max="11" width="12.13"/>
    <col customWidth="1" hidden="1" min="12" max="12" width="17.38"/>
    <col customWidth="1" min="13" max="13" width="28.38"/>
    <col customWidth="1" min="14" max="14" width="19.0"/>
    <col customWidth="1" min="15" max="17" width="12.63"/>
  </cols>
  <sheetData>
    <row r="1">
      <c r="A1" s="479"/>
      <c r="B1" s="300"/>
      <c r="C1" s="594" t="s">
        <v>712</v>
      </c>
      <c r="D1" s="595"/>
      <c r="E1" s="596"/>
      <c r="F1" s="597"/>
      <c r="G1" s="598"/>
      <c r="H1" s="599"/>
      <c r="I1" s="600" t="s">
        <v>427</v>
      </c>
      <c r="J1" s="601" t="s">
        <v>208</v>
      </c>
      <c r="K1" s="601" t="s">
        <v>426</v>
      </c>
      <c r="L1" s="601" t="s">
        <v>2</v>
      </c>
      <c r="M1" s="601" t="s">
        <v>1</v>
      </c>
      <c r="N1" s="600" t="s">
        <v>4</v>
      </c>
      <c r="O1" s="602"/>
      <c r="P1" s="600" t="s">
        <v>210</v>
      </c>
      <c r="Q1" s="479"/>
    </row>
    <row r="2">
      <c r="A2" s="11"/>
      <c r="B2" s="603"/>
      <c r="C2" s="348"/>
      <c r="D2" s="348"/>
      <c r="E2" s="348"/>
      <c r="F2" s="348"/>
      <c r="G2" s="348"/>
      <c r="H2" s="349"/>
      <c r="I2" s="11"/>
      <c r="J2" s="11"/>
      <c r="K2" s="11"/>
      <c r="L2" s="11"/>
      <c r="M2" s="11"/>
      <c r="N2" s="11"/>
      <c r="O2" s="602" t="s">
        <v>3</v>
      </c>
      <c r="P2" s="11"/>
      <c r="Q2" s="11"/>
    </row>
    <row r="3">
      <c r="A3" s="11"/>
      <c r="B3" s="604"/>
      <c r="C3" s="334"/>
      <c r="D3" s="334"/>
      <c r="E3" s="334"/>
      <c r="F3" s="334"/>
      <c r="G3" s="334"/>
      <c r="H3" s="287"/>
      <c r="I3" s="286"/>
      <c r="J3" s="286"/>
      <c r="K3" s="286"/>
      <c r="L3" s="286"/>
      <c r="M3" s="286"/>
      <c r="N3" s="286"/>
      <c r="O3" s="602"/>
      <c r="P3" s="286"/>
      <c r="Q3" s="11"/>
    </row>
    <row r="4">
      <c r="A4" s="11"/>
      <c r="B4" s="605"/>
      <c r="C4" s="122" t="s">
        <v>11</v>
      </c>
      <c r="D4" s="22"/>
      <c r="E4" s="22"/>
      <c r="F4" s="22"/>
      <c r="G4" s="22"/>
      <c r="H4" s="21"/>
      <c r="I4" s="606"/>
      <c r="J4" s="607"/>
      <c r="K4" s="607"/>
      <c r="L4" s="607"/>
      <c r="M4" s="607"/>
      <c r="N4" s="607"/>
      <c r="O4" s="607"/>
      <c r="P4" s="608"/>
      <c r="Q4" s="11"/>
    </row>
    <row r="5">
      <c r="A5" s="11"/>
      <c r="B5" s="609"/>
      <c r="C5" s="136"/>
      <c r="D5" s="610"/>
      <c r="E5" s="84"/>
      <c r="F5" s="85"/>
      <c r="G5" s="86"/>
      <c r="H5" s="611"/>
      <c r="I5" s="87" t="s">
        <v>427</v>
      </c>
      <c r="J5" s="140" t="s">
        <v>208</v>
      </c>
      <c r="K5" s="140" t="s">
        <v>426</v>
      </c>
      <c r="L5" s="140" t="s">
        <v>2</v>
      </c>
      <c r="M5" s="140" t="s">
        <v>1</v>
      </c>
      <c r="N5" s="140" t="s">
        <v>4</v>
      </c>
      <c r="O5" s="88" t="s">
        <v>3</v>
      </c>
      <c r="P5" s="612" t="s">
        <v>210</v>
      </c>
      <c r="Q5" s="11"/>
    </row>
    <row r="6">
      <c r="A6" s="11"/>
      <c r="B6" s="613">
        <v>1.0</v>
      </c>
      <c r="C6" s="614" t="s">
        <v>713</v>
      </c>
      <c r="D6" s="547"/>
      <c r="E6" s="184">
        <v>1.0</v>
      </c>
      <c r="F6" s="185">
        <v>3.0</v>
      </c>
      <c r="G6" s="171">
        <v>1.0</v>
      </c>
      <c r="H6" s="384" t="s">
        <v>714</v>
      </c>
      <c r="I6" s="432"/>
      <c r="J6" s="54">
        <v>1.0</v>
      </c>
      <c r="K6" s="54">
        <v>1.0</v>
      </c>
      <c r="L6" s="54"/>
      <c r="M6" s="54">
        <v>1.0</v>
      </c>
      <c r="N6" s="54">
        <v>1.0</v>
      </c>
      <c r="O6" s="615">
        <v>3.0</v>
      </c>
      <c r="P6" s="57"/>
      <c r="Q6" s="11"/>
    </row>
    <row r="7">
      <c r="A7" s="11"/>
      <c r="B7" s="353"/>
      <c r="C7" s="580" t="s">
        <v>715</v>
      </c>
      <c r="D7" s="541"/>
      <c r="E7" s="67">
        <v>2.0</v>
      </c>
      <c r="F7" s="68">
        <v>3.0</v>
      </c>
      <c r="G7" s="69">
        <v>2.0</v>
      </c>
      <c r="H7" s="384" t="s">
        <v>714</v>
      </c>
      <c r="I7" s="434"/>
      <c r="J7" s="55">
        <v>1.0</v>
      </c>
      <c r="K7" s="55">
        <v>1.0</v>
      </c>
      <c r="L7" s="55"/>
      <c r="M7" s="55">
        <v>1.0</v>
      </c>
      <c r="N7" s="55">
        <v>1.0</v>
      </c>
      <c r="O7" s="615">
        <v>1.0</v>
      </c>
      <c r="P7" s="62"/>
      <c r="Q7" s="11"/>
    </row>
    <row r="8">
      <c r="A8" s="11"/>
      <c r="B8" s="353"/>
      <c r="C8" s="580" t="s">
        <v>716</v>
      </c>
      <c r="D8" s="541"/>
      <c r="E8" s="67">
        <v>2.0</v>
      </c>
      <c r="F8" s="68">
        <v>2.0</v>
      </c>
      <c r="G8" s="69">
        <v>2.0</v>
      </c>
      <c r="H8" s="384" t="s">
        <v>714</v>
      </c>
      <c r="I8" s="434"/>
      <c r="J8" s="55">
        <v>1.0</v>
      </c>
      <c r="K8" s="55">
        <v>1.0</v>
      </c>
      <c r="L8" s="55"/>
      <c r="M8" s="55">
        <v>1.0</v>
      </c>
      <c r="N8" s="55">
        <v>1.0</v>
      </c>
      <c r="O8" s="615">
        <v>2.0</v>
      </c>
      <c r="P8" s="62"/>
      <c r="Q8" s="11"/>
    </row>
    <row r="9">
      <c r="A9" s="11"/>
      <c r="B9" s="353"/>
      <c r="C9" s="580" t="s">
        <v>717</v>
      </c>
      <c r="D9" s="541"/>
      <c r="E9" s="67">
        <v>2.0</v>
      </c>
      <c r="F9" s="68">
        <v>2.0</v>
      </c>
      <c r="G9" s="69">
        <v>2.0</v>
      </c>
      <c r="H9" s="384" t="s">
        <v>714</v>
      </c>
      <c r="I9" s="434"/>
      <c r="J9" s="55">
        <v>1.0</v>
      </c>
      <c r="K9" s="55">
        <v>1.0</v>
      </c>
      <c r="L9" s="55"/>
      <c r="M9" s="55">
        <v>1.0</v>
      </c>
      <c r="N9" s="55">
        <v>1.0</v>
      </c>
      <c r="O9" s="615">
        <v>2.0</v>
      </c>
      <c r="P9" s="62"/>
      <c r="Q9" s="11"/>
    </row>
    <row r="10">
      <c r="A10" s="11"/>
      <c r="B10" s="353"/>
      <c r="C10" s="580" t="s">
        <v>718</v>
      </c>
      <c r="D10" s="541"/>
      <c r="E10" s="67">
        <v>4.0</v>
      </c>
      <c r="F10" s="68">
        <v>2.0</v>
      </c>
      <c r="G10" s="69">
        <v>2.0</v>
      </c>
      <c r="H10" s="384" t="s">
        <v>714</v>
      </c>
      <c r="I10" s="434"/>
      <c r="J10" s="55">
        <v>1.0</v>
      </c>
      <c r="K10" s="55">
        <v>1.0</v>
      </c>
      <c r="M10" s="55">
        <v>1.0</v>
      </c>
      <c r="N10" s="55">
        <v>1.0</v>
      </c>
      <c r="O10" s="615">
        <v>1.0</v>
      </c>
      <c r="P10" s="62"/>
      <c r="Q10" s="11"/>
    </row>
    <row r="11">
      <c r="A11" s="11"/>
      <c r="B11" s="353"/>
      <c r="C11" s="616" t="s">
        <v>719</v>
      </c>
      <c r="D11" s="617"/>
      <c r="E11" s="70">
        <v>3.0</v>
      </c>
      <c r="F11" s="70">
        <v>2.0</v>
      </c>
      <c r="G11" s="618">
        <v>2.0</v>
      </c>
      <c r="H11" s="384" t="s">
        <v>714</v>
      </c>
      <c r="I11" s="434"/>
      <c r="J11" s="55">
        <v>1.0</v>
      </c>
      <c r="K11" s="55">
        <v>1.0</v>
      </c>
      <c r="M11" s="55">
        <v>1.0</v>
      </c>
      <c r="N11" s="55">
        <v>1.0</v>
      </c>
      <c r="O11" s="615">
        <v>1.0</v>
      </c>
      <c r="P11" s="62"/>
      <c r="Q11" s="11"/>
    </row>
    <row r="12">
      <c r="A12" s="11"/>
      <c r="B12" s="353"/>
      <c r="C12" s="619" t="s">
        <v>720</v>
      </c>
      <c r="D12" s="532"/>
      <c r="E12" s="50">
        <v>2.0</v>
      </c>
      <c r="F12" s="50">
        <v>5.0</v>
      </c>
      <c r="G12" s="65">
        <v>3.0</v>
      </c>
      <c r="H12" s="384" t="s">
        <v>714</v>
      </c>
      <c r="I12" s="434"/>
      <c r="J12" s="55">
        <v>1.0</v>
      </c>
      <c r="K12" s="55">
        <v>1.0</v>
      </c>
      <c r="M12" s="55">
        <v>1.0</v>
      </c>
      <c r="N12" s="55">
        <v>1.0</v>
      </c>
      <c r="O12" s="615">
        <v>1.0</v>
      </c>
      <c r="P12" s="62"/>
      <c r="Q12" s="11"/>
    </row>
    <row r="13">
      <c r="A13" s="11"/>
      <c r="B13" s="353"/>
      <c r="C13" s="580" t="s">
        <v>721</v>
      </c>
      <c r="D13" s="541"/>
      <c r="E13" s="67">
        <v>2.0</v>
      </c>
      <c r="F13" s="68">
        <v>4.0</v>
      </c>
      <c r="G13" s="69">
        <v>3.0</v>
      </c>
      <c r="H13" s="384" t="s">
        <v>714</v>
      </c>
      <c r="I13" s="434"/>
      <c r="J13" s="55">
        <v>1.0</v>
      </c>
      <c r="K13" s="55">
        <v>1.0</v>
      </c>
      <c r="M13" s="55">
        <v>1.0</v>
      </c>
      <c r="N13" s="55">
        <v>1.0</v>
      </c>
      <c r="O13" s="615">
        <v>1.0</v>
      </c>
      <c r="P13" s="62"/>
      <c r="Q13" s="11"/>
    </row>
    <row r="14">
      <c r="A14" s="11"/>
      <c r="B14" s="353"/>
      <c r="C14" s="580" t="s">
        <v>722</v>
      </c>
      <c r="D14" s="541" t="s">
        <v>97</v>
      </c>
      <c r="E14" s="67">
        <v>4.0</v>
      </c>
      <c r="F14" s="68">
        <v>1.0</v>
      </c>
      <c r="G14" s="69">
        <v>3.0</v>
      </c>
      <c r="H14" s="384" t="s">
        <v>714</v>
      </c>
      <c r="I14" s="434"/>
      <c r="J14" s="55">
        <v>1.0</v>
      </c>
      <c r="K14" s="55">
        <v>1.0</v>
      </c>
      <c r="M14" s="55">
        <v>1.0</v>
      </c>
      <c r="N14" s="55">
        <v>1.0</v>
      </c>
      <c r="O14" s="615">
        <v>1.0</v>
      </c>
      <c r="P14" s="62"/>
      <c r="Q14" s="11"/>
    </row>
    <row r="15">
      <c r="A15" s="11"/>
      <c r="B15" s="353"/>
      <c r="C15" s="580" t="s">
        <v>723</v>
      </c>
      <c r="D15" s="532"/>
      <c r="E15" s="460">
        <v>2.0</v>
      </c>
      <c r="F15" s="460">
        <v>4.0</v>
      </c>
      <c r="G15" s="581">
        <v>3.0</v>
      </c>
      <c r="H15" s="384" t="s">
        <v>714</v>
      </c>
      <c r="I15" s="434"/>
      <c r="J15" s="55">
        <v>1.0</v>
      </c>
      <c r="K15" s="55">
        <v>1.0</v>
      </c>
      <c r="L15" s="55"/>
      <c r="M15" s="55">
        <v>1.0</v>
      </c>
      <c r="N15" s="55">
        <v>1.0</v>
      </c>
      <c r="O15" s="615">
        <v>1.0</v>
      </c>
      <c r="P15" s="62"/>
      <c r="Q15" s="11"/>
    </row>
    <row r="16">
      <c r="A16" s="11"/>
      <c r="B16" s="353"/>
      <c r="C16" s="580" t="s">
        <v>724</v>
      </c>
      <c r="D16" s="532"/>
      <c r="E16" s="50">
        <v>3.0</v>
      </c>
      <c r="F16" s="50">
        <v>5.0</v>
      </c>
      <c r="G16" s="65">
        <v>4.0</v>
      </c>
      <c r="H16" s="384" t="s">
        <v>714</v>
      </c>
      <c r="I16" s="434"/>
      <c r="J16" s="55">
        <v>2.0</v>
      </c>
      <c r="K16" s="55">
        <v>2.0</v>
      </c>
      <c r="L16" s="55"/>
      <c r="M16" s="55">
        <v>2.0</v>
      </c>
      <c r="N16" s="55">
        <v>3.0</v>
      </c>
      <c r="O16" s="615">
        <v>2.0</v>
      </c>
      <c r="P16" s="62"/>
      <c r="Q16" s="11"/>
    </row>
    <row r="17">
      <c r="A17" s="11"/>
      <c r="B17" s="353"/>
      <c r="C17" s="580" t="s">
        <v>725</v>
      </c>
      <c r="D17" s="532" t="s">
        <v>455</v>
      </c>
      <c r="E17" s="50">
        <v>4.0</v>
      </c>
      <c r="F17" s="50">
        <v>5.0</v>
      </c>
      <c r="G17" s="65">
        <v>4.0</v>
      </c>
      <c r="H17" s="384" t="s">
        <v>714</v>
      </c>
      <c r="I17" s="434"/>
      <c r="J17" s="55">
        <v>1.0</v>
      </c>
      <c r="K17" s="55">
        <v>1.0</v>
      </c>
      <c r="L17" s="55"/>
      <c r="M17" s="55">
        <v>1.0</v>
      </c>
      <c r="N17" s="55">
        <v>1.0</v>
      </c>
      <c r="O17" s="615">
        <v>2.0</v>
      </c>
      <c r="P17" s="62"/>
      <c r="Q17" s="11"/>
    </row>
    <row r="18">
      <c r="A18" s="11"/>
      <c r="B18" s="353"/>
      <c r="C18" s="580" t="s">
        <v>726</v>
      </c>
      <c r="D18" s="532"/>
      <c r="E18" s="50">
        <v>4.0</v>
      </c>
      <c r="F18" s="50">
        <v>4.0</v>
      </c>
      <c r="G18" s="65">
        <v>4.0</v>
      </c>
      <c r="H18" s="384" t="s">
        <v>714</v>
      </c>
      <c r="I18" s="434"/>
      <c r="J18" s="55">
        <v>1.0</v>
      </c>
      <c r="K18" s="55">
        <v>1.0</v>
      </c>
      <c r="L18" s="55"/>
      <c r="M18" s="55">
        <v>1.0</v>
      </c>
      <c r="N18" s="55">
        <v>1.0</v>
      </c>
      <c r="O18" s="615">
        <v>1.0</v>
      </c>
      <c r="P18" s="62"/>
      <c r="Q18" s="11"/>
    </row>
    <row r="19">
      <c r="A19" s="11"/>
      <c r="B19" s="353"/>
      <c r="C19" s="580" t="s">
        <v>727</v>
      </c>
      <c r="D19" s="532"/>
      <c r="E19" s="67">
        <v>3.0</v>
      </c>
      <c r="F19" s="68">
        <v>3.0</v>
      </c>
      <c r="G19" s="69">
        <v>5.0</v>
      </c>
      <c r="H19" s="384" t="s">
        <v>714</v>
      </c>
      <c r="I19" s="434"/>
      <c r="J19" s="55">
        <v>1.0</v>
      </c>
      <c r="K19" s="55">
        <v>1.0</v>
      </c>
      <c r="M19" s="55">
        <v>1.0</v>
      </c>
      <c r="N19" s="55">
        <v>1.0</v>
      </c>
      <c r="O19" s="615">
        <v>1.0</v>
      </c>
      <c r="P19" s="62"/>
      <c r="Q19" s="11"/>
    </row>
    <row r="20">
      <c r="A20" s="11"/>
      <c r="B20" s="353"/>
      <c r="C20" s="580" t="s">
        <v>728</v>
      </c>
      <c r="D20" s="541"/>
      <c r="E20" s="67">
        <v>4.0</v>
      </c>
      <c r="F20" s="68">
        <v>7.0</v>
      </c>
      <c r="G20" s="69">
        <v>5.0</v>
      </c>
      <c r="H20" s="384" t="s">
        <v>714</v>
      </c>
      <c r="I20" s="434"/>
      <c r="J20" s="55">
        <v>1.0</v>
      </c>
      <c r="K20" s="55">
        <v>1.0</v>
      </c>
      <c r="L20" s="55"/>
      <c r="M20" s="55">
        <v>1.0</v>
      </c>
      <c r="N20" s="55">
        <v>1.0</v>
      </c>
      <c r="O20" s="615">
        <v>1.0</v>
      </c>
      <c r="P20" s="62"/>
      <c r="Q20" s="11"/>
    </row>
    <row r="21">
      <c r="A21" s="11"/>
      <c r="B21" s="353"/>
      <c r="C21" s="580" t="s">
        <v>729</v>
      </c>
      <c r="D21" s="541" t="s">
        <v>22</v>
      </c>
      <c r="E21" s="67">
        <v>3.0</v>
      </c>
      <c r="F21" s="68">
        <v>7.0</v>
      </c>
      <c r="G21" s="69">
        <v>5.0</v>
      </c>
      <c r="H21" s="384" t="s">
        <v>714</v>
      </c>
      <c r="I21" s="434"/>
      <c r="J21" s="55">
        <v>1.0</v>
      </c>
      <c r="K21" s="55">
        <v>1.0</v>
      </c>
      <c r="L21" s="55"/>
      <c r="M21" s="55">
        <v>1.0</v>
      </c>
      <c r="N21" s="55">
        <v>1.0</v>
      </c>
      <c r="O21" s="615">
        <v>1.0</v>
      </c>
      <c r="P21" s="62"/>
      <c r="Q21" s="11"/>
    </row>
    <row r="22">
      <c r="A22" s="11"/>
      <c r="B22" s="353"/>
      <c r="C22" s="580" t="s">
        <v>730</v>
      </c>
      <c r="D22" s="620"/>
      <c r="E22" s="231">
        <v>9.0</v>
      </c>
      <c r="F22" s="231">
        <v>3.0</v>
      </c>
      <c r="G22" s="582">
        <v>6.0</v>
      </c>
      <c r="H22" s="384" t="s">
        <v>714</v>
      </c>
      <c r="I22" s="441"/>
      <c r="J22" s="442">
        <v>1.0</v>
      </c>
      <c r="K22" s="442">
        <v>1.0</v>
      </c>
      <c r="L22" s="442"/>
      <c r="M22" s="442">
        <v>1.0</v>
      </c>
      <c r="N22" s="442">
        <v>1.0</v>
      </c>
      <c r="O22" s="615">
        <v>1.0</v>
      </c>
      <c r="P22" s="444"/>
      <c r="Q22" s="11"/>
    </row>
    <row r="23">
      <c r="A23" s="11"/>
      <c r="B23" s="353"/>
      <c r="C23" s="580" t="s">
        <v>731</v>
      </c>
      <c r="D23" s="532"/>
      <c r="E23" s="460">
        <v>2.0</v>
      </c>
      <c r="F23" s="460">
        <v>10.0</v>
      </c>
      <c r="G23" s="581">
        <v>6.0</v>
      </c>
      <c r="H23" s="384" t="s">
        <v>714</v>
      </c>
      <c r="I23" s="457"/>
      <c r="J23" s="56">
        <v>1.0</v>
      </c>
      <c r="K23" s="56">
        <v>1.0</v>
      </c>
      <c r="L23" s="56"/>
      <c r="M23" s="56">
        <v>1.0</v>
      </c>
      <c r="N23" s="56">
        <v>1.0</v>
      </c>
      <c r="O23" s="615">
        <v>1.0</v>
      </c>
      <c r="P23" s="376"/>
      <c r="Q23" s="11"/>
    </row>
    <row r="24">
      <c r="A24" s="11"/>
      <c r="B24" s="353"/>
      <c r="C24" s="580" t="s">
        <v>732</v>
      </c>
      <c r="D24" s="620" t="s">
        <v>22</v>
      </c>
      <c r="E24" s="231">
        <v>8.0</v>
      </c>
      <c r="F24" s="231">
        <v>4.0</v>
      </c>
      <c r="G24" s="582">
        <v>7.0</v>
      </c>
      <c r="H24" s="384" t="s">
        <v>714</v>
      </c>
      <c r="I24" s="434"/>
      <c r="J24" s="55">
        <v>3.0</v>
      </c>
      <c r="K24" s="55">
        <v>2.0</v>
      </c>
      <c r="L24" s="55"/>
      <c r="M24" s="55">
        <v>2.0</v>
      </c>
      <c r="N24" s="55">
        <v>1.0</v>
      </c>
      <c r="O24" s="615">
        <v>3.0</v>
      </c>
      <c r="P24" s="62"/>
      <c r="Q24" s="11"/>
    </row>
    <row r="25">
      <c r="A25" s="11"/>
      <c r="B25" s="355"/>
      <c r="C25" s="580" t="s">
        <v>733</v>
      </c>
      <c r="D25" s="621"/>
      <c r="E25" s="439">
        <v>8.0</v>
      </c>
      <c r="F25" s="439">
        <v>8.0</v>
      </c>
      <c r="G25" s="537">
        <v>8.0</v>
      </c>
      <c r="H25" s="384" t="s">
        <v>714</v>
      </c>
      <c r="I25" s="521"/>
      <c r="J25" s="76">
        <v>1.0</v>
      </c>
      <c r="K25" s="76">
        <v>1.0</v>
      </c>
      <c r="L25" s="76"/>
      <c r="M25" s="76">
        <v>1.0</v>
      </c>
      <c r="N25" s="76">
        <v>1.0</v>
      </c>
      <c r="O25" s="615">
        <v>1.0</v>
      </c>
      <c r="P25" s="77"/>
      <c r="Q25" s="11"/>
    </row>
    <row r="26">
      <c r="A26" s="11"/>
      <c r="B26" s="609"/>
      <c r="C26" s="136"/>
      <c r="D26" s="525"/>
      <c r="E26" s="85"/>
      <c r="F26" s="85"/>
      <c r="G26" s="86"/>
      <c r="H26" s="384"/>
      <c r="I26" s="87" t="s">
        <v>427</v>
      </c>
      <c r="J26" s="140" t="s">
        <v>208</v>
      </c>
      <c r="K26" s="140" t="s">
        <v>426</v>
      </c>
      <c r="L26" s="140" t="s">
        <v>2</v>
      </c>
      <c r="M26" s="140" t="s">
        <v>1</v>
      </c>
      <c r="N26" s="140" t="s">
        <v>4</v>
      </c>
      <c r="O26" s="622" t="s">
        <v>3</v>
      </c>
      <c r="P26" s="612" t="s">
        <v>210</v>
      </c>
      <c r="Q26" s="11"/>
    </row>
    <row r="27">
      <c r="A27" s="11"/>
      <c r="B27" s="623" t="s">
        <v>734</v>
      </c>
      <c r="C27" s="580" t="s">
        <v>735</v>
      </c>
      <c r="D27" s="541"/>
      <c r="E27" s="67">
        <v>1.0</v>
      </c>
      <c r="F27" s="68">
        <v>2.0</v>
      </c>
      <c r="G27" s="69">
        <v>1.0</v>
      </c>
      <c r="H27" s="384" t="s">
        <v>714</v>
      </c>
      <c r="I27" s="432"/>
      <c r="J27" s="54">
        <v>4.0</v>
      </c>
      <c r="K27" s="54">
        <v>3.0</v>
      </c>
      <c r="L27" s="428"/>
      <c r="M27" s="426">
        <v>4.0</v>
      </c>
      <c r="N27" s="54">
        <v>1.0</v>
      </c>
      <c r="O27" s="615">
        <v>3.0</v>
      </c>
      <c r="P27" s="57"/>
      <c r="Q27" s="11"/>
    </row>
    <row r="28">
      <c r="A28" s="11"/>
      <c r="B28" s="353"/>
      <c r="C28" s="619" t="s">
        <v>736</v>
      </c>
      <c r="D28" s="532"/>
      <c r="E28" s="50">
        <v>3.0</v>
      </c>
      <c r="F28" s="50">
        <v>4.0</v>
      </c>
      <c r="G28" s="65">
        <v>3.0</v>
      </c>
      <c r="H28" s="384" t="s">
        <v>714</v>
      </c>
      <c r="I28" s="434"/>
      <c r="J28" s="55">
        <v>1.0</v>
      </c>
      <c r="K28" s="55">
        <v>2.0</v>
      </c>
      <c r="L28" s="428"/>
      <c r="M28" s="428">
        <v>1.0</v>
      </c>
      <c r="N28" s="55">
        <v>3.0</v>
      </c>
      <c r="O28" s="615">
        <v>3.0</v>
      </c>
      <c r="P28" s="62"/>
      <c r="Q28" s="11"/>
    </row>
    <row r="29" ht="15.75" customHeight="1">
      <c r="A29" s="11"/>
      <c r="B29" s="624"/>
      <c r="C29" s="580" t="s">
        <v>737</v>
      </c>
      <c r="D29" s="541"/>
      <c r="E29" s="67">
        <v>2.0</v>
      </c>
      <c r="F29" s="68">
        <v>4.0</v>
      </c>
      <c r="G29" s="69">
        <v>3.0</v>
      </c>
      <c r="H29" s="384" t="s">
        <v>714</v>
      </c>
      <c r="I29" s="434"/>
      <c r="J29" s="55">
        <v>1.0</v>
      </c>
      <c r="K29" s="55">
        <v>1.0</v>
      </c>
      <c r="M29" s="428">
        <v>1.0</v>
      </c>
      <c r="N29" s="55">
        <v>1.0</v>
      </c>
      <c r="O29" s="615">
        <v>2.0</v>
      </c>
      <c r="P29" s="62"/>
      <c r="Q29" s="11"/>
    </row>
    <row r="30" ht="15.75" customHeight="1">
      <c r="A30" s="11"/>
      <c r="B30" s="625"/>
      <c r="C30" s="580" t="s">
        <v>738</v>
      </c>
      <c r="D30" s="620"/>
      <c r="E30" s="231">
        <v>3.0</v>
      </c>
      <c r="F30" s="231">
        <v>3.0</v>
      </c>
      <c r="G30" s="582">
        <v>4.0</v>
      </c>
      <c r="H30" s="384" t="s">
        <v>714</v>
      </c>
      <c r="I30" s="434"/>
      <c r="J30" s="55">
        <v>1.0</v>
      </c>
      <c r="K30" s="55">
        <v>2.0</v>
      </c>
      <c r="L30" s="428"/>
      <c r="M30" s="428">
        <v>1.0</v>
      </c>
      <c r="N30" s="55">
        <v>1.0</v>
      </c>
      <c r="O30" s="615">
        <v>1.0</v>
      </c>
      <c r="P30" s="62"/>
      <c r="Q30" s="11"/>
    </row>
    <row r="31" ht="15.75" customHeight="1">
      <c r="A31" s="11"/>
      <c r="B31" s="625"/>
      <c r="C31" s="588" t="s">
        <v>739</v>
      </c>
      <c r="D31" s="550"/>
      <c r="E31" s="231">
        <v>2.0</v>
      </c>
      <c r="F31" s="232">
        <v>6.0</v>
      </c>
      <c r="G31" s="208">
        <v>4.0</v>
      </c>
      <c r="H31" s="384" t="s">
        <v>714</v>
      </c>
      <c r="I31" s="434"/>
      <c r="J31" s="55">
        <v>3.0</v>
      </c>
      <c r="K31" s="55">
        <v>3.0</v>
      </c>
      <c r="L31" s="428"/>
      <c r="M31" s="428">
        <v>1.0</v>
      </c>
      <c r="N31" s="55">
        <v>2.0</v>
      </c>
      <c r="O31" s="615">
        <v>2.0</v>
      </c>
      <c r="P31" s="62"/>
      <c r="Q31" s="11"/>
    </row>
    <row r="32">
      <c r="A32" s="11"/>
      <c r="B32" s="626" t="s">
        <v>740</v>
      </c>
      <c r="C32" s="580" t="s">
        <v>741</v>
      </c>
      <c r="D32" s="541" t="s">
        <v>20</v>
      </c>
      <c r="E32" s="67">
        <v>3.0</v>
      </c>
      <c r="F32" s="68">
        <v>3.0</v>
      </c>
      <c r="G32" s="69">
        <v>3.0</v>
      </c>
      <c r="H32" s="384" t="s">
        <v>714</v>
      </c>
      <c r="I32" s="434"/>
      <c r="J32" s="55">
        <v>1.0</v>
      </c>
      <c r="K32" s="55">
        <v>1.0</v>
      </c>
      <c r="L32" s="428"/>
      <c r="M32" s="428">
        <v>2.0</v>
      </c>
      <c r="N32" s="55">
        <v>1.0</v>
      </c>
      <c r="O32" s="615">
        <v>1.0</v>
      </c>
      <c r="P32" s="62"/>
      <c r="Q32" s="11"/>
    </row>
    <row r="33">
      <c r="A33" s="11"/>
      <c r="B33" s="353"/>
      <c r="C33" s="627" t="s">
        <v>742</v>
      </c>
      <c r="D33" s="621"/>
      <c r="E33" s="439">
        <v>4.0</v>
      </c>
      <c r="F33" s="439">
        <v>2.0</v>
      </c>
      <c r="G33" s="537">
        <v>3.0</v>
      </c>
      <c r="H33" s="384" t="s">
        <v>714</v>
      </c>
      <c r="I33" s="434"/>
      <c r="J33" s="55">
        <v>1.0</v>
      </c>
      <c r="K33" s="55">
        <v>1.0</v>
      </c>
      <c r="L33" s="428"/>
      <c r="M33" s="428">
        <v>1.0</v>
      </c>
      <c r="N33" s="55">
        <v>1.0</v>
      </c>
      <c r="O33" s="615">
        <v>1.0</v>
      </c>
      <c r="P33" s="62"/>
      <c r="Q33" s="11"/>
    </row>
    <row r="34">
      <c r="A34" s="11"/>
      <c r="B34" s="353"/>
      <c r="C34" s="580" t="s">
        <v>743</v>
      </c>
      <c r="D34" s="541" t="s">
        <v>22</v>
      </c>
      <c r="E34" s="67">
        <v>6.0</v>
      </c>
      <c r="F34" s="68">
        <v>7.0</v>
      </c>
      <c r="G34" s="69">
        <v>4.0</v>
      </c>
      <c r="H34" s="384" t="s">
        <v>714</v>
      </c>
      <c r="I34" s="434"/>
      <c r="J34" s="55">
        <v>1.0</v>
      </c>
      <c r="K34" s="55">
        <v>1.0</v>
      </c>
      <c r="L34" s="428"/>
      <c r="M34" s="428">
        <v>1.0</v>
      </c>
      <c r="N34" s="55">
        <v>2.0</v>
      </c>
      <c r="O34" s="615">
        <v>1.0</v>
      </c>
      <c r="P34" s="62"/>
      <c r="Q34" s="11"/>
    </row>
    <row r="35">
      <c r="A35" s="11"/>
      <c r="B35" s="353"/>
      <c r="C35" s="619" t="s">
        <v>744</v>
      </c>
      <c r="D35" s="541"/>
      <c r="E35" s="50">
        <v>3.0</v>
      </c>
      <c r="F35" s="50">
        <v>4.0</v>
      </c>
      <c r="G35" s="65">
        <v>5.0</v>
      </c>
      <c r="H35" s="384" t="s">
        <v>714</v>
      </c>
      <c r="I35" s="434"/>
      <c r="J35" s="55">
        <v>1.0</v>
      </c>
      <c r="K35" s="55">
        <v>1.0</v>
      </c>
      <c r="L35" s="428"/>
      <c r="M35" s="428">
        <v>2.0</v>
      </c>
      <c r="N35" s="55">
        <v>2.0</v>
      </c>
      <c r="O35" s="615">
        <v>1.0</v>
      </c>
      <c r="P35" s="62"/>
      <c r="Q35" s="11"/>
    </row>
    <row r="36">
      <c r="A36" s="11"/>
      <c r="B36" s="355"/>
      <c r="C36" s="580" t="s">
        <v>745</v>
      </c>
      <c r="D36" s="565"/>
      <c r="E36" s="201">
        <v>3.0</v>
      </c>
      <c r="F36" s="202">
        <v>5.0</v>
      </c>
      <c r="G36" s="203">
        <v>8.0</v>
      </c>
      <c r="H36" s="384" t="s">
        <v>714</v>
      </c>
      <c r="I36" s="434"/>
      <c r="J36" s="55">
        <v>1.0</v>
      </c>
      <c r="K36" s="55">
        <v>1.0</v>
      </c>
      <c r="L36" s="428"/>
      <c r="M36" s="428">
        <v>1.0</v>
      </c>
      <c r="N36" s="55">
        <v>1.0</v>
      </c>
      <c r="O36" s="615">
        <v>1.0</v>
      </c>
      <c r="P36" s="62"/>
      <c r="Q36" s="11"/>
    </row>
    <row r="37">
      <c r="A37" s="11"/>
      <c r="B37" s="628"/>
      <c r="C37" s="580" t="s">
        <v>746</v>
      </c>
      <c r="D37" s="541"/>
      <c r="E37" s="67">
        <v>1.0</v>
      </c>
      <c r="F37" s="68">
        <v>1.0</v>
      </c>
      <c r="G37" s="69">
        <v>1.0</v>
      </c>
      <c r="H37" s="384" t="s">
        <v>714</v>
      </c>
      <c r="I37" s="434"/>
      <c r="J37" s="55">
        <v>1.0</v>
      </c>
      <c r="K37" s="55">
        <v>2.0</v>
      </c>
      <c r="L37" s="428"/>
      <c r="M37" s="428">
        <v>1.0</v>
      </c>
      <c r="N37" s="55">
        <v>1.0</v>
      </c>
      <c r="O37" s="615">
        <v>3.0</v>
      </c>
      <c r="P37" s="62"/>
      <c r="Q37" s="11"/>
    </row>
    <row r="38">
      <c r="A38" s="11"/>
      <c r="B38" s="353"/>
      <c r="C38" s="580" t="s">
        <v>747</v>
      </c>
      <c r="D38" s="620"/>
      <c r="E38" s="231">
        <v>4.0</v>
      </c>
      <c r="F38" s="231">
        <v>4.0</v>
      </c>
      <c r="G38" s="582">
        <v>4.0</v>
      </c>
      <c r="H38" s="384" t="s">
        <v>714</v>
      </c>
      <c r="I38" s="434"/>
      <c r="J38" s="55">
        <v>3.0</v>
      </c>
      <c r="K38" s="55">
        <v>3.0</v>
      </c>
      <c r="L38" s="428"/>
      <c r="M38" s="428">
        <v>3.0</v>
      </c>
      <c r="N38" s="55">
        <v>2.0</v>
      </c>
      <c r="O38" s="615">
        <v>4.0</v>
      </c>
      <c r="P38" s="62"/>
      <c r="Q38" s="11"/>
    </row>
    <row r="39">
      <c r="A39" s="11"/>
      <c r="B39" s="353"/>
      <c r="C39" s="580" t="s">
        <v>748</v>
      </c>
      <c r="D39" s="541"/>
      <c r="E39" s="67">
        <v>3.0</v>
      </c>
      <c r="F39" s="68">
        <v>5.0</v>
      </c>
      <c r="G39" s="69">
        <v>4.0</v>
      </c>
      <c r="H39" s="384" t="s">
        <v>714</v>
      </c>
      <c r="I39" s="434"/>
      <c r="J39" s="55">
        <v>4.0</v>
      </c>
      <c r="K39" s="55">
        <v>4.0</v>
      </c>
      <c r="L39" s="428">
        <v>1.0</v>
      </c>
      <c r="M39" s="428">
        <v>3.0</v>
      </c>
      <c r="N39" s="55">
        <v>4.0</v>
      </c>
      <c r="O39" s="615">
        <v>3.0</v>
      </c>
      <c r="P39" s="62"/>
      <c r="Q39" s="11"/>
    </row>
    <row r="40">
      <c r="A40" s="11"/>
      <c r="B40" s="353"/>
      <c r="C40" s="580" t="s">
        <v>749</v>
      </c>
      <c r="D40" s="541"/>
      <c r="E40" s="67">
        <v>4.0</v>
      </c>
      <c r="F40" s="68">
        <v>4.0</v>
      </c>
      <c r="G40" s="69">
        <v>4.0</v>
      </c>
      <c r="H40" s="384" t="s">
        <v>714</v>
      </c>
      <c r="I40" s="434"/>
      <c r="J40" s="55">
        <v>1.0</v>
      </c>
      <c r="K40" s="55">
        <v>2.0</v>
      </c>
      <c r="M40" s="428">
        <v>1.0</v>
      </c>
      <c r="N40" s="55">
        <v>2.0</v>
      </c>
      <c r="O40" s="615">
        <v>3.0</v>
      </c>
      <c r="P40" s="62"/>
      <c r="Q40" s="11"/>
    </row>
    <row r="41">
      <c r="A41" s="11"/>
      <c r="B41" s="355"/>
      <c r="C41" s="580" t="s">
        <v>750</v>
      </c>
      <c r="D41" s="550" t="s">
        <v>455</v>
      </c>
      <c r="E41" s="231">
        <v>8.0</v>
      </c>
      <c r="F41" s="232">
        <v>8.0</v>
      </c>
      <c r="G41" s="208">
        <v>10.0</v>
      </c>
      <c r="H41" s="384" t="s">
        <v>714</v>
      </c>
      <c r="I41" s="441"/>
      <c r="J41" s="442">
        <v>1.0</v>
      </c>
      <c r="K41" s="442">
        <v>1.0</v>
      </c>
      <c r="M41" s="589">
        <v>1.0</v>
      </c>
      <c r="N41" s="442">
        <v>2.0</v>
      </c>
      <c r="O41" s="615">
        <v>1.0</v>
      </c>
      <c r="P41" s="444"/>
      <c r="Q41" s="11"/>
    </row>
    <row r="42">
      <c r="A42" s="11"/>
      <c r="B42" s="605"/>
      <c r="C42" s="195" t="s">
        <v>83</v>
      </c>
      <c r="D42" s="125"/>
      <c r="E42" s="125"/>
      <c r="F42" s="125"/>
      <c r="G42" s="125"/>
      <c r="H42" s="384"/>
      <c r="I42" s="127"/>
      <c r="J42" s="128"/>
      <c r="K42" s="128"/>
      <c r="L42" s="128"/>
      <c r="M42" s="128"/>
      <c r="N42" s="128"/>
      <c r="O42" s="130"/>
      <c r="P42" s="445"/>
      <c r="Q42" s="11"/>
    </row>
    <row r="43">
      <c r="A43" s="11"/>
      <c r="B43" s="609"/>
      <c r="C43" s="136"/>
      <c r="D43" s="525"/>
      <c r="E43" s="85"/>
      <c r="F43" s="85"/>
      <c r="G43" s="86"/>
      <c r="H43" s="384"/>
      <c r="I43" s="629" t="s">
        <v>427</v>
      </c>
      <c r="J43" s="140" t="s">
        <v>208</v>
      </c>
      <c r="K43" s="140" t="s">
        <v>426</v>
      </c>
      <c r="L43" s="140" t="s">
        <v>2</v>
      </c>
      <c r="M43" s="140" t="s">
        <v>1</v>
      </c>
      <c r="N43" s="140" t="s">
        <v>4</v>
      </c>
      <c r="O43" s="622" t="s">
        <v>3</v>
      </c>
      <c r="P43" s="630" t="s">
        <v>210</v>
      </c>
      <c r="Q43" s="11"/>
    </row>
    <row r="44">
      <c r="A44" s="11"/>
      <c r="B44" s="631" t="s">
        <v>64</v>
      </c>
      <c r="C44" s="583" t="s">
        <v>751</v>
      </c>
      <c r="D44" s="541"/>
      <c r="E44" s="67">
        <v>4.0</v>
      </c>
      <c r="F44" s="68">
        <v>3.0</v>
      </c>
      <c r="G44" s="69">
        <v>3.0</v>
      </c>
      <c r="H44" s="384" t="s">
        <v>714</v>
      </c>
      <c r="I44" s="432"/>
      <c r="J44" s="54">
        <v>1.0</v>
      </c>
      <c r="K44" s="54">
        <v>1.0</v>
      </c>
      <c r="L44" s="54"/>
      <c r="M44" s="426">
        <v>1.0</v>
      </c>
      <c r="N44" s="54">
        <v>1.0</v>
      </c>
      <c r="O44" s="615">
        <v>1.0</v>
      </c>
      <c r="P44" s="57"/>
      <c r="Q44" s="11"/>
    </row>
    <row r="45">
      <c r="A45" s="11"/>
      <c r="B45" s="353"/>
      <c r="C45" s="580" t="s">
        <v>752</v>
      </c>
      <c r="D45" s="541"/>
      <c r="E45" s="67">
        <v>2.0</v>
      </c>
      <c r="F45" s="68">
        <v>4.0</v>
      </c>
      <c r="G45" s="69">
        <v>3.0</v>
      </c>
      <c r="H45" s="384" t="s">
        <v>714</v>
      </c>
      <c r="I45" s="434"/>
      <c r="J45" s="55">
        <v>1.0</v>
      </c>
      <c r="K45" s="55">
        <v>1.0</v>
      </c>
      <c r="L45" s="55"/>
      <c r="M45" s="428">
        <v>1.0</v>
      </c>
      <c r="N45" s="55">
        <v>1.0</v>
      </c>
      <c r="O45" s="615">
        <v>1.0</v>
      </c>
      <c r="P45" s="62"/>
      <c r="Q45" s="11"/>
    </row>
    <row r="46">
      <c r="A46" s="11"/>
      <c r="B46" s="632"/>
      <c r="C46" s="585" t="s">
        <v>753</v>
      </c>
      <c r="D46" s="550"/>
      <c r="E46" s="231">
        <v>3.0</v>
      </c>
      <c r="F46" s="232">
        <v>5.0</v>
      </c>
      <c r="G46" s="208">
        <v>4.0</v>
      </c>
      <c r="H46" s="384" t="s">
        <v>714</v>
      </c>
      <c r="I46" s="434"/>
      <c r="J46" s="55">
        <v>1.0</v>
      </c>
      <c r="K46" s="55">
        <v>1.0</v>
      </c>
      <c r="L46" s="55">
        <v>2.0</v>
      </c>
      <c r="M46" s="428">
        <v>1.0</v>
      </c>
      <c r="N46" s="55">
        <v>1.0</v>
      </c>
      <c r="O46" s="615">
        <v>1.0</v>
      </c>
      <c r="P46" s="62"/>
      <c r="Q46" s="11"/>
    </row>
    <row r="47">
      <c r="A47" s="11"/>
      <c r="B47" s="633"/>
      <c r="C47" s="584" t="s">
        <v>754</v>
      </c>
      <c r="D47" s="547" t="s">
        <v>71</v>
      </c>
      <c r="E47" s="250"/>
      <c r="F47" s="251"/>
      <c r="G47" s="205">
        <v>2.0</v>
      </c>
      <c r="H47" s="384" t="s">
        <v>714</v>
      </c>
      <c r="I47" s="434"/>
      <c r="J47" s="55">
        <v>2.0</v>
      </c>
      <c r="K47" s="55">
        <v>2.0</v>
      </c>
      <c r="L47" s="55">
        <v>1.0</v>
      </c>
      <c r="M47" s="428">
        <v>2.0</v>
      </c>
      <c r="N47" s="55">
        <v>3.0</v>
      </c>
      <c r="O47" s="615">
        <v>2.0</v>
      </c>
      <c r="P47" s="62"/>
      <c r="Q47" s="11"/>
    </row>
    <row r="48">
      <c r="A48" s="11"/>
      <c r="B48" s="353"/>
      <c r="C48" s="580" t="s">
        <v>755</v>
      </c>
      <c r="D48" s="541" t="s">
        <v>71</v>
      </c>
      <c r="E48" s="67"/>
      <c r="F48" s="68"/>
      <c r="G48" s="69">
        <v>2.0</v>
      </c>
      <c r="H48" s="384" t="s">
        <v>714</v>
      </c>
      <c r="I48" s="434"/>
      <c r="J48" s="55">
        <v>1.0</v>
      </c>
      <c r="K48" s="55">
        <v>2.0</v>
      </c>
      <c r="L48" s="55"/>
      <c r="M48" s="428">
        <v>1.0</v>
      </c>
      <c r="N48" s="55">
        <v>2.0</v>
      </c>
      <c r="O48" s="615">
        <v>1.0</v>
      </c>
      <c r="P48" s="62"/>
      <c r="Q48" s="11"/>
    </row>
    <row r="49">
      <c r="A49" s="11"/>
      <c r="B49" s="355"/>
      <c r="C49" s="585" t="s">
        <v>756</v>
      </c>
      <c r="D49" s="550" t="s">
        <v>757</v>
      </c>
      <c r="E49" s="231"/>
      <c r="F49" s="232"/>
      <c r="G49" s="208">
        <v>10.0</v>
      </c>
      <c r="H49" s="384" t="s">
        <v>714</v>
      </c>
      <c r="I49" s="434"/>
      <c r="J49" s="55">
        <v>4.0</v>
      </c>
      <c r="K49" s="55">
        <v>4.0</v>
      </c>
      <c r="L49" s="55"/>
      <c r="M49" s="428">
        <v>3.0</v>
      </c>
      <c r="N49" s="55">
        <v>4.0</v>
      </c>
      <c r="O49" s="615">
        <v>2.0</v>
      </c>
      <c r="P49" s="62"/>
      <c r="Q49" s="11"/>
    </row>
    <row r="50">
      <c r="A50" s="11"/>
      <c r="B50" s="634"/>
      <c r="C50" s="586" t="s">
        <v>758</v>
      </c>
      <c r="D50" s="547" t="s">
        <v>757</v>
      </c>
      <c r="E50" s="250"/>
      <c r="F50" s="251"/>
      <c r="G50" s="205">
        <v>2.0</v>
      </c>
      <c r="H50" s="384" t="s">
        <v>714</v>
      </c>
      <c r="I50" s="434"/>
      <c r="J50" s="55">
        <v>3.0</v>
      </c>
      <c r="K50" s="55">
        <v>3.0</v>
      </c>
      <c r="L50" s="55"/>
      <c r="M50" s="428">
        <v>2.0</v>
      </c>
      <c r="N50" s="55">
        <v>3.0</v>
      </c>
      <c r="O50" s="615">
        <v>2.0</v>
      </c>
      <c r="P50" s="62"/>
      <c r="Q50" s="11"/>
    </row>
    <row r="51">
      <c r="A51" s="11"/>
      <c r="B51" s="355"/>
      <c r="C51" s="587" t="s">
        <v>759</v>
      </c>
      <c r="D51" s="555" t="s">
        <v>757</v>
      </c>
      <c r="E51" s="556"/>
      <c r="F51" s="557"/>
      <c r="G51" s="558">
        <v>3.0</v>
      </c>
      <c r="H51" s="384" t="s">
        <v>714</v>
      </c>
      <c r="I51" s="434"/>
      <c r="J51" s="55">
        <v>1.0</v>
      </c>
      <c r="K51" s="55">
        <v>1.0</v>
      </c>
      <c r="L51" s="55"/>
      <c r="M51" s="55">
        <v>1.0</v>
      </c>
      <c r="N51" s="55">
        <v>3.0</v>
      </c>
      <c r="O51" s="615">
        <v>2.0</v>
      </c>
      <c r="P51" s="62"/>
      <c r="Q51" s="11"/>
    </row>
    <row r="52">
      <c r="A52" s="11"/>
      <c r="B52" s="635"/>
      <c r="C52" s="579" t="s">
        <v>760</v>
      </c>
      <c r="D52" s="541" t="s">
        <v>761</v>
      </c>
      <c r="E52" s="67"/>
      <c r="F52" s="68"/>
      <c r="G52" s="69">
        <v>7.0</v>
      </c>
      <c r="H52" s="384" t="s">
        <v>714</v>
      </c>
      <c r="I52" s="434"/>
      <c r="J52" s="55">
        <v>3.0</v>
      </c>
      <c r="K52" s="55">
        <v>2.0</v>
      </c>
      <c r="L52" s="55"/>
      <c r="M52" s="428">
        <v>3.0</v>
      </c>
      <c r="N52" s="55">
        <v>3.0</v>
      </c>
      <c r="O52" s="615">
        <v>3.0</v>
      </c>
      <c r="P52" s="62"/>
      <c r="Q52" s="11"/>
    </row>
    <row r="53">
      <c r="A53" s="11"/>
      <c r="B53" s="355"/>
      <c r="C53" s="588" t="s">
        <v>762</v>
      </c>
      <c r="D53" s="550"/>
      <c r="E53" s="231">
        <v>6.0</v>
      </c>
      <c r="F53" s="232">
        <v>6.0</v>
      </c>
      <c r="G53" s="208">
        <v>6.0</v>
      </c>
      <c r="H53" s="384" t="s">
        <v>714</v>
      </c>
      <c r="I53" s="441"/>
      <c r="J53" s="76">
        <v>2.0</v>
      </c>
      <c r="K53" s="76">
        <v>4.0</v>
      </c>
      <c r="L53" s="76"/>
      <c r="M53" s="589">
        <v>3.0</v>
      </c>
      <c r="N53" s="76">
        <v>4.0</v>
      </c>
      <c r="O53" s="615">
        <v>2.0</v>
      </c>
      <c r="P53" s="444"/>
      <c r="Q53" s="11"/>
    </row>
    <row r="54">
      <c r="A54" s="11"/>
      <c r="B54" s="605"/>
      <c r="C54" s="195" t="s">
        <v>95</v>
      </c>
      <c r="D54" s="125"/>
      <c r="E54" s="125"/>
      <c r="F54" s="125"/>
      <c r="G54" s="125"/>
      <c r="H54" s="384"/>
      <c r="I54" s="127"/>
      <c r="J54" s="561"/>
      <c r="K54" s="561"/>
      <c r="L54" s="561"/>
      <c r="M54" s="561"/>
      <c r="N54" s="561"/>
      <c r="O54" s="130"/>
      <c r="P54" s="445"/>
      <c r="Q54" s="11"/>
    </row>
    <row r="55">
      <c r="A55" s="11"/>
      <c r="B55" s="636"/>
      <c r="C55" s="136"/>
      <c r="D55" s="525"/>
      <c r="E55" s="85"/>
      <c r="F55" s="85"/>
      <c r="G55" s="86"/>
      <c r="H55" s="384"/>
      <c r="I55" s="629" t="s">
        <v>427</v>
      </c>
      <c r="J55" s="88" t="s">
        <v>208</v>
      </c>
      <c r="K55" s="140" t="s">
        <v>426</v>
      </c>
      <c r="L55" s="140" t="s">
        <v>2</v>
      </c>
      <c r="M55" s="140" t="s">
        <v>1</v>
      </c>
      <c r="N55" s="140" t="s">
        <v>4</v>
      </c>
      <c r="O55" s="494" t="s">
        <v>3</v>
      </c>
      <c r="P55" s="630" t="s">
        <v>210</v>
      </c>
      <c r="Q55" s="11"/>
    </row>
    <row r="56">
      <c r="A56" s="11"/>
      <c r="B56" s="631"/>
      <c r="C56" s="580" t="s">
        <v>763</v>
      </c>
      <c r="D56" s="541"/>
      <c r="E56" s="67">
        <v>2.0</v>
      </c>
      <c r="F56" s="68">
        <v>1.0</v>
      </c>
      <c r="G56" s="69">
        <v>1.0</v>
      </c>
      <c r="H56" s="384" t="s">
        <v>714</v>
      </c>
      <c r="I56" s="432"/>
      <c r="J56" s="54">
        <v>1.0</v>
      </c>
      <c r="K56" s="54">
        <v>1.0</v>
      </c>
      <c r="L56" s="54"/>
      <c r="M56" s="426">
        <v>2.0</v>
      </c>
      <c r="N56" s="54">
        <v>2.0</v>
      </c>
      <c r="O56" s="426">
        <v>2.0</v>
      </c>
      <c r="P56" s="57"/>
      <c r="Q56" s="11"/>
    </row>
    <row r="57">
      <c r="A57" s="11"/>
      <c r="B57" s="353"/>
      <c r="C57" s="580" t="s">
        <v>764</v>
      </c>
      <c r="D57" s="541"/>
      <c r="E57" s="67">
        <v>2.0</v>
      </c>
      <c r="F57" s="68">
        <v>8.0</v>
      </c>
      <c r="G57" s="69">
        <v>5.0</v>
      </c>
      <c r="H57" s="384" t="s">
        <v>714</v>
      </c>
      <c r="I57" s="434"/>
      <c r="J57" s="55">
        <v>1.0</v>
      </c>
      <c r="K57" s="55">
        <v>1.0</v>
      </c>
      <c r="L57" s="55"/>
      <c r="M57" s="428">
        <v>1.0</v>
      </c>
      <c r="N57" s="55">
        <v>1.0</v>
      </c>
      <c r="O57" s="55">
        <v>1.0</v>
      </c>
      <c r="P57" s="62"/>
      <c r="Q57" s="11"/>
    </row>
    <row r="58">
      <c r="A58" s="11"/>
      <c r="B58" s="355"/>
      <c r="C58" s="590" t="s">
        <v>765</v>
      </c>
      <c r="D58" s="565" t="s">
        <v>97</v>
      </c>
      <c r="E58" s="201">
        <v>3.0</v>
      </c>
      <c r="F58" s="202">
        <v>7.0</v>
      </c>
      <c r="G58" s="203">
        <v>6.0</v>
      </c>
      <c r="H58" s="384" t="s">
        <v>714</v>
      </c>
      <c r="I58" s="434"/>
      <c r="J58" s="55">
        <v>3.0</v>
      </c>
      <c r="K58" s="55">
        <v>1.0</v>
      </c>
      <c r="L58" s="55"/>
      <c r="M58" s="428">
        <v>1.0</v>
      </c>
      <c r="N58" s="55">
        <v>2.0</v>
      </c>
      <c r="O58" s="426">
        <v>2.0</v>
      </c>
      <c r="P58" s="62"/>
      <c r="Q58" s="11"/>
    </row>
    <row r="59">
      <c r="A59" s="11"/>
      <c r="B59" s="637"/>
      <c r="C59" s="580" t="s">
        <v>766</v>
      </c>
      <c r="D59" s="541" t="s">
        <v>705</v>
      </c>
      <c r="E59" s="67"/>
      <c r="F59" s="68"/>
      <c r="G59" s="69">
        <v>2.0</v>
      </c>
      <c r="H59" s="384" t="s">
        <v>714</v>
      </c>
      <c r="I59" s="434"/>
      <c r="J59" s="55">
        <v>2.0</v>
      </c>
      <c r="K59" s="55">
        <v>2.0</v>
      </c>
      <c r="L59" s="55"/>
      <c r="M59" s="428">
        <v>1.0</v>
      </c>
      <c r="N59" s="55">
        <v>1.0</v>
      </c>
      <c r="O59" s="57">
        <v>2.0</v>
      </c>
      <c r="P59" s="62"/>
      <c r="Q59" s="11"/>
    </row>
    <row r="60">
      <c r="A60" s="11"/>
      <c r="B60" s="353"/>
      <c r="C60" s="580" t="s">
        <v>767</v>
      </c>
      <c r="D60" s="541" t="s">
        <v>613</v>
      </c>
      <c r="E60" s="67"/>
      <c r="F60" s="68"/>
      <c r="G60" s="69">
        <v>3.0</v>
      </c>
      <c r="H60" s="384" t="s">
        <v>714</v>
      </c>
      <c r="I60" s="434"/>
      <c r="J60" s="55">
        <v>3.0</v>
      </c>
      <c r="K60" s="55">
        <v>3.0</v>
      </c>
      <c r="L60" s="55"/>
      <c r="M60" s="428">
        <v>3.0</v>
      </c>
      <c r="N60" s="55">
        <v>3.0</v>
      </c>
      <c r="O60" s="62">
        <v>1.0</v>
      </c>
      <c r="P60" s="62"/>
      <c r="Q60" s="11"/>
    </row>
    <row r="61">
      <c r="A61" s="11"/>
      <c r="B61" s="355"/>
      <c r="C61" s="591" t="s">
        <v>768</v>
      </c>
      <c r="D61" s="555" t="s">
        <v>705</v>
      </c>
      <c r="E61" s="556"/>
      <c r="F61" s="557"/>
      <c r="G61" s="558">
        <v>3.0</v>
      </c>
      <c r="H61" s="384" t="s">
        <v>714</v>
      </c>
      <c r="I61" s="434"/>
      <c r="J61" s="55">
        <v>1.0</v>
      </c>
      <c r="K61" s="55">
        <v>1.0</v>
      </c>
      <c r="L61" s="55"/>
      <c r="M61" s="428">
        <v>1.0</v>
      </c>
      <c r="N61" s="55">
        <v>3.0</v>
      </c>
      <c r="O61" s="62">
        <v>3.0</v>
      </c>
      <c r="P61" s="62"/>
      <c r="Q61" s="11"/>
    </row>
    <row r="62">
      <c r="A62" s="11"/>
      <c r="B62" s="634"/>
      <c r="C62" s="579" t="s">
        <v>769</v>
      </c>
      <c r="D62" s="541"/>
      <c r="E62" s="67">
        <v>3.0</v>
      </c>
      <c r="F62" s="68">
        <v>3.0</v>
      </c>
      <c r="G62" s="69">
        <v>3.0</v>
      </c>
      <c r="H62" s="384" t="s">
        <v>714</v>
      </c>
      <c r="I62" s="434"/>
      <c r="J62" s="55">
        <v>4.0</v>
      </c>
      <c r="K62" s="55">
        <v>4.0</v>
      </c>
      <c r="L62" s="55"/>
      <c r="M62" s="428">
        <v>4.0</v>
      </c>
      <c r="N62" s="55">
        <v>1.0</v>
      </c>
      <c r="O62" s="54">
        <v>4.0</v>
      </c>
      <c r="P62" s="62"/>
      <c r="Q62" s="11"/>
    </row>
    <row r="63">
      <c r="A63" s="11"/>
      <c r="B63" s="355"/>
      <c r="C63" s="587" t="s">
        <v>770</v>
      </c>
      <c r="D63" s="555" t="s">
        <v>705</v>
      </c>
      <c r="E63" s="556"/>
      <c r="F63" s="557"/>
      <c r="G63" s="558">
        <v>5.0</v>
      </c>
      <c r="H63" s="384" t="s">
        <v>714</v>
      </c>
      <c r="I63" s="434"/>
      <c r="J63" s="55">
        <v>3.0</v>
      </c>
      <c r="K63" s="55">
        <v>2.0</v>
      </c>
      <c r="L63" s="55"/>
      <c r="M63" s="428">
        <v>1.0</v>
      </c>
      <c r="N63" s="55">
        <v>1.0</v>
      </c>
      <c r="O63" s="62">
        <v>2.0</v>
      </c>
      <c r="P63" s="62"/>
      <c r="Q63" s="11"/>
    </row>
    <row r="64">
      <c r="A64" s="11"/>
      <c r="B64" s="635"/>
      <c r="C64" s="579" t="s">
        <v>771</v>
      </c>
      <c r="D64" s="541" t="s">
        <v>761</v>
      </c>
      <c r="E64" s="67"/>
      <c r="F64" s="68"/>
      <c r="G64" s="69">
        <v>6.0</v>
      </c>
      <c r="H64" s="384" t="s">
        <v>714</v>
      </c>
      <c r="I64" s="434"/>
      <c r="J64" s="55">
        <v>5.0</v>
      </c>
      <c r="K64" s="55">
        <v>4.0</v>
      </c>
      <c r="L64" s="55"/>
      <c r="M64" s="428">
        <v>2.0</v>
      </c>
      <c r="N64" s="55">
        <v>3.0</v>
      </c>
      <c r="O64" s="62">
        <v>4.0</v>
      </c>
      <c r="P64" s="62"/>
      <c r="Q64" s="11"/>
    </row>
    <row r="65">
      <c r="A65" s="11"/>
      <c r="B65" s="355"/>
      <c r="C65" s="588" t="s">
        <v>772</v>
      </c>
      <c r="D65" s="550" t="s">
        <v>503</v>
      </c>
      <c r="E65" s="231"/>
      <c r="F65" s="232"/>
      <c r="G65" s="208">
        <v>4.0</v>
      </c>
      <c r="H65" s="384" t="s">
        <v>714</v>
      </c>
      <c r="I65" s="441"/>
      <c r="J65" s="442">
        <v>4.0</v>
      </c>
      <c r="K65" s="442">
        <v>4.0</v>
      </c>
      <c r="L65" s="442"/>
      <c r="M65" s="589">
        <v>4.0</v>
      </c>
      <c r="N65" s="442">
        <v>3.0</v>
      </c>
      <c r="O65" s="62">
        <v>4.0</v>
      </c>
      <c r="P65" s="444"/>
      <c r="Q65" s="11"/>
    </row>
    <row r="66">
      <c r="A66" s="11"/>
      <c r="B66" s="605"/>
      <c r="C66" s="195" t="s">
        <v>109</v>
      </c>
      <c r="D66" s="125"/>
      <c r="E66" s="125"/>
      <c r="F66" s="125"/>
      <c r="G66" s="125"/>
      <c r="H66" s="384"/>
      <c r="I66" s="127"/>
      <c r="J66" s="128"/>
      <c r="K66" s="128"/>
      <c r="L66" s="128"/>
      <c r="M66" s="128"/>
      <c r="N66" s="128"/>
      <c r="O66" s="130"/>
      <c r="P66" s="445"/>
      <c r="Q66" s="11"/>
    </row>
    <row r="67">
      <c r="A67" s="11"/>
      <c r="B67" s="636"/>
      <c r="C67" s="136"/>
      <c r="D67" s="525"/>
      <c r="E67" s="85"/>
      <c r="F67" s="85"/>
      <c r="G67" s="86"/>
      <c r="H67" s="384"/>
      <c r="I67" s="629" t="s">
        <v>427</v>
      </c>
      <c r="J67" s="140" t="s">
        <v>208</v>
      </c>
      <c r="K67" s="140" t="s">
        <v>426</v>
      </c>
      <c r="L67" s="140" t="s">
        <v>2</v>
      </c>
      <c r="M67" s="140" t="s">
        <v>1</v>
      </c>
      <c r="N67" s="140" t="s">
        <v>4</v>
      </c>
      <c r="O67" s="494" t="s">
        <v>3</v>
      </c>
      <c r="P67" s="630" t="s">
        <v>210</v>
      </c>
      <c r="Q67" s="11"/>
    </row>
    <row r="68">
      <c r="A68" s="11"/>
      <c r="B68" s="631"/>
      <c r="C68" s="580" t="s">
        <v>773</v>
      </c>
      <c r="D68" s="592" t="s">
        <v>757</v>
      </c>
      <c r="E68" s="67"/>
      <c r="F68" s="68"/>
      <c r="G68" s="69">
        <v>1.0</v>
      </c>
      <c r="H68" s="384" t="s">
        <v>714</v>
      </c>
      <c r="I68" s="432"/>
      <c r="J68" s="54">
        <v>4.0</v>
      </c>
      <c r="K68" s="54">
        <v>4.0</v>
      </c>
      <c r="L68" s="54"/>
      <c r="M68" s="426">
        <v>4.0</v>
      </c>
      <c r="N68" s="54">
        <v>4.0</v>
      </c>
      <c r="O68" s="55">
        <v>4.0</v>
      </c>
      <c r="P68" s="57"/>
      <c r="Q68" s="11"/>
    </row>
    <row r="69">
      <c r="A69" s="11"/>
      <c r="B69" s="353"/>
      <c r="C69" s="580" t="s">
        <v>774</v>
      </c>
      <c r="D69" s="541" t="s">
        <v>757</v>
      </c>
      <c r="E69" s="67"/>
      <c r="F69" s="68"/>
      <c r="G69" s="69">
        <v>2.0</v>
      </c>
      <c r="H69" s="384" t="s">
        <v>714</v>
      </c>
      <c r="I69" s="434"/>
      <c r="J69" s="55">
        <v>3.0</v>
      </c>
      <c r="K69" s="55">
        <v>3.0</v>
      </c>
      <c r="L69" s="55"/>
      <c r="M69" s="428">
        <v>4.0</v>
      </c>
      <c r="N69" s="55">
        <v>3.0</v>
      </c>
      <c r="O69" s="62">
        <v>4.0</v>
      </c>
      <c r="P69" s="62"/>
      <c r="Q69" s="11"/>
    </row>
    <row r="70">
      <c r="A70" s="11"/>
      <c r="B70" s="355"/>
      <c r="C70" s="590" t="s">
        <v>775</v>
      </c>
      <c r="D70" s="565" t="s">
        <v>455</v>
      </c>
      <c r="E70" s="201">
        <v>3.0</v>
      </c>
      <c r="F70" s="202">
        <v>3.0</v>
      </c>
      <c r="G70" s="203">
        <v>5.0</v>
      </c>
      <c r="H70" s="384" t="s">
        <v>714</v>
      </c>
      <c r="I70" s="434"/>
      <c r="J70" s="55">
        <v>4.0</v>
      </c>
      <c r="K70" s="55">
        <v>4.0</v>
      </c>
      <c r="L70" s="55"/>
      <c r="M70" s="428">
        <v>3.0</v>
      </c>
      <c r="N70" s="55">
        <v>3.0</v>
      </c>
      <c r="O70" s="55">
        <v>3.0</v>
      </c>
      <c r="P70" s="62"/>
      <c r="Q70" s="11"/>
    </row>
    <row r="71">
      <c r="A71" s="11"/>
      <c r="B71" s="637"/>
      <c r="C71" s="580" t="s">
        <v>776</v>
      </c>
      <c r="D71" s="541" t="s">
        <v>455</v>
      </c>
      <c r="E71" s="67">
        <v>3.0</v>
      </c>
      <c r="F71" s="68">
        <v>2.0</v>
      </c>
      <c r="G71" s="69">
        <v>2.0</v>
      </c>
      <c r="H71" s="384" t="s">
        <v>714</v>
      </c>
      <c r="I71" s="434"/>
      <c r="J71" s="55">
        <v>4.0</v>
      </c>
      <c r="K71" s="55">
        <v>5.0</v>
      </c>
      <c r="L71" s="55"/>
      <c r="M71" s="428">
        <v>4.0</v>
      </c>
      <c r="N71" s="55">
        <v>5.0</v>
      </c>
      <c r="O71" s="62">
        <v>5.0</v>
      </c>
      <c r="P71" s="62"/>
      <c r="Q71" s="11"/>
    </row>
    <row r="72">
      <c r="A72" s="11"/>
      <c r="B72" s="353"/>
      <c r="C72" s="580" t="s">
        <v>777</v>
      </c>
      <c r="D72" s="541" t="s">
        <v>613</v>
      </c>
      <c r="E72" s="67"/>
      <c r="F72" s="68"/>
      <c r="G72" s="69">
        <v>4.0</v>
      </c>
      <c r="H72" s="384" t="s">
        <v>714</v>
      </c>
      <c r="I72" s="434"/>
      <c r="J72" s="55">
        <v>1.0</v>
      </c>
      <c r="K72" s="55">
        <v>2.0</v>
      </c>
      <c r="L72" s="55"/>
      <c r="M72" s="428">
        <v>1.0</v>
      </c>
      <c r="N72" s="55">
        <v>1.0</v>
      </c>
      <c r="O72" s="55">
        <v>3.0</v>
      </c>
      <c r="P72" s="62"/>
      <c r="Q72" s="11"/>
    </row>
    <row r="73">
      <c r="A73" s="11"/>
      <c r="B73" s="355"/>
      <c r="C73" s="591" t="s">
        <v>778</v>
      </c>
      <c r="D73" s="555" t="s">
        <v>757</v>
      </c>
      <c r="E73" s="556"/>
      <c r="F73" s="557"/>
      <c r="G73" s="558">
        <v>6.0</v>
      </c>
      <c r="H73" s="384" t="s">
        <v>714</v>
      </c>
      <c r="I73" s="434"/>
      <c r="J73" s="55">
        <v>1.0</v>
      </c>
      <c r="K73" s="55">
        <v>1.0</v>
      </c>
      <c r="L73" s="55"/>
      <c r="M73" s="428">
        <v>1.0</v>
      </c>
      <c r="N73" s="55">
        <v>1.0</v>
      </c>
      <c r="O73" s="55">
        <v>1.0</v>
      </c>
      <c r="P73" s="62"/>
      <c r="Q73" s="11"/>
    </row>
    <row r="74">
      <c r="A74" s="11"/>
      <c r="B74" s="634"/>
      <c r="C74" s="579" t="s">
        <v>779</v>
      </c>
      <c r="D74" s="541" t="s">
        <v>757</v>
      </c>
      <c r="E74" s="67"/>
      <c r="F74" s="68"/>
      <c r="G74" s="69">
        <v>3.0</v>
      </c>
      <c r="H74" s="384" t="s">
        <v>714</v>
      </c>
      <c r="I74" s="434"/>
      <c r="J74" s="55">
        <v>2.0</v>
      </c>
      <c r="K74" s="55">
        <v>2.0</v>
      </c>
      <c r="L74" s="55"/>
      <c r="M74" s="428">
        <v>3.0</v>
      </c>
      <c r="N74" s="55">
        <v>2.0</v>
      </c>
      <c r="O74" s="62">
        <v>2.0</v>
      </c>
      <c r="P74" s="62"/>
      <c r="Q74" s="11"/>
    </row>
    <row r="75">
      <c r="A75" s="11"/>
      <c r="B75" s="355"/>
      <c r="C75" s="587" t="s">
        <v>780</v>
      </c>
      <c r="D75" s="555"/>
      <c r="E75" s="556">
        <v>3.0</v>
      </c>
      <c r="F75" s="557">
        <v>4.0</v>
      </c>
      <c r="G75" s="558">
        <v>3.0</v>
      </c>
      <c r="H75" s="384" t="s">
        <v>714</v>
      </c>
      <c r="I75" s="434"/>
      <c r="J75" s="55">
        <v>1.0</v>
      </c>
      <c r="K75" s="55">
        <v>1.0</v>
      </c>
      <c r="L75" s="55"/>
      <c r="M75" s="428">
        <v>2.0</v>
      </c>
      <c r="N75" s="55">
        <v>3.0</v>
      </c>
      <c r="O75" s="428">
        <v>2.0</v>
      </c>
      <c r="P75" s="62"/>
      <c r="Q75" s="11"/>
    </row>
    <row r="76">
      <c r="A76" s="11"/>
      <c r="B76" s="635"/>
      <c r="C76" s="579" t="s">
        <v>781</v>
      </c>
      <c r="D76" s="541" t="s">
        <v>761</v>
      </c>
      <c r="E76" s="67"/>
      <c r="F76" s="68"/>
      <c r="G76" s="69">
        <v>8.0</v>
      </c>
      <c r="H76" s="384" t="s">
        <v>714</v>
      </c>
      <c r="I76" s="434"/>
      <c r="J76" s="55">
        <v>1.0</v>
      </c>
      <c r="K76" s="55">
        <v>2.0</v>
      </c>
      <c r="L76" s="55"/>
      <c r="M76" s="428">
        <v>1.0</v>
      </c>
      <c r="N76" s="55">
        <v>2.0</v>
      </c>
      <c r="O76" s="62">
        <v>3.0</v>
      </c>
      <c r="P76" s="62"/>
      <c r="Q76" s="11"/>
    </row>
    <row r="77">
      <c r="A77" s="11"/>
      <c r="B77" s="355"/>
      <c r="C77" s="588" t="s">
        <v>782</v>
      </c>
      <c r="D77" s="550" t="s">
        <v>455</v>
      </c>
      <c r="E77" s="231">
        <v>6.0</v>
      </c>
      <c r="F77" s="232">
        <v>6.0</v>
      </c>
      <c r="G77" s="208">
        <v>7.0</v>
      </c>
      <c r="H77" s="384" t="s">
        <v>714</v>
      </c>
      <c r="I77" s="441"/>
      <c r="J77" s="442">
        <v>3.0</v>
      </c>
      <c r="K77" s="442">
        <v>3.0</v>
      </c>
      <c r="L77" s="442"/>
      <c r="M77" s="589">
        <v>2.0</v>
      </c>
      <c r="N77" s="442">
        <v>4.0</v>
      </c>
      <c r="O77" s="62">
        <v>3.0</v>
      </c>
      <c r="P77" s="444"/>
      <c r="Q77" s="11"/>
    </row>
    <row r="78">
      <c r="A78" s="11"/>
      <c r="B78" s="605"/>
      <c r="C78" s="195" t="s">
        <v>123</v>
      </c>
      <c r="D78" s="125"/>
      <c r="E78" s="125"/>
      <c r="F78" s="125"/>
      <c r="G78" s="125"/>
      <c r="H78" s="384"/>
      <c r="I78" s="127"/>
      <c r="J78" s="128"/>
      <c r="K78" s="128"/>
      <c r="L78" s="128"/>
      <c r="M78" s="128"/>
      <c r="N78" s="128"/>
      <c r="O78" s="130"/>
      <c r="P78" s="445"/>
      <c r="Q78" s="11"/>
    </row>
    <row r="79">
      <c r="A79" s="11"/>
      <c r="B79" s="636"/>
      <c r="C79" s="136"/>
      <c r="D79" s="525"/>
      <c r="E79" s="85"/>
      <c r="F79" s="85"/>
      <c r="G79" s="86"/>
      <c r="H79" s="384"/>
      <c r="I79" s="629" t="s">
        <v>427</v>
      </c>
      <c r="J79" s="140" t="s">
        <v>208</v>
      </c>
      <c r="K79" s="140" t="s">
        <v>426</v>
      </c>
      <c r="L79" s="140" t="s">
        <v>2</v>
      </c>
      <c r="M79" s="140" t="s">
        <v>1</v>
      </c>
      <c r="N79" s="140" t="s">
        <v>4</v>
      </c>
      <c r="O79" s="494" t="s">
        <v>3</v>
      </c>
      <c r="P79" s="630" t="s">
        <v>210</v>
      </c>
      <c r="Q79" s="11"/>
    </row>
    <row r="80">
      <c r="A80" s="11"/>
      <c r="B80" s="631"/>
      <c r="C80" s="580" t="s">
        <v>783</v>
      </c>
      <c r="D80" s="541" t="s">
        <v>71</v>
      </c>
      <c r="E80" s="67"/>
      <c r="F80" s="68"/>
      <c r="G80" s="69">
        <v>2.0</v>
      </c>
      <c r="H80" s="384" t="s">
        <v>714</v>
      </c>
      <c r="I80" s="432"/>
      <c r="J80" s="54">
        <v>3.0</v>
      </c>
      <c r="K80" s="54">
        <v>2.0</v>
      </c>
      <c r="L80" s="54"/>
      <c r="M80" s="426">
        <v>1.0</v>
      </c>
      <c r="N80" s="54">
        <v>2.0</v>
      </c>
      <c r="O80" s="426">
        <v>3.0</v>
      </c>
      <c r="P80" s="57"/>
      <c r="Q80" s="11"/>
    </row>
    <row r="81">
      <c r="A81" s="11"/>
      <c r="B81" s="353"/>
      <c r="C81" s="580" t="s">
        <v>784</v>
      </c>
      <c r="D81" s="541"/>
      <c r="E81" s="67">
        <v>3.0</v>
      </c>
      <c r="F81" s="68">
        <v>3.0</v>
      </c>
      <c r="G81" s="69">
        <v>3.0</v>
      </c>
      <c r="H81" s="384" t="s">
        <v>714</v>
      </c>
      <c r="I81" s="434"/>
      <c r="J81" s="55">
        <v>2.0</v>
      </c>
      <c r="K81" s="55">
        <v>1.0</v>
      </c>
      <c r="L81" s="55"/>
      <c r="M81" s="428">
        <v>1.0</v>
      </c>
      <c r="N81" s="55">
        <v>1.0</v>
      </c>
      <c r="O81" s="55">
        <v>4.0</v>
      </c>
      <c r="P81" s="57"/>
      <c r="Q81" s="11"/>
    </row>
    <row r="82">
      <c r="A82" s="11"/>
      <c r="B82" s="355"/>
      <c r="C82" s="590" t="s">
        <v>785</v>
      </c>
      <c r="D82" s="565"/>
      <c r="E82" s="201">
        <v>1.0</v>
      </c>
      <c r="F82" s="202">
        <v>5.0</v>
      </c>
      <c r="G82" s="203">
        <v>3.0</v>
      </c>
      <c r="H82" s="384" t="s">
        <v>714</v>
      </c>
      <c r="I82" s="434"/>
      <c r="J82" s="55">
        <v>1.0</v>
      </c>
      <c r="K82" s="55">
        <v>1.0</v>
      </c>
      <c r="L82" s="55">
        <v>3.0</v>
      </c>
      <c r="M82" s="428">
        <v>1.0</v>
      </c>
      <c r="N82" s="55">
        <v>1.0</v>
      </c>
      <c r="O82" s="55">
        <v>1.0</v>
      </c>
      <c r="P82" s="57"/>
      <c r="Q82" s="11"/>
    </row>
    <row r="83">
      <c r="A83" s="11"/>
      <c r="B83" s="637"/>
      <c r="C83" s="580" t="s">
        <v>786</v>
      </c>
      <c r="D83" s="541" t="s">
        <v>490</v>
      </c>
      <c r="E83" s="67"/>
      <c r="F83" s="68"/>
      <c r="G83" s="69">
        <v>3.0</v>
      </c>
      <c r="H83" s="384" t="s">
        <v>714</v>
      </c>
      <c r="I83" s="434"/>
      <c r="J83" s="55">
        <v>4.0</v>
      </c>
      <c r="K83" s="55">
        <v>2.0</v>
      </c>
      <c r="L83" s="55"/>
      <c r="M83" s="428">
        <v>2.0</v>
      </c>
      <c r="N83" s="55">
        <v>2.0</v>
      </c>
      <c r="O83" s="55">
        <v>2.0</v>
      </c>
      <c r="P83" s="57"/>
      <c r="Q83" s="11"/>
    </row>
    <row r="84">
      <c r="A84" s="11"/>
      <c r="B84" s="353"/>
      <c r="C84" s="580" t="s">
        <v>787</v>
      </c>
      <c r="D84" s="541" t="s">
        <v>490</v>
      </c>
      <c r="E84" s="67"/>
      <c r="F84" s="68"/>
      <c r="G84" s="69">
        <v>5.0</v>
      </c>
      <c r="H84" s="384" t="s">
        <v>714</v>
      </c>
      <c r="I84" s="434"/>
      <c r="J84" s="55">
        <v>3.0</v>
      </c>
      <c r="K84" s="55">
        <v>1.0</v>
      </c>
      <c r="L84" s="55"/>
      <c r="M84" s="428">
        <v>1.0</v>
      </c>
      <c r="N84" s="55">
        <v>1.0</v>
      </c>
      <c r="O84" s="426">
        <v>2.0</v>
      </c>
      <c r="P84" s="57"/>
      <c r="Q84" s="11"/>
    </row>
    <row r="85">
      <c r="A85" s="11"/>
      <c r="B85" s="355"/>
      <c r="C85" s="591" t="s">
        <v>788</v>
      </c>
      <c r="D85" s="555"/>
      <c r="E85" s="556">
        <v>4.0</v>
      </c>
      <c r="F85" s="557">
        <v>5.0</v>
      </c>
      <c r="G85" s="558">
        <v>5.0</v>
      </c>
      <c r="H85" s="384" t="s">
        <v>714</v>
      </c>
      <c r="I85" s="434"/>
      <c r="J85" s="55">
        <v>2.0</v>
      </c>
      <c r="K85" s="55">
        <v>1.0</v>
      </c>
      <c r="L85" s="55"/>
      <c r="M85" s="428">
        <v>1.0</v>
      </c>
      <c r="N85" s="55">
        <v>2.0</v>
      </c>
      <c r="O85" s="55">
        <v>3.0</v>
      </c>
      <c r="P85" s="57"/>
      <c r="Q85" s="11"/>
    </row>
    <row r="86">
      <c r="A86" s="11"/>
      <c r="B86" s="634"/>
      <c r="C86" s="579" t="s">
        <v>789</v>
      </c>
      <c r="D86" s="541" t="s">
        <v>77</v>
      </c>
      <c r="E86" s="67">
        <v>2.0</v>
      </c>
      <c r="F86" s="68">
        <v>2.0</v>
      </c>
      <c r="G86" s="69">
        <v>2.0</v>
      </c>
      <c r="H86" s="384" t="s">
        <v>714</v>
      </c>
      <c r="I86" s="434"/>
      <c r="J86" s="55">
        <v>1.0</v>
      </c>
      <c r="K86" s="55">
        <v>1.0</v>
      </c>
      <c r="L86" s="55"/>
      <c r="M86" s="428">
        <v>1.0</v>
      </c>
      <c r="N86" s="55">
        <v>1.0</v>
      </c>
      <c r="O86" s="428">
        <v>1.0</v>
      </c>
      <c r="P86" s="57"/>
      <c r="Q86" s="11"/>
    </row>
    <row r="87">
      <c r="A87" s="11"/>
      <c r="B87" s="355"/>
      <c r="C87" s="587" t="s">
        <v>790</v>
      </c>
      <c r="D87" s="555"/>
      <c r="E87" s="556">
        <v>2.0</v>
      </c>
      <c r="F87" s="557">
        <v>2.0</v>
      </c>
      <c r="G87" s="558">
        <v>2.0</v>
      </c>
      <c r="H87" s="384" t="s">
        <v>714</v>
      </c>
      <c r="I87" s="434"/>
      <c r="J87" s="55">
        <v>4.0</v>
      </c>
      <c r="K87" s="55">
        <v>4.0</v>
      </c>
      <c r="L87" s="55"/>
      <c r="M87" s="428">
        <v>3.0</v>
      </c>
      <c r="N87" s="55">
        <v>2.0</v>
      </c>
      <c r="O87" s="426">
        <v>3.0</v>
      </c>
      <c r="P87" s="57"/>
      <c r="Q87" s="11"/>
    </row>
    <row r="88">
      <c r="A88" s="11"/>
      <c r="B88" s="635"/>
      <c r="C88" s="579" t="s">
        <v>791</v>
      </c>
      <c r="D88" s="541" t="s">
        <v>761</v>
      </c>
      <c r="E88" s="67"/>
      <c r="F88" s="68"/>
      <c r="G88" s="69">
        <v>7.0</v>
      </c>
      <c r="H88" s="384" t="s">
        <v>714</v>
      </c>
      <c r="I88" s="434"/>
      <c r="J88" s="55">
        <v>5.0</v>
      </c>
      <c r="K88" s="55">
        <v>4.0</v>
      </c>
      <c r="L88" s="55"/>
      <c r="M88" s="428">
        <v>5.0</v>
      </c>
      <c r="N88" s="55">
        <v>5.0</v>
      </c>
      <c r="O88" s="428">
        <v>4.0</v>
      </c>
      <c r="P88" s="57"/>
      <c r="Q88" s="11"/>
    </row>
    <row r="89">
      <c r="A89" s="11"/>
      <c r="B89" s="355"/>
      <c r="C89" s="588" t="s">
        <v>792</v>
      </c>
      <c r="D89" s="550"/>
      <c r="E89" s="231">
        <v>5.0</v>
      </c>
      <c r="F89" s="232">
        <v>5.0</v>
      </c>
      <c r="G89" s="208">
        <v>5.0</v>
      </c>
      <c r="H89" s="384" t="s">
        <v>714</v>
      </c>
      <c r="I89" s="441"/>
      <c r="J89" s="442">
        <v>3.0</v>
      </c>
      <c r="K89" s="442">
        <v>1.0</v>
      </c>
      <c r="L89" s="442"/>
      <c r="M89" s="589">
        <v>1.0</v>
      </c>
      <c r="N89" s="442">
        <v>1.0</v>
      </c>
      <c r="O89" s="426">
        <v>3.0</v>
      </c>
      <c r="P89" s="57"/>
      <c r="Q89" s="11"/>
    </row>
    <row r="90">
      <c r="A90" s="11"/>
      <c r="B90" s="605"/>
      <c r="C90" s="195" t="s">
        <v>135</v>
      </c>
      <c r="D90" s="125"/>
      <c r="E90" s="125"/>
      <c r="F90" s="125"/>
      <c r="G90" s="125"/>
      <c r="H90" s="384"/>
      <c r="I90" s="127"/>
      <c r="J90" s="128"/>
      <c r="K90" s="128"/>
      <c r="L90" s="128"/>
      <c r="M90" s="128"/>
      <c r="N90" s="128"/>
      <c r="O90" s="130"/>
      <c r="P90" s="445"/>
      <c r="Q90" s="11"/>
    </row>
    <row r="91">
      <c r="A91" s="11"/>
      <c r="B91" s="636"/>
      <c r="C91" s="136"/>
      <c r="D91" s="525"/>
      <c r="E91" s="85"/>
      <c r="F91" s="85"/>
      <c r="G91" s="86"/>
      <c r="H91" s="384"/>
      <c r="I91" s="638" t="s">
        <v>427</v>
      </c>
      <c r="J91" s="140" t="s">
        <v>208</v>
      </c>
      <c r="K91" s="140" t="s">
        <v>426</v>
      </c>
      <c r="L91" s="140" t="s">
        <v>2</v>
      </c>
      <c r="M91" s="140" t="s">
        <v>1</v>
      </c>
      <c r="N91" s="140" t="s">
        <v>4</v>
      </c>
      <c r="O91" s="494" t="s">
        <v>3</v>
      </c>
      <c r="P91" s="630" t="s">
        <v>210</v>
      </c>
      <c r="Q91" s="11"/>
    </row>
    <row r="92">
      <c r="A92" s="11"/>
      <c r="B92" s="631"/>
      <c r="C92" s="580" t="s">
        <v>793</v>
      </c>
      <c r="D92" s="541" t="s">
        <v>22</v>
      </c>
      <c r="E92" s="67">
        <v>2.0</v>
      </c>
      <c r="F92" s="68">
        <v>3.0</v>
      </c>
      <c r="G92" s="69">
        <v>2.0</v>
      </c>
      <c r="H92" s="384" t="s">
        <v>714</v>
      </c>
      <c r="I92" s="457"/>
      <c r="J92" s="56">
        <v>4.0</v>
      </c>
      <c r="K92" s="56">
        <v>4.0</v>
      </c>
      <c r="L92" s="56"/>
      <c r="M92" s="426">
        <v>4.0</v>
      </c>
      <c r="N92" s="56">
        <v>3.0</v>
      </c>
      <c r="O92" s="55">
        <v>4.0</v>
      </c>
      <c r="P92" s="458"/>
      <c r="Q92" s="11"/>
    </row>
    <row r="93">
      <c r="A93" s="11"/>
      <c r="B93" s="353"/>
      <c r="C93" s="580" t="s">
        <v>794</v>
      </c>
      <c r="D93" s="541" t="s">
        <v>71</v>
      </c>
      <c r="E93" s="67"/>
      <c r="F93" s="68"/>
      <c r="G93" s="69">
        <v>3.0</v>
      </c>
      <c r="H93" s="384" t="s">
        <v>714</v>
      </c>
      <c r="I93" s="434"/>
      <c r="J93" s="55">
        <v>1.0</v>
      </c>
      <c r="K93" s="55">
        <v>1.0</v>
      </c>
      <c r="L93" s="55"/>
      <c r="M93" s="428">
        <v>1.0</v>
      </c>
      <c r="N93" s="55">
        <v>1.0</v>
      </c>
      <c r="O93" s="55">
        <v>1.0</v>
      </c>
      <c r="P93" s="62"/>
      <c r="Q93" s="11"/>
    </row>
    <row r="94">
      <c r="A94" s="11"/>
      <c r="B94" s="632"/>
      <c r="C94" s="591" t="s">
        <v>795</v>
      </c>
      <c r="D94" s="555" t="s">
        <v>22</v>
      </c>
      <c r="E94" s="556">
        <v>4.0</v>
      </c>
      <c r="F94" s="557">
        <v>4.0</v>
      </c>
      <c r="G94" s="558">
        <v>4.0</v>
      </c>
      <c r="H94" s="384" t="s">
        <v>714</v>
      </c>
      <c r="I94" s="434"/>
      <c r="J94" s="55">
        <v>3.0</v>
      </c>
      <c r="K94" s="55">
        <v>2.0</v>
      </c>
      <c r="L94" s="55"/>
      <c r="M94" s="428">
        <v>3.0</v>
      </c>
      <c r="N94" s="55">
        <v>2.0</v>
      </c>
      <c r="O94" s="55">
        <v>2.0</v>
      </c>
      <c r="P94" s="62"/>
      <c r="Q94" s="11"/>
    </row>
    <row r="95">
      <c r="A95" s="11"/>
      <c r="B95" s="639"/>
      <c r="C95" s="580" t="s">
        <v>796</v>
      </c>
      <c r="D95" s="541" t="s">
        <v>71</v>
      </c>
      <c r="E95" s="67"/>
      <c r="F95" s="68"/>
      <c r="G95" s="69">
        <v>3.0</v>
      </c>
      <c r="H95" s="384" t="s">
        <v>714</v>
      </c>
      <c r="I95" s="434"/>
      <c r="J95" s="55">
        <v>1.0</v>
      </c>
      <c r="K95" s="55">
        <v>1.0</v>
      </c>
      <c r="L95" s="55"/>
      <c r="M95" s="428">
        <v>1.0</v>
      </c>
      <c r="N95" s="55">
        <v>1.0</v>
      </c>
      <c r="O95" s="55">
        <v>1.0</v>
      </c>
      <c r="P95" s="62"/>
      <c r="Q95" s="11"/>
    </row>
    <row r="96">
      <c r="A96" s="11"/>
      <c r="B96" s="353"/>
      <c r="C96" s="580" t="s">
        <v>797</v>
      </c>
      <c r="D96" s="541"/>
      <c r="E96" s="67">
        <v>3.0</v>
      </c>
      <c r="F96" s="68">
        <v>4.0</v>
      </c>
      <c r="G96" s="69">
        <v>3.0</v>
      </c>
      <c r="H96" s="384" t="s">
        <v>714</v>
      </c>
      <c r="I96" s="434"/>
      <c r="J96" s="55">
        <v>2.0</v>
      </c>
      <c r="K96" s="55">
        <v>3.0</v>
      </c>
      <c r="L96" s="55"/>
      <c r="M96" s="428">
        <v>3.0</v>
      </c>
      <c r="N96" s="55">
        <v>3.0</v>
      </c>
      <c r="O96" s="55">
        <v>3.0</v>
      </c>
      <c r="P96" s="62"/>
      <c r="Q96" s="11"/>
    </row>
    <row r="97">
      <c r="A97" s="11"/>
      <c r="B97" s="355"/>
      <c r="C97" s="591" t="s">
        <v>798</v>
      </c>
      <c r="D97" s="555"/>
      <c r="E97" s="556">
        <v>2.0</v>
      </c>
      <c r="F97" s="557">
        <v>4.0</v>
      </c>
      <c r="G97" s="558">
        <v>3.0</v>
      </c>
      <c r="H97" s="384" t="s">
        <v>714</v>
      </c>
      <c r="I97" s="434"/>
      <c r="J97" s="55">
        <v>2.0</v>
      </c>
      <c r="K97" s="55">
        <v>2.0</v>
      </c>
      <c r="L97" s="55"/>
      <c r="M97" s="428">
        <v>2.0</v>
      </c>
      <c r="N97" s="55">
        <v>3.0</v>
      </c>
      <c r="O97" s="55">
        <v>3.0</v>
      </c>
      <c r="P97" s="62"/>
      <c r="Q97" s="11"/>
    </row>
    <row r="98">
      <c r="A98" s="11"/>
      <c r="B98" s="634"/>
      <c r="C98" s="579" t="s">
        <v>799</v>
      </c>
      <c r="D98" s="541" t="s">
        <v>71</v>
      </c>
      <c r="E98" s="67"/>
      <c r="F98" s="68"/>
      <c r="G98" s="69">
        <v>2.0</v>
      </c>
      <c r="H98" s="384" t="s">
        <v>714</v>
      </c>
      <c r="I98" s="434"/>
      <c r="J98" s="55">
        <v>1.0</v>
      </c>
      <c r="K98" s="55">
        <v>1.0</v>
      </c>
      <c r="L98" s="55"/>
      <c r="M98" s="428">
        <v>3.0</v>
      </c>
      <c r="N98" s="55">
        <v>4.0</v>
      </c>
      <c r="O98" s="55">
        <v>3.0</v>
      </c>
      <c r="P98" s="62"/>
      <c r="Q98" s="11"/>
    </row>
    <row r="99">
      <c r="A99" s="11"/>
      <c r="B99" s="355"/>
      <c r="C99" s="587" t="s">
        <v>800</v>
      </c>
      <c r="D99" s="555" t="s">
        <v>22</v>
      </c>
      <c r="E99" s="556">
        <v>4.0</v>
      </c>
      <c r="F99" s="557">
        <v>5.0</v>
      </c>
      <c r="G99" s="558">
        <v>7.0</v>
      </c>
      <c r="H99" s="384" t="s">
        <v>714</v>
      </c>
      <c r="I99" s="434"/>
      <c r="J99" s="55">
        <v>5.0</v>
      </c>
      <c r="K99" s="55">
        <v>5.0</v>
      </c>
      <c r="L99" s="55"/>
      <c r="M99" s="428">
        <v>4.0</v>
      </c>
      <c r="N99" s="55">
        <v>3.0</v>
      </c>
      <c r="O99" s="55">
        <v>4.0</v>
      </c>
      <c r="P99" s="62"/>
      <c r="Q99" s="11"/>
    </row>
    <row r="100">
      <c r="A100" s="11"/>
      <c r="B100" s="635"/>
      <c r="C100" s="579" t="s">
        <v>801</v>
      </c>
      <c r="D100" s="541" t="s">
        <v>761</v>
      </c>
      <c r="E100" s="67"/>
      <c r="F100" s="68"/>
      <c r="G100" s="69">
        <v>5.0</v>
      </c>
      <c r="H100" s="384" t="s">
        <v>714</v>
      </c>
      <c r="I100" s="434"/>
      <c r="J100" s="55">
        <v>4.0</v>
      </c>
      <c r="K100" s="55">
        <v>4.0</v>
      </c>
      <c r="L100" s="55"/>
      <c r="M100" s="428">
        <v>4.0</v>
      </c>
      <c r="N100" s="55">
        <v>4.0</v>
      </c>
      <c r="O100" s="55">
        <v>4.0</v>
      </c>
      <c r="P100" s="62"/>
      <c r="Q100" s="11"/>
    </row>
    <row r="101">
      <c r="A101" s="11"/>
      <c r="B101" s="355"/>
      <c r="C101" s="588" t="s">
        <v>802</v>
      </c>
      <c r="D101" s="550"/>
      <c r="E101" s="231">
        <v>2.0</v>
      </c>
      <c r="F101" s="232">
        <v>5.0</v>
      </c>
      <c r="G101" s="208">
        <v>4.0</v>
      </c>
      <c r="H101" s="384" t="s">
        <v>714</v>
      </c>
      <c r="I101" s="441"/>
      <c r="J101" s="442">
        <v>4.0</v>
      </c>
      <c r="K101" s="442">
        <v>4.0</v>
      </c>
      <c r="L101" s="442"/>
      <c r="M101" s="589">
        <v>5.0</v>
      </c>
      <c r="N101" s="442">
        <v>4.0</v>
      </c>
      <c r="O101" s="55">
        <v>4.0</v>
      </c>
      <c r="P101" s="444"/>
      <c r="Q101" s="11"/>
    </row>
    <row r="102">
      <c r="A102" s="11"/>
      <c r="B102" s="605"/>
      <c r="C102" s="195" t="s">
        <v>147</v>
      </c>
      <c r="D102" s="125"/>
      <c r="E102" s="125"/>
      <c r="F102" s="125"/>
      <c r="G102" s="125"/>
      <c r="H102" s="384"/>
      <c r="I102" s="127"/>
      <c r="J102" s="128"/>
      <c r="K102" s="128"/>
      <c r="L102" s="128"/>
      <c r="M102" s="128"/>
      <c r="N102" s="128"/>
      <c r="O102" s="130"/>
      <c r="P102" s="445"/>
      <c r="Q102" s="11"/>
    </row>
    <row r="103">
      <c r="A103" s="11"/>
      <c r="B103" s="636"/>
      <c r="C103" s="136"/>
      <c r="D103" s="525"/>
      <c r="E103" s="85"/>
      <c r="F103" s="85"/>
      <c r="G103" s="86"/>
      <c r="H103" s="384"/>
      <c r="I103" s="629" t="s">
        <v>427</v>
      </c>
      <c r="J103" s="140" t="s">
        <v>208</v>
      </c>
      <c r="K103" s="140" t="s">
        <v>426</v>
      </c>
      <c r="L103" s="140" t="s">
        <v>2</v>
      </c>
      <c r="M103" s="140" t="s">
        <v>1</v>
      </c>
      <c r="N103" s="140" t="s">
        <v>4</v>
      </c>
      <c r="O103" s="494" t="s">
        <v>3</v>
      </c>
      <c r="P103" s="630" t="s">
        <v>210</v>
      </c>
      <c r="Q103" s="11"/>
    </row>
    <row r="104">
      <c r="A104" s="11"/>
      <c r="B104" s="631"/>
      <c r="C104" s="580" t="s">
        <v>803</v>
      </c>
      <c r="D104" s="541" t="s">
        <v>77</v>
      </c>
      <c r="E104" s="67">
        <v>2.0</v>
      </c>
      <c r="F104" s="68">
        <v>2.0</v>
      </c>
      <c r="G104" s="69">
        <v>2.0</v>
      </c>
      <c r="H104" s="384" t="s">
        <v>714</v>
      </c>
      <c r="I104" s="432"/>
      <c r="J104" s="54">
        <v>3.0</v>
      </c>
      <c r="K104" s="54">
        <v>2.0</v>
      </c>
      <c r="L104" s="54"/>
      <c r="M104" s="426">
        <v>3.0</v>
      </c>
      <c r="N104" s="54">
        <v>1.0</v>
      </c>
      <c r="O104" s="156">
        <v>1.0</v>
      </c>
      <c r="P104" s="57"/>
      <c r="Q104" s="11"/>
    </row>
    <row r="105">
      <c r="A105" s="11"/>
      <c r="B105" s="353"/>
      <c r="C105" s="580" t="s">
        <v>804</v>
      </c>
      <c r="D105" s="541"/>
      <c r="E105" s="67">
        <v>4.0</v>
      </c>
      <c r="F105" s="68">
        <v>3.0</v>
      </c>
      <c r="G105" s="69">
        <v>3.0</v>
      </c>
      <c r="H105" s="384" t="s">
        <v>714</v>
      </c>
      <c r="I105" s="434"/>
      <c r="J105" s="55">
        <v>1.0</v>
      </c>
      <c r="K105" s="55">
        <v>2.0</v>
      </c>
      <c r="L105" s="55"/>
      <c r="M105" s="428">
        <v>2.0</v>
      </c>
      <c r="N105" s="55">
        <v>3.0</v>
      </c>
      <c r="O105" s="615">
        <v>2.0</v>
      </c>
      <c r="P105" s="62"/>
      <c r="Q105" s="11"/>
    </row>
    <row r="106">
      <c r="A106" s="11"/>
      <c r="B106" s="355"/>
      <c r="C106" s="590" t="s">
        <v>805</v>
      </c>
      <c r="D106" s="565" t="s">
        <v>22</v>
      </c>
      <c r="E106" s="201">
        <v>5.0</v>
      </c>
      <c r="F106" s="202">
        <v>6.0</v>
      </c>
      <c r="G106" s="203">
        <v>7.0</v>
      </c>
      <c r="H106" s="384" t="s">
        <v>714</v>
      </c>
      <c r="I106" s="434"/>
      <c r="J106" s="55">
        <v>1.0</v>
      </c>
      <c r="K106" s="55">
        <v>1.0</v>
      </c>
      <c r="L106" s="55"/>
      <c r="M106" s="428">
        <v>1.0</v>
      </c>
      <c r="N106" s="55">
        <v>1.0</v>
      </c>
      <c r="O106" s="156">
        <v>1.0</v>
      </c>
      <c r="P106" s="62"/>
      <c r="Q106" s="11"/>
    </row>
    <row r="107">
      <c r="A107" s="11"/>
      <c r="B107" s="637"/>
      <c r="C107" s="580" t="s">
        <v>806</v>
      </c>
      <c r="D107" s="541" t="s">
        <v>71</v>
      </c>
      <c r="E107" s="67"/>
      <c r="F107" s="68"/>
      <c r="G107" s="69">
        <v>2.0</v>
      </c>
      <c r="H107" s="384" t="s">
        <v>714</v>
      </c>
      <c r="I107" s="434"/>
      <c r="J107" s="55">
        <v>1.0</v>
      </c>
      <c r="K107" s="55">
        <v>2.0</v>
      </c>
      <c r="L107" s="55"/>
      <c r="M107" s="428">
        <v>2.0</v>
      </c>
      <c r="N107" s="55">
        <v>1.0</v>
      </c>
      <c r="O107" s="615">
        <v>3.0</v>
      </c>
      <c r="P107" s="62"/>
      <c r="Q107" s="11"/>
    </row>
    <row r="108">
      <c r="A108" s="11"/>
      <c r="B108" s="353"/>
      <c r="C108" s="580" t="s">
        <v>807</v>
      </c>
      <c r="D108" s="541" t="s">
        <v>118</v>
      </c>
      <c r="E108" s="67"/>
      <c r="F108" s="68"/>
      <c r="G108" s="69">
        <v>3.0</v>
      </c>
      <c r="H108" s="384" t="s">
        <v>714</v>
      </c>
      <c r="I108" s="434"/>
      <c r="J108" s="55">
        <v>3.0</v>
      </c>
      <c r="K108" s="55">
        <v>2.0</v>
      </c>
      <c r="L108" s="55"/>
      <c r="M108" s="428">
        <v>2.0</v>
      </c>
      <c r="N108" s="55">
        <v>2.0</v>
      </c>
      <c r="O108" s="615">
        <v>2.0</v>
      </c>
      <c r="P108" s="62"/>
      <c r="Q108" s="11"/>
    </row>
    <row r="109">
      <c r="A109" s="11"/>
      <c r="B109" s="355"/>
      <c r="C109" s="591" t="s">
        <v>808</v>
      </c>
      <c r="D109" s="555" t="s">
        <v>22</v>
      </c>
      <c r="E109" s="556">
        <v>4.0</v>
      </c>
      <c r="F109" s="557">
        <v>3.0</v>
      </c>
      <c r="G109" s="558">
        <v>4.0</v>
      </c>
      <c r="H109" s="384" t="s">
        <v>714</v>
      </c>
      <c r="I109" s="434"/>
      <c r="J109" s="55">
        <v>4.0</v>
      </c>
      <c r="K109" s="55">
        <v>2.0</v>
      </c>
      <c r="L109" s="55"/>
      <c r="M109" s="428">
        <v>3.0</v>
      </c>
      <c r="N109" s="55">
        <v>2.0</v>
      </c>
      <c r="O109" s="463">
        <v>1.0</v>
      </c>
      <c r="P109" s="62"/>
      <c r="Q109" s="11"/>
    </row>
    <row r="110">
      <c r="A110" s="11"/>
      <c r="B110" s="634"/>
      <c r="C110" s="579" t="s">
        <v>809</v>
      </c>
      <c r="D110" s="541" t="s">
        <v>810</v>
      </c>
      <c r="E110" s="67"/>
      <c r="F110" s="68"/>
      <c r="G110" s="69">
        <v>2.0</v>
      </c>
      <c r="H110" s="384" t="s">
        <v>714</v>
      </c>
      <c r="I110" s="434"/>
      <c r="J110" s="55">
        <v>2.0</v>
      </c>
      <c r="K110" s="55">
        <v>2.0</v>
      </c>
      <c r="L110" s="55"/>
      <c r="M110" s="428">
        <v>2.0</v>
      </c>
      <c r="N110" s="55">
        <v>3.0</v>
      </c>
      <c r="O110" s="463">
        <v>2.0</v>
      </c>
      <c r="P110" s="62"/>
      <c r="Q110" s="11"/>
    </row>
    <row r="111">
      <c r="A111" s="11"/>
      <c r="B111" s="355"/>
      <c r="C111" s="587" t="s">
        <v>811</v>
      </c>
      <c r="D111" s="555" t="s">
        <v>71</v>
      </c>
      <c r="E111" s="556"/>
      <c r="F111" s="557"/>
      <c r="G111" s="558">
        <v>4.0</v>
      </c>
      <c r="H111" s="384" t="s">
        <v>714</v>
      </c>
      <c r="I111" s="434"/>
      <c r="J111" s="55">
        <v>2.0</v>
      </c>
      <c r="K111" s="55">
        <v>2.0</v>
      </c>
      <c r="L111" s="55"/>
      <c r="M111" s="428">
        <v>2.0</v>
      </c>
      <c r="N111" s="55">
        <v>3.0</v>
      </c>
      <c r="O111" s="156">
        <v>2.0</v>
      </c>
      <c r="P111" s="62"/>
      <c r="Q111" s="11"/>
    </row>
    <row r="112">
      <c r="A112" s="11"/>
      <c r="B112" s="635"/>
      <c r="C112" s="579" t="s">
        <v>812</v>
      </c>
      <c r="D112" s="541" t="s">
        <v>761</v>
      </c>
      <c r="E112" s="67"/>
      <c r="F112" s="68"/>
      <c r="G112" s="69">
        <v>6.0</v>
      </c>
      <c r="H112" s="384" t="s">
        <v>714</v>
      </c>
      <c r="I112" s="434"/>
      <c r="J112" s="55">
        <v>2.0</v>
      </c>
      <c r="K112" s="55">
        <v>2.0</v>
      </c>
      <c r="L112" s="55"/>
      <c r="M112" s="428">
        <v>2.0</v>
      </c>
      <c r="N112" s="55">
        <v>3.0</v>
      </c>
      <c r="O112" s="615">
        <v>3.0</v>
      </c>
      <c r="P112" s="62"/>
      <c r="Q112" s="11"/>
    </row>
    <row r="113">
      <c r="A113" s="11"/>
      <c r="B113" s="355"/>
      <c r="C113" s="588" t="s">
        <v>813</v>
      </c>
      <c r="D113" s="550"/>
      <c r="E113" s="231">
        <v>5.0</v>
      </c>
      <c r="F113" s="232">
        <v>4.0</v>
      </c>
      <c r="G113" s="208">
        <v>9.0</v>
      </c>
      <c r="H113" s="384" t="s">
        <v>714</v>
      </c>
      <c r="I113" s="441"/>
      <c r="J113" s="442">
        <v>1.0</v>
      </c>
      <c r="K113" s="442">
        <v>1.0</v>
      </c>
      <c r="L113" s="442"/>
      <c r="M113" s="589">
        <v>1.0</v>
      </c>
      <c r="N113" s="442">
        <v>1.0</v>
      </c>
      <c r="O113" s="156">
        <v>1.0</v>
      </c>
      <c r="P113" s="444"/>
      <c r="Q113" s="11"/>
    </row>
    <row r="114">
      <c r="A114" s="11"/>
      <c r="B114" s="605"/>
      <c r="C114" s="195" t="s">
        <v>158</v>
      </c>
      <c r="D114" s="125"/>
      <c r="E114" s="125"/>
      <c r="F114" s="125"/>
      <c r="G114" s="125"/>
      <c r="H114" s="384"/>
      <c r="I114" s="127"/>
      <c r="J114" s="128"/>
      <c r="K114" s="128"/>
      <c r="L114" s="128"/>
      <c r="M114" s="128"/>
      <c r="N114" s="128"/>
      <c r="O114" s="130"/>
      <c r="P114" s="445"/>
      <c r="Q114" s="11"/>
    </row>
    <row r="115">
      <c r="A115" s="11"/>
      <c r="B115" s="636"/>
      <c r="C115" s="136"/>
      <c r="D115" s="525"/>
      <c r="E115" s="85"/>
      <c r="F115" s="85"/>
      <c r="G115" s="86"/>
      <c r="H115" s="384"/>
      <c r="I115" s="638" t="s">
        <v>427</v>
      </c>
      <c r="J115" s="140" t="s">
        <v>208</v>
      </c>
      <c r="K115" s="140" t="s">
        <v>426</v>
      </c>
      <c r="L115" s="140" t="s">
        <v>2</v>
      </c>
      <c r="M115" s="140" t="s">
        <v>1</v>
      </c>
      <c r="N115" s="140" t="s">
        <v>4</v>
      </c>
      <c r="O115" s="494" t="s">
        <v>3</v>
      </c>
      <c r="P115" s="630" t="s">
        <v>210</v>
      </c>
      <c r="Q115" s="11"/>
    </row>
    <row r="116">
      <c r="A116" s="11"/>
      <c r="B116" s="631"/>
      <c r="C116" s="580" t="s">
        <v>814</v>
      </c>
      <c r="D116" s="541" t="s">
        <v>455</v>
      </c>
      <c r="E116" s="67">
        <v>1.0</v>
      </c>
      <c r="F116" s="68">
        <v>4.0</v>
      </c>
      <c r="G116" s="69">
        <v>2.0</v>
      </c>
      <c r="H116" s="384" t="s">
        <v>714</v>
      </c>
      <c r="I116" s="457"/>
      <c r="J116" s="56">
        <v>1.0</v>
      </c>
      <c r="K116" s="56">
        <v>1.0</v>
      </c>
      <c r="L116" s="56"/>
      <c r="M116" s="426">
        <v>1.0</v>
      </c>
      <c r="N116" s="56">
        <v>1.0</v>
      </c>
      <c r="O116" s="428">
        <v>1.0</v>
      </c>
      <c r="P116" s="458"/>
      <c r="Q116" s="11"/>
    </row>
    <row r="117">
      <c r="A117" s="11"/>
      <c r="B117" s="353"/>
      <c r="C117" s="580" t="s">
        <v>815</v>
      </c>
      <c r="D117" s="541" t="s">
        <v>406</v>
      </c>
      <c r="E117" s="67"/>
      <c r="F117" s="68"/>
      <c r="G117" s="69">
        <v>3.0</v>
      </c>
      <c r="H117" s="384" t="s">
        <v>714</v>
      </c>
      <c r="I117" s="434"/>
      <c r="J117" s="55">
        <v>1.0</v>
      </c>
      <c r="K117" s="55">
        <v>1.0</v>
      </c>
      <c r="L117" s="55"/>
      <c r="M117" s="428">
        <v>2.0</v>
      </c>
      <c r="N117" s="55">
        <v>1.0</v>
      </c>
      <c r="O117" s="55">
        <v>1.0</v>
      </c>
      <c r="P117" s="62"/>
      <c r="Q117" s="11"/>
    </row>
    <row r="118">
      <c r="A118" s="11"/>
      <c r="B118" s="632"/>
      <c r="C118" s="591" t="s">
        <v>816</v>
      </c>
      <c r="D118" s="555"/>
      <c r="E118" s="556">
        <v>5.0</v>
      </c>
      <c r="F118" s="557">
        <v>5.0</v>
      </c>
      <c r="G118" s="558">
        <v>5.0</v>
      </c>
      <c r="H118" s="384" t="s">
        <v>714</v>
      </c>
      <c r="I118" s="434"/>
      <c r="J118" s="55">
        <v>3.0</v>
      </c>
      <c r="K118" s="55">
        <v>2.0</v>
      </c>
      <c r="L118" s="55"/>
      <c r="M118" s="428">
        <v>3.0</v>
      </c>
      <c r="N118" s="55">
        <v>4.0</v>
      </c>
      <c r="O118" s="55">
        <v>3.0</v>
      </c>
      <c r="P118" s="62"/>
      <c r="Q118" s="11"/>
    </row>
    <row r="119">
      <c r="A119" s="11"/>
      <c r="B119" s="639"/>
      <c r="C119" s="580" t="s">
        <v>817</v>
      </c>
      <c r="D119" s="541" t="s">
        <v>406</v>
      </c>
      <c r="E119" s="67"/>
      <c r="F119" s="68"/>
      <c r="G119" s="69">
        <v>2.0</v>
      </c>
      <c r="H119" s="384" t="s">
        <v>714</v>
      </c>
      <c r="I119" s="434"/>
      <c r="J119" s="55">
        <v>5.0</v>
      </c>
      <c r="K119" s="55">
        <v>5.0</v>
      </c>
      <c r="L119" s="55"/>
      <c r="M119" s="428">
        <v>1.0</v>
      </c>
      <c r="N119" s="55">
        <v>2.0</v>
      </c>
      <c r="O119" s="55">
        <v>2.0</v>
      </c>
      <c r="P119" s="62"/>
      <c r="Q119" s="11"/>
    </row>
    <row r="120">
      <c r="A120" s="11"/>
      <c r="B120" s="353"/>
      <c r="C120" s="580" t="s">
        <v>818</v>
      </c>
      <c r="D120" s="541"/>
      <c r="E120" s="67"/>
      <c r="F120" s="68"/>
      <c r="G120" s="69">
        <v>3.0</v>
      </c>
      <c r="H120" s="384" t="s">
        <v>714</v>
      </c>
      <c r="I120" s="434"/>
      <c r="J120" s="55">
        <v>1.0</v>
      </c>
      <c r="K120" s="55">
        <v>1.0</v>
      </c>
      <c r="L120" s="55"/>
      <c r="M120" s="428">
        <v>1.0</v>
      </c>
      <c r="N120" s="55">
        <v>1.0</v>
      </c>
      <c r="O120" s="55">
        <v>1.0</v>
      </c>
      <c r="P120" s="62"/>
      <c r="Q120" s="11"/>
    </row>
    <row r="121">
      <c r="A121" s="11"/>
      <c r="B121" s="355"/>
      <c r="C121" s="591" t="s">
        <v>819</v>
      </c>
      <c r="D121" s="555"/>
      <c r="E121" s="556">
        <v>3.0</v>
      </c>
      <c r="F121" s="557">
        <v>7.0</v>
      </c>
      <c r="G121" s="558">
        <v>6.0</v>
      </c>
      <c r="H121" s="384" t="s">
        <v>714</v>
      </c>
      <c r="I121" s="434"/>
      <c r="J121" s="55">
        <v>2.0</v>
      </c>
      <c r="K121" s="55">
        <v>2.0</v>
      </c>
      <c r="L121" s="55"/>
      <c r="M121" s="428">
        <v>2.0</v>
      </c>
      <c r="N121" s="55">
        <v>2.0</v>
      </c>
      <c r="O121" s="55">
        <v>2.0</v>
      </c>
      <c r="P121" s="62"/>
      <c r="Q121" s="11"/>
    </row>
    <row r="122">
      <c r="A122" s="11"/>
      <c r="B122" s="634"/>
      <c r="C122" s="579" t="s">
        <v>820</v>
      </c>
      <c r="D122" s="541" t="s">
        <v>406</v>
      </c>
      <c r="E122" s="67"/>
      <c r="F122" s="68"/>
      <c r="G122" s="69">
        <v>1.0</v>
      </c>
      <c r="H122" s="384" t="s">
        <v>714</v>
      </c>
      <c r="I122" s="434"/>
      <c r="J122" s="55">
        <v>4.0</v>
      </c>
      <c r="K122" s="55">
        <v>2.0</v>
      </c>
      <c r="L122" s="55"/>
      <c r="M122" s="428">
        <v>2.0</v>
      </c>
      <c r="N122" s="55">
        <v>1.0</v>
      </c>
      <c r="O122" s="55">
        <v>2.0</v>
      </c>
      <c r="P122" s="62"/>
      <c r="Q122" s="11"/>
    </row>
    <row r="123">
      <c r="A123" s="11"/>
      <c r="B123" s="355"/>
      <c r="C123" s="587" t="s">
        <v>821</v>
      </c>
      <c r="D123" s="555" t="s">
        <v>503</v>
      </c>
      <c r="E123" s="556"/>
      <c r="F123" s="557"/>
      <c r="G123" s="558">
        <v>1.0</v>
      </c>
      <c r="H123" s="384" t="s">
        <v>714</v>
      </c>
      <c r="I123" s="434"/>
      <c r="J123" s="55">
        <v>3.0</v>
      </c>
      <c r="K123" s="55">
        <v>1.0</v>
      </c>
      <c r="L123" s="55"/>
      <c r="M123" s="428">
        <v>1.0</v>
      </c>
      <c r="N123" s="55">
        <v>1.0</v>
      </c>
      <c r="O123" s="55">
        <v>2.0</v>
      </c>
      <c r="P123" s="62"/>
      <c r="Q123" s="11"/>
    </row>
    <row r="124">
      <c r="A124" s="11"/>
      <c r="B124" s="635"/>
      <c r="C124" s="579" t="s">
        <v>822</v>
      </c>
      <c r="D124" s="541" t="s">
        <v>761</v>
      </c>
      <c r="E124" s="67"/>
      <c r="F124" s="68"/>
      <c r="G124" s="69">
        <v>8.0</v>
      </c>
      <c r="H124" s="384" t="s">
        <v>714</v>
      </c>
      <c r="I124" s="434"/>
      <c r="J124" s="55">
        <v>3.0</v>
      </c>
      <c r="K124" s="55">
        <v>2.0</v>
      </c>
      <c r="L124" s="55"/>
      <c r="M124" s="428">
        <v>3.0</v>
      </c>
      <c r="N124" s="55">
        <v>3.0</v>
      </c>
      <c r="O124" s="55">
        <v>3.0</v>
      </c>
      <c r="P124" s="62"/>
      <c r="Q124" s="11"/>
    </row>
    <row r="125">
      <c r="A125" s="11"/>
      <c r="B125" s="355"/>
      <c r="C125" s="588" t="s">
        <v>823</v>
      </c>
      <c r="D125" s="550"/>
      <c r="E125" s="231">
        <v>1.0</v>
      </c>
      <c r="F125" s="232">
        <v>4.0</v>
      </c>
      <c r="G125" s="208">
        <v>4.0</v>
      </c>
      <c r="H125" s="384" t="s">
        <v>714</v>
      </c>
      <c r="I125" s="441"/>
      <c r="J125" s="442">
        <v>1.0</v>
      </c>
      <c r="K125" s="442">
        <v>2.0</v>
      </c>
      <c r="L125" s="442"/>
      <c r="M125" s="589">
        <v>2.0</v>
      </c>
      <c r="N125" s="442">
        <v>3.0</v>
      </c>
      <c r="O125" s="55">
        <v>3.0</v>
      </c>
      <c r="P125" s="444"/>
      <c r="Q125" s="11"/>
    </row>
    <row r="126">
      <c r="A126" s="11"/>
      <c r="B126" s="605"/>
      <c r="C126" s="195" t="s">
        <v>170</v>
      </c>
      <c r="D126" s="125"/>
      <c r="E126" s="125"/>
      <c r="F126" s="125"/>
      <c r="G126" s="125"/>
      <c r="H126" s="384"/>
      <c r="I126" s="127"/>
      <c r="J126" s="128"/>
      <c r="K126" s="128"/>
      <c r="L126" s="128"/>
      <c r="M126" s="128"/>
      <c r="N126" s="128"/>
      <c r="O126" s="130"/>
      <c r="P126" s="445"/>
      <c r="Q126" s="11"/>
    </row>
    <row r="127">
      <c r="A127" s="11"/>
      <c r="B127" s="636"/>
      <c r="C127" s="136"/>
      <c r="D127" s="525"/>
      <c r="E127" s="85"/>
      <c r="F127" s="85"/>
      <c r="G127" s="86"/>
      <c r="H127" s="384"/>
      <c r="I127" s="638" t="s">
        <v>427</v>
      </c>
      <c r="J127" s="140" t="s">
        <v>208</v>
      </c>
      <c r="K127" s="140" t="s">
        <v>426</v>
      </c>
      <c r="L127" s="140" t="s">
        <v>2</v>
      </c>
      <c r="M127" s="140" t="s">
        <v>1</v>
      </c>
      <c r="N127" s="140" t="s">
        <v>4</v>
      </c>
      <c r="O127" s="494" t="s">
        <v>3</v>
      </c>
      <c r="P127" s="630" t="s">
        <v>210</v>
      </c>
      <c r="Q127" s="11"/>
    </row>
    <row r="128">
      <c r="A128" s="11"/>
      <c r="B128" s="631"/>
      <c r="C128" s="580" t="s">
        <v>824</v>
      </c>
      <c r="D128" s="541"/>
      <c r="E128" s="67">
        <v>1.0</v>
      </c>
      <c r="F128" s="68">
        <v>2.0</v>
      </c>
      <c r="G128" s="69">
        <v>2.0</v>
      </c>
      <c r="H128" s="384" t="s">
        <v>714</v>
      </c>
      <c r="I128" s="457"/>
      <c r="J128" s="56">
        <v>2.0</v>
      </c>
      <c r="K128" s="56">
        <v>3.0</v>
      </c>
      <c r="L128" s="56"/>
      <c r="M128" s="426">
        <v>3.0</v>
      </c>
      <c r="N128" s="56">
        <v>3.0</v>
      </c>
      <c r="O128" s="615">
        <v>2.0</v>
      </c>
      <c r="P128" s="458"/>
      <c r="Q128" s="11"/>
    </row>
    <row r="129">
      <c r="A129" s="11"/>
      <c r="B129" s="353"/>
      <c r="C129" s="580" t="s">
        <v>825</v>
      </c>
      <c r="D129" s="541" t="s">
        <v>455</v>
      </c>
      <c r="E129" s="67">
        <v>2.0</v>
      </c>
      <c r="F129" s="68">
        <v>3.0</v>
      </c>
      <c r="G129" s="69">
        <v>2.0</v>
      </c>
      <c r="H129" s="384" t="s">
        <v>714</v>
      </c>
      <c r="I129" s="434"/>
      <c r="J129" s="55">
        <v>3.0</v>
      </c>
      <c r="K129" s="55">
        <v>4.0</v>
      </c>
      <c r="L129" s="55"/>
      <c r="M129" s="428">
        <v>3.0</v>
      </c>
      <c r="N129" s="55">
        <v>3.0</v>
      </c>
      <c r="O129" s="615">
        <v>4.0</v>
      </c>
      <c r="P129" s="62"/>
      <c r="Q129" s="11"/>
    </row>
    <row r="130">
      <c r="A130" s="11"/>
      <c r="B130" s="632"/>
      <c r="C130" s="580" t="s">
        <v>826</v>
      </c>
      <c r="D130" s="541" t="s">
        <v>176</v>
      </c>
      <c r="E130" s="67"/>
      <c r="F130" s="68"/>
      <c r="G130" s="69">
        <v>2.0</v>
      </c>
      <c r="H130" s="384" t="s">
        <v>714</v>
      </c>
      <c r="I130" s="434"/>
      <c r="J130" s="55">
        <v>5.0</v>
      </c>
      <c r="K130" s="55">
        <v>5.0</v>
      </c>
      <c r="L130" s="55"/>
      <c r="M130" s="428">
        <v>4.0</v>
      </c>
      <c r="N130" s="55">
        <v>3.0</v>
      </c>
      <c r="O130" s="615">
        <v>4.0</v>
      </c>
      <c r="P130" s="62"/>
      <c r="Q130" s="11"/>
    </row>
    <row r="131">
      <c r="A131" s="11"/>
      <c r="B131" s="639"/>
      <c r="C131" s="580" t="s">
        <v>827</v>
      </c>
      <c r="D131" s="541" t="s">
        <v>757</v>
      </c>
      <c r="E131" s="67"/>
      <c r="F131" s="68"/>
      <c r="G131" s="69">
        <v>3.0</v>
      </c>
      <c r="H131" s="384" t="s">
        <v>714</v>
      </c>
      <c r="I131" s="434"/>
      <c r="J131" s="55">
        <v>1.0</v>
      </c>
      <c r="K131" s="55">
        <v>1.0</v>
      </c>
      <c r="L131" s="55"/>
      <c r="M131" s="428">
        <v>1.0</v>
      </c>
      <c r="N131" s="55">
        <v>2.0</v>
      </c>
      <c r="O131" s="615">
        <v>1.0</v>
      </c>
      <c r="P131" s="62"/>
      <c r="Q131" s="11"/>
    </row>
    <row r="132">
      <c r="A132" s="11"/>
      <c r="B132" s="353"/>
      <c r="C132" s="580" t="s">
        <v>828</v>
      </c>
      <c r="D132" s="541" t="s">
        <v>176</v>
      </c>
      <c r="E132" s="67"/>
      <c r="F132" s="68"/>
      <c r="G132" s="69">
        <v>4.0</v>
      </c>
      <c r="H132" s="384" t="s">
        <v>714</v>
      </c>
      <c r="I132" s="434"/>
      <c r="J132" s="55">
        <v>1.0</v>
      </c>
      <c r="K132" s="55">
        <v>1.0</v>
      </c>
      <c r="L132" s="55"/>
      <c r="M132" s="428">
        <v>1.0</v>
      </c>
      <c r="N132" s="55">
        <v>1.0</v>
      </c>
      <c r="O132" s="615">
        <v>1.0</v>
      </c>
      <c r="P132" s="62"/>
      <c r="Q132" s="11"/>
    </row>
    <row r="133">
      <c r="A133" s="11"/>
      <c r="B133" s="355"/>
      <c r="C133" s="591" t="s">
        <v>829</v>
      </c>
      <c r="D133" s="555" t="s">
        <v>71</v>
      </c>
      <c r="E133" s="556"/>
      <c r="F133" s="557"/>
      <c r="G133" s="558">
        <v>10.0</v>
      </c>
      <c r="H133" s="384" t="s">
        <v>714</v>
      </c>
      <c r="I133" s="434"/>
      <c r="J133" s="55">
        <v>2.0</v>
      </c>
      <c r="K133" s="55">
        <v>2.0</v>
      </c>
      <c r="L133" s="55"/>
      <c r="M133" s="428">
        <v>3.0</v>
      </c>
      <c r="N133" s="55">
        <v>1.0</v>
      </c>
      <c r="O133" s="615">
        <v>1.0</v>
      </c>
      <c r="P133" s="62"/>
      <c r="Q133" s="11"/>
    </row>
    <row r="134">
      <c r="A134" s="11"/>
      <c r="B134" s="634"/>
      <c r="C134" s="579" t="s">
        <v>830</v>
      </c>
      <c r="D134" s="541" t="s">
        <v>831</v>
      </c>
      <c r="E134" s="67"/>
      <c r="F134" s="68"/>
      <c r="G134" s="69">
        <v>7.0</v>
      </c>
      <c r="H134" s="384" t="s">
        <v>714</v>
      </c>
      <c r="I134" s="434"/>
      <c r="J134" s="55">
        <v>2.0</v>
      </c>
      <c r="K134" s="55">
        <v>2.0</v>
      </c>
      <c r="L134" s="55"/>
      <c r="M134" s="428">
        <v>2.0</v>
      </c>
      <c r="N134" s="55">
        <v>1.0</v>
      </c>
      <c r="O134" s="615">
        <v>2.0</v>
      </c>
      <c r="P134" s="62"/>
      <c r="Q134" s="11"/>
    </row>
    <row r="135">
      <c r="A135" s="11"/>
      <c r="B135" s="355"/>
      <c r="C135" s="587" t="s">
        <v>832</v>
      </c>
      <c r="D135" s="555"/>
      <c r="E135" s="556"/>
      <c r="F135" s="557"/>
      <c r="G135" s="558">
        <v>9.0</v>
      </c>
      <c r="H135" s="384" t="s">
        <v>714</v>
      </c>
      <c r="I135" s="434"/>
      <c r="J135" s="55">
        <v>4.0</v>
      </c>
      <c r="K135" s="55">
        <v>4.0</v>
      </c>
      <c r="L135" s="55"/>
      <c r="M135" s="428">
        <v>3.0</v>
      </c>
      <c r="N135" s="55">
        <v>2.0</v>
      </c>
      <c r="O135" s="615">
        <v>4.0</v>
      </c>
      <c r="P135" s="62"/>
      <c r="Q135" s="11"/>
    </row>
    <row r="136">
      <c r="A136" s="11"/>
      <c r="B136" s="635"/>
      <c r="C136" s="579" t="s">
        <v>833</v>
      </c>
      <c r="D136" s="541" t="s">
        <v>761</v>
      </c>
      <c r="E136" s="67"/>
      <c r="F136" s="68"/>
      <c r="G136" s="69">
        <v>8.0</v>
      </c>
      <c r="H136" s="384" t="s">
        <v>714</v>
      </c>
      <c r="I136" s="434"/>
      <c r="J136" s="55">
        <v>1.0</v>
      </c>
      <c r="K136" s="55">
        <v>1.0</v>
      </c>
      <c r="L136" s="55"/>
      <c r="M136" s="428">
        <v>1.0</v>
      </c>
      <c r="N136" s="55">
        <v>3.0</v>
      </c>
      <c r="O136" s="615">
        <v>2.0</v>
      </c>
      <c r="P136" s="62"/>
      <c r="Q136" s="11"/>
    </row>
    <row r="137">
      <c r="A137" s="11"/>
      <c r="B137" s="355"/>
      <c r="C137" s="588" t="s">
        <v>834</v>
      </c>
      <c r="D137" s="550"/>
      <c r="E137" s="231">
        <v>5.0</v>
      </c>
      <c r="F137" s="232">
        <v>5.0</v>
      </c>
      <c r="G137" s="208">
        <v>6.0</v>
      </c>
      <c r="H137" s="384" t="s">
        <v>714</v>
      </c>
      <c r="I137" s="441"/>
      <c r="J137" s="442">
        <v>3.0</v>
      </c>
      <c r="K137" s="442">
        <v>3.0</v>
      </c>
      <c r="L137" s="442"/>
      <c r="M137" s="589">
        <v>3.0</v>
      </c>
      <c r="N137" s="442">
        <v>2.0</v>
      </c>
      <c r="O137" s="615">
        <v>4.0</v>
      </c>
      <c r="P137" s="444"/>
      <c r="Q137" s="11"/>
    </row>
    <row r="138">
      <c r="A138" s="11"/>
      <c r="B138" s="605"/>
      <c r="C138" s="195" t="s">
        <v>182</v>
      </c>
      <c r="D138" s="125"/>
      <c r="E138" s="125"/>
      <c r="F138" s="125"/>
      <c r="G138" s="125"/>
      <c r="H138" s="384"/>
      <c r="I138" s="127"/>
      <c r="J138" s="128"/>
      <c r="K138" s="128"/>
      <c r="L138" s="128"/>
      <c r="M138" s="128"/>
      <c r="N138" s="128"/>
      <c r="O138" s="130"/>
      <c r="P138" s="445"/>
      <c r="Q138" s="11"/>
    </row>
    <row r="139">
      <c r="A139" s="11"/>
      <c r="B139" s="636"/>
      <c r="C139" s="136"/>
      <c r="D139" s="525"/>
      <c r="E139" s="85"/>
      <c r="F139" s="85"/>
      <c r="G139" s="86"/>
      <c r="H139" s="384"/>
      <c r="I139" s="638" t="s">
        <v>427</v>
      </c>
      <c r="J139" s="140" t="s">
        <v>208</v>
      </c>
      <c r="K139" s="140" t="s">
        <v>426</v>
      </c>
      <c r="L139" s="140" t="s">
        <v>2</v>
      </c>
      <c r="M139" s="140" t="s">
        <v>1</v>
      </c>
      <c r="N139" s="140" t="s">
        <v>4</v>
      </c>
      <c r="O139" s="622" t="s">
        <v>3</v>
      </c>
      <c r="P139" s="630" t="s">
        <v>210</v>
      </c>
      <c r="Q139" s="11"/>
    </row>
    <row r="140">
      <c r="A140" s="11"/>
      <c r="B140" s="631"/>
      <c r="C140" s="580" t="s">
        <v>835</v>
      </c>
      <c r="D140" s="541" t="s">
        <v>406</v>
      </c>
      <c r="E140" s="67"/>
      <c r="F140" s="68"/>
      <c r="G140" s="69">
        <v>2.0</v>
      </c>
      <c r="H140" s="384" t="s">
        <v>714</v>
      </c>
      <c r="I140" s="457"/>
      <c r="J140" s="56">
        <v>3.0</v>
      </c>
      <c r="K140" s="56">
        <v>2.0</v>
      </c>
      <c r="L140" s="56"/>
      <c r="M140" s="426">
        <v>1.0</v>
      </c>
      <c r="N140" s="56">
        <v>3.0</v>
      </c>
      <c r="O140" s="615">
        <v>3.0</v>
      </c>
      <c r="P140" s="458"/>
      <c r="Q140" s="11"/>
    </row>
    <row r="141">
      <c r="A141" s="11"/>
      <c r="B141" s="353"/>
      <c r="C141" s="580" t="s">
        <v>836</v>
      </c>
      <c r="D141" s="541" t="s">
        <v>406</v>
      </c>
      <c r="E141" s="67"/>
      <c r="F141" s="68"/>
      <c r="G141" s="69">
        <v>3.0</v>
      </c>
      <c r="H141" s="384" t="s">
        <v>714</v>
      </c>
      <c r="I141" s="434"/>
      <c r="J141" s="55">
        <v>1.0</v>
      </c>
      <c r="K141" s="55">
        <v>1.0</v>
      </c>
      <c r="L141" s="55"/>
      <c r="M141" s="428">
        <v>1.0</v>
      </c>
      <c r="N141" s="55">
        <v>2.0</v>
      </c>
      <c r="O141" s="615">
        <v>1.0</v>
      </c>
      <c r="P141" s="62"/>
      <c r="Q141" s="11"/>
    </row>
    <row r="142">
      <c r="A142" s="11"/>
      <c r="B142" s="632"/>
      <c r="C142" s="591" t="s">
        <v>837</v>
      </c>
      <c r="D142" s="555" t="s">
        <v>77</v>
      </c>
      <c r="E142" s="556">
        <v>3.0</v>
      </c>
      <c r="F142" s="557">
        <v>2.0</v>
      </c>
      <c r="G142" s="558">
        <v>5.0</v>
      </c>
      <c r="H142" s="384" t="s">
        <v>714</v>
      </c>
      <c r="I142" s="434"/>
      <c r="J142" s="55">
        <v>4.0</v>
      </c>
      <c r="K142" s="55">
        <v>2.0</v>
      </c>
      <c r="L142" s="55"/>
      <c r="M142" s="428">
        <v>2.0</v>
      </c>
      <c r="N142" s="55">
        <v>3.0</v>
      </c>
      <c r="O142" s="615">
        <v>3.0</v>
      </c>
      <c r="P142" s="62"/>
      <c r="Q142" s="11"/>
    </row>
    <row r="143">
      <c r="A143" s="11"/>
      <c r="B143" s="639"/>
      <c r="C143" s="580" t="s">
        <v>838</v>
      </c>
      <c r="D143" s="541" t="s">
        <v>623</v>
      </c>
      <c r="E143" s="67"/>
      <c r="F143" s="68"/>
      <c r="G143" s="69">
        <v>4.0</v>
      </c>
      <c r="H143" s="384" t="s">
        <v>714</v>
      </c>
      <c r="I143" s="434"/>
      <c r="J143" s="55">
        <v>2.0</v>
      </c>
      <c r="K143" s="55">
        <v>2.0</v>
      </c>
      <c r="L143" s="55"/>
      <c r="M143" s="428">
        <v>2.0</v>
      </c>
      <c r="N143" s="55">
        <v>2.0</v>
      </c>
      <c r="O143" s="615">
        <v>2.0</v>
      </c>
      <c r="P143" s="62"/>
      <c r="Q143" s="11"/>
    </row>
    <row r="144">
      <c r="A144" s="11"/>
      <c r="B144" s="353"/>
      <c r="C144" s="580" t="s">
        <v>839</v>
      </c>
      <c r="D144" s="541" t="s">
        <v>490</v>
      </c>
      <c r="E144" s="67"/>
      <c r="F144" s="68"/>
      <c r="G144" s="69">
        <v>5.0</v>
      </c>
      <c r="H144" s="384" t="s">
        <v>714</v>
      </c>
      <c r="I144" s="434"/>
      <c r="J144" s="55">
        <v>1.0</v>
      </c>
      <c r="K144" s="55">
        <v>2.0</v>
      </c>
      <c r="L144" s="55"/>
      <c r="M144" s="428">
        <v>1.0</v>
      </c>
      <c r="N144" s="55">
        <v>2.0</v>
      </c>
      <c r="O144" s="615">
        <v>1.0</v>
      </c>
      <c r="P144" s="62"/>
      <c r="Q144" s="11"/>
    </row>
    <row r="145">
      <c r="A145" s="11"/>
      <c r="B145" s="355"/>
      <c r="C145" s="591" t="s">
        <v>840</v>
      </c>
      <c r="D145" s="555"/>
      <c r="E145" s="556">
        <v>8.0</v>
      </c>
      <c r="F145" s="557">
        <v>8.0</v>
      </c>
      <c r="G145" s="558">
        <v>8.0</v>
      </c>
      <c r="H145" s="384" t="s">
        <v>714</v>
      </c>
      <c r="I145" s="434"/>
      <c r="J145" s="55">
        <v>2.0</v>
      </c>
      <c r="K145" s="55">
        <v>2.0</v>
      </c>
      <c r="L145" s="55"/>
      <c r="M145" s="428">
        <v>1.0</v>
      </c>
      <c r="N145" s="55">
        <v>2.0</v>
      </c>
      <c r="O145" s="615">
        <v>2.0</v>
      </c>
      <c r="P145" s="62"/>
      <c r="Q145" s="11"/>
    </row>
    <row r="146">
      <c r="A146" s="11"/>
      <c r="B146" s="634"/>
      <c r="C146" s="579" t="s">
        <v>841</v>
      </c>
      <c r="D146" s="541"/>
      <c r="E146" s="67">
        <v>3.0</v>
      </c>
      <c r="F146" s="68">
        <v>1.0</v>
      </c>
      <c r="G146" s="69">
        <v>3.0</v>
      </c>
      <c r="H146" s="384" t="s">
        <v>714</v>
      </c>
      <c r="I146" s="434"/>
      <c r="J146" s="55">
        <v>4.0</v>
      </c>
      <c r="K146" s="55">
        <v>5.0</v>
      </c>
      <c r="L146" s="55"/>
      <c r="M146" s="428">
        <v>5.0</v>
      </c>
      <c r="N146" s="55">
        <v>5.0</v>
      </c>
      <c r="O146" s="615">
        <v>4.0</v>
      </c>
      <c r="P146" s="62"/>
      <c r="Q146" s="11"/>
    </row>
    <row r="147">
      <c r="A147" s="11"/>
      <c r="B147" s="355"/>
      <c r="C147" s="587" t="s">
        <v>842</v>
      </c>
      <c r="D147" s="555" t="s">
        <v>43</v>
      </c>
      <c r="E147" s="556">
        <v>9.0</v>
      </c>
      <c r="F147" s="557">
        <v>7.0</v>
      </c>
      <c r="G147" s="558">
        <v>8.0</v>
      </c>
      <c r="H147" s="384" t="s">
        <v>714</v>
      </c>
      <c r="I147" s="434"/>
      <c r="J147" s="55">
        <v>3.0</v>
      </c>
      <c r="K147" s="55">
        <v>2.0</v>
      </c>
      <c r="L147" s="55"/>
      <c r="M147" s="428">
        <v>1.0</v>
      </c>
      <c r="N147" s="55">
        <v>2.0</v>
      </c>
      <c r="O147" s="615">
        <v>3.0</v>
      </c>
      <c r="P147" s="62"/>
      <c r="Q147" s="11"/>
    </row>
    <row r="148">
      <c r="A148" s="11"/>
      <c r="B148" s="635"/>
      <c r="C148" s="579" t="s">
        <v>843</v>
      </c>
      <c r="D148" s="541" t="s">
        <v>761</v>
      </c>
      <c r="E148" s="67"/>
      <c r="F148" s="68"/>
      <c r="G148" s="69">
        <v>7.0</v>
      </c>
      <c r="H148" s="384" t="s">
        <v>714</v>
      </c>
      <c r="I148" s="434"/>
      <c r="J148" s="55">
        <v>4.0</v>
      </c>
      <c r="K148" s="55">
        <v>4.0</v>
      </c>
      <c r="L148" s="55"/>
      <c r="M148" s="428">
        <v>4.0</v>
      </c>
      <c r="N148" s="55">
        <v>4.0</v>
      </c>
      <c r="O148" s="615">
        <v>4.0</v>
      </c>
      <c r="P148" s="62"/>
      <c r="Q148" s="11"/>
    </row>
    <row r="149">
      <c r="A149" s="11"/>
      <c r="B149" s="355"/>
      <c r="C149" s="588" t="s">
        <v>844</v>
      </c>
      <c r="D149" s="550"/>
      <c r="E149" s="231">
        <v>2.0</v>
      </c>
      <c r="F149" s="232">
        <v>2.0</v>
      </c>
      <c r="G149" s="208">
        <v>3.0</v>
      </c>
      <c r="H149" s="384" t="s">
        <v>714</v>
      </c>
      <c r="I149" s="441"/>
      <c r="J149" s="442">
        <v>2.0</v>
      </c>
      <c r="K149" s="442">
        <v>2.0</v>
      </c>
      <c r="L149" s="442"/>
      <c r="M149" s="589">
        <v>3.0</v>
      </c>
      <c r="N149" s="442">
        <v>1.0</v>
      </c>
      <c r="O149" s="615">
        <v>2.0</v>
      </c>
      <c r="P149" s="444"/>
      <c r="Q149" s="11"/>
    </row>
    <row r="150">
      <c r="A150" s="11"/>
      <c r="B150" s="605"/>
      <c r="C150" s="195" t="s">
        <v>193</v>
      </c>
      <c r="D150" s="125"/>
      <c r="E150" s="125"/>
      <c r="F150" s="125"/>
      <c r="G150" s="125"/>
      <c r="H150" s="384"/>
      <c r="I150" s="127"/>
      <c r="J150" s="128"/>
      <c r="K150" s="128"/>
      <c r="L150" s="128"/>
      <c r="M150" s="128"/>
      <c r="N150" s="128"/>
      <c r="O150" s="130"/>
      <c r="P150" s="445"/>
      <c r="Q150" s="11"/>
    </row>
    <row r="151">
      <c r="A151" s="11"/>
      <c r="B151" s="609"/>
      <c r="C151" s="136"/>
      <c r="D151" s="525"/>
      <c r="E151" s="85"/>
      <c r="F151" s="85"/>
      <c r="G151" s="86"/>
      <c r="H151" s="384"/>
      <c r="I151" s="638" t="s">
        <v>427</v>
      </c>
      <c r="J151" s="140" t="s">
        <v>208</v>
      </c>
      <c r="K151" s="140" t="s">
        <v>426</v>
      </c>
      <c r="L151" s="140" t="s">
        <v>2</v>
      </c>
      <c r="M151" s="140" t="s">
        <v>1</v>
      </c>
      <c r="N151" s="140" t="s">
        <v>4</v>
      </c>
      <c r="O151" s="494" t="s">
        <v>3</v>
      </c>
      <c r="P151" s="630" t="s">
        <v>210</v>
      </c>
      <c r="Q151" s="11"/>
    </row>
    <row r="152">
      <c r="A152" s="11"/>
      <c r="B152" s="640"/>
      <c r="C152" s="580" t="s">
        <v>845</v>
      </c>
      <c r="D152" s="541" t="s">
        <v>77</v>
      </c>
      <c r="E152" s="67">
        <v>1.0</v>
      </c>
      <c r="F152" s="68">
        <v>3.0</v>
      </c>
      <c r="G152" s="69">
        <v>1.0</v>
      </c>
      <c r="H152" s="384" t="s">
        <v>714</v>
      </c>
      <c r="I152" s="457"/>
      <c r="J152" s="56">
        <v>1.0</v>
      </c>
      <c r="K152" s="56">
        <v>2.0</v>
      </c>
      <c r="L152" s="56"/>
      <c r="M152" s="426">
        <v>2.0</v>
      </c>
      <c r="N152" s="56">
        <v>3.0</v>
      </c>
      <c r="O152" s="615">
        <v>1.0</v>
      </c>
      <c r="P152" s="458"/>
      <c r="Q152" s="11"/>
    </row>
    <row r="153">
      <c r="A153" s="11"/>
      <c r="B153" s="353"/>
      <c r="C153" s="580" t="s">
        <v>846</v>
      </c>
      <c r="D153" s="541"/>
      <c r="E153" s="67">
        <v>2.0</v>
      </c>
      <c r="F153" s="68">
        <v>2.0</v>
      </c>
      <c r="G153" s="69">
        <v>2.0</v>
      </c>
      <c r="H153" s="384" t="s">
        <v>714</v>
      </c>
      <c r="I153" s="434"/>
      <c r="J153" s="55">
        <v>2.0</v>
      </c>
      <c r="K153" s="55">
        <v>3.0</v>
      </c>
      <c r="L153" s="55"/>
      <c r="M153" s="428">
        <v>2.0</v>
      </c>
      <c r="N153" s="55">
        <v>3.0</v>
      </c>
      <c r="O153" s="615">
        <v>3.0</v>
      </c>
      <c r="P153" s="62"/>
      <c r="Q153" s="11"/>
    </row>
    <row r="154">
      <c r="A154" s="11"/>
      <c r="B154" s="353"/>
      <c r="C154" s="580" t="s">
        <v>847</v>
      </c>
      <c r="D154" s="541"/>
      <c r="E154" s="67">
        <v>1.0</v>
      </c>
      <c r="F154" s="68">
        <v>6.0</v>
      </c>
      <c r="G154" s="69">
        <v>3.0</v>
      </c>
      <c r="H154" s="384" t="s">
        <v>714</v>
      </c>
      <c r="I154" s="434"/>
      <c r="J154" s="55">
        <v>2.0</v>
      </c>
      <c r="K154" s="55">
        <v>2.0</v>
      </c>
      <c r="L154" s="55"/>
      <c r="M154" s="55">
        <v>2.0</v>
      </c>
      <c r="N154" s="55">
        <v>4.0</v>
      </c>
      <c r="O154" s="615">
        <v>3.0</v>
      </c>
      <c r="P154" s="62"/>
      <c r="Q154" s="11"/>
    </row>
    <row r="155">
      <c r="A155" s="11"/>
      <c r="B155" s="641"/>
      <c r="C155" s="579" t="s">
        <v>848</v>
      </c>
      <c r="D155" s="541" t="s">
        <v>71</v>
      </c>
      <c r="E155" s="67"/>
      <c r="F155" s="68"/>
      <c r="G155" s="69">
        <v>2.0</v>
      </c>
      <c r="H155" s="384" t="s">
        <v>714</v>
      </c>
      <c r="I155" s="434"/>
      <c r="J155" s="55">
        <v>1.0</v>
      </c>
      <c r="K155" s="55">
        <v>1.0</v>
      </c>
      <c r="L155" s="55"/>
      <c r="M155" s="55">
        <v>2.0</v>
      </c>
      <c r="N155" s="55">
        <v>2.0</v>
      </c>
      <c r="O155" s="615">
        <v>2.0</v>
      </c>
      <c r="P155" s="62"/>
      <c r="Q155" s="11"/>
    </row>
    <row r="156">
      <c r="A156" s="11"/>
      <c r="B156" s="353"/>
      <c r="C156" s="580" t="s">
        <v>849</v>
      </c>
      <c r="D156" s="541" t="s">
        <v>71</v>
      </c>
      <c r="E156" s="67"/>
      <c r="F156" s="68"/>
      <c r="G156" s="69">
        <v>4.0</v>
      </c>
      <c r="H156" s="384" t="s">
        <v>714</v>
      </c>
      <c r="I156" s="434"/>
      <c r="J156" s="55">
        <v>3.0</v>
      </c>
      <c r="K156" s="55">
        <v>2.0</v>
      </c>
      <c r="L156" s="55"/>
      <c r="M156" s="55">
        <v>3.0</v>
      </c>
      <c r="N156" s="55">
        <v>2.0</v>
      </c>
      <c r="O156" s="615">
        <v>1.0</v>
      </c>
      <c r="P156" s="62"/>
      <c r="Q156" s="11"/>
    </row>
    <row r="157">
      <c r="A157" s="11"/>
      <c r="B157" s="353"/>
      <c r="C157" s="591" t="s">
        <v>850</v>
      </c>
      <c r="D157" s="555"/>
      <c r="E157" s="556">
        <v>2.0</v>
      </c>
      <c r="F157" s="557">
        <v>6.0</v>
      </c>
      <c r="G157" s="558">
        <v>4.0</v>
      </c>
      <c r="H157" s="384" t="s">
        <v>714</v>
      </c>
      <c r="I157" s="434"/>
      <c r="J157" s="55">
        <v>4.0</v>
      </c>
      <c r="K157" s="55">
        <v>2.0</v>
      </c>
      <c r="L157" s="55"/>
      <c r="M157" s="55">
        <v>3.0</v>
      </c>
      <c r="N157" s="55">
        <v>2.0</v>
      </c>
      <c r="O157" s="615">
        <v>3.0</v>
      </c>
      <c r="P157" s="62"/>
      <c r="Q157" s="11"/>
    </row>
    <row r="158">
      <c r="A158" s="11"/>
      <c r="B158" s="634"/>
      <c r="C158" s="579" t="s">
        <v>851</v>
      </c>
      <c r="D158" s="541" t="s">
        <v>705</v>
      </c>
      <c r="E158" s="67"/>
      <c r="F158" s="68"/>
      <c r="G158" s="69">
        <v>5.0</v>
      </c>
      <c r="H158" s="384" t="s">
        <v>714</v>
      </c>
      <c r="I158" s="434"/>
      <c r="J158" s="55">
        <v>4.0</v>
      </c>
      <c r="K158" s="55">
        <v>3.0</v>
      </c>
      <c r="L158" s="55"/>
      <c r="M158" s="55">
        <v>4.0</v>
      </c>
      <c r="N158" s="55">
        <v>2.0</v>
      </c>
      <c r="O158" s="615">
        <v>3.0</v>
      </c>
      <c r="P158" s="62"/>
      <c r="Q158" s="11"/>
    </row>
    <row r="159">
      <c r="A159" s="11"/>
      <c r="B159" s="355"/>
      <c r="C159" s="579" t="s">
        <v>852</v>
      </c>
      <c r="D159" s="541" t="s">
        <v>97</v>
      </c>
      <c r="E159" s="67">
        <v>8.0</v>
      </c>
      <c r="F159" s="68">
        <v>8.0</v>
      </c>
      <c r="G159" s="69">
        <v>13.0</v>
      </c>
      <c r="H159" s="384" t="s">
        <v>714</v>
      </c>
      <c r="I159" s="434"/>
      <c r="J159" s="55">
        <v>1.0</v>
      </c>
      <c r="K159" s="55">
        <v>2.0</v>
      </c>
      <c r="L159" s="55"/>
      <c r="M159" s="55">
        <v>3.0</v>
      </c>
      <c r="N159" s="55">
        <v>1.0</v>
      </c>
      <c r="O159" s="615">
        <v>1.0</v>
      </c>
      <c r="P159" s="62"/>
      <c r="Q159" s="11"/>
    </row>
    <row r="160">
      <c r="A160" s="11"/>
      <c r="B160" s="635"/>
      <c r="C160" s="579" t="s">
        <v>853</v>
      </c>
      <c r="D160" s="541" t="s">
        <v>761</v>
      </c>
      <c r="E160" s="67"/>
      <c r="F160" s="68"/>
      <c r="G160" s="69">
        <v>6.0</v>
      </c>
      <c r="H160" s="384" t="s">
        <v>714</v>
      </c>
      <c r="I160" s="434"/>
      <c r="J160" s="55">
        <v>4.0</v>
      </c>
      <c r="K160" s="55">
        <v>3.0</v>
      </c>
      <c r="L160" s="55"/>
      <c r="M160" s="55">
        <v>3.0</v>
      </c>
      <c r="N160" s="55">
        <v>4.0</v>
      </c>
      <c r="O160" s="615">
        <v>3.0</v>
      </c>
      <c r="P160" s="62"/>
      <c r="Q160" s="11"/>
    </row>
    <row r="161">
      <c r="A161" s="11"/>
      <c r="B161" s="355"/>
      <c r="C161" s="587" t="s">
        <v>854</v>
      </c>
      <c r="D161" s="555"/>
      <c r="E161" s="556">
        <v>6.0</v>
      </c>
      <c r="F161" s="557">
        <v>6.0</v>
      </c>
      <c r="G161" s="558">
        <v>6.0</v>
      </c>
      <c r="H161" s="384" t="s">
        <v>714</v>
      </c>
      <c r="I161" s="642"/>
      <c r="J161" s="643">
        <v>3.0</v>
      </c>
      <c r="K161" s="643">
        <v>3.0</v>
      </c>
      <c r="L161" s="643"/>
      <c r="M161" s="644">
        <v>4.0</v>
      </c>
      <c r="N161" s="643">
        <v>2.0</v>
      </c>
      <c r="O161" s="615">
        <v>3.0</v>
      </c>
      <c r="P161" s="645"/>
      <c r="Q161" s="11"/>
    </row>
    <row r="162">
      <c r="A162" s="11"/>
      <c r="B162" s="332"/>
      <c r="C162" s="333"/>
      <c r="D162" s="333"/>
      <c r="E162" s="333"/>
      <c r="F162" s="333"/>
      <c r="G162" s="333"/>
      <c r="H162" s="291"/>
      <c r="I162" s="295"/>
      <c r="J162" s="295"/>
      <c r="K162" s="295"/>
      <c r="L162" s="295"/>
      <c r="M162" s="295"/>
      <c r="N162" s="295"/>
      <c r="O162" s="295"/>
      <c r="P162" s="295"/>
      <c r="Q162" s="11"/>
    </row>
    <row r="163">
      <c r="A163" s="11"/>
      <c r="B163" s="300"/>
      <c r="C163" s="301"/>
      <c r="D163" s="344"/>
      <c r="F163" s="17"/>
      <c r="G163" s="304"/>
      <c r="H163" s="646"/>
      <c r="I163" s="88" t="s">
        <v>427</v>
      </c>
      <c r="J163" s="140" t="s">
        <v>208</v>
      </c>
      <c r="K163" s="140" t="s">
        <v>426</v>
      </c>
      <c r="L163" s="140" t="s">
        <v>2</v>
      </c>
      <c r="M163" s="140" t="s">
        <v>1</v>
      </c>
      <c r="N163" s="88" t="s">
        <v>4</v>
      </c>
      <c r="O163" s="88" t="s">
        <v>3</v>
      </c>
      <c r="P163" s="647" t="s">
        <v>210</v>
      </c>
      <c r="Q163" s="11"/>
    </row>
    <row r="164">
      <c r="A164" s="11"/>
      <c r="B164" s="307"/>
      <c r="C164" s="307"/>
      <c r="F164" s="17"/>
      <c r="G164" s="648"/>
      <c r="H164" s="316" t="s">
        <v>204</v>
      </c>
      <c r="I164" s="311" t="str">
        <f>AVERAGE(I6:I21,I27:I41,I44:I53,I56:I65,I68:I77,I80:I89,I92:I101,I104:I113,I116:I125,I128:I137,I140:I149,I152:I161)</f>
        <v>#DIV/0!</v>
      </c>
      <c r="J164" s="311">
        <f>AVERAGE(J6:J21,J27:J41,J44:J53,J56:J65,J68:J77,J80:J89,J92:J101,J104:J113,J117:J125,J128:J137,J140:J149,J152:J161)</f>
        <v>2.192307692</v>
      </c>
      <c r="K164" s="311">
        <f>AVERAGE(K6:K21,K27:K41,K44:K53,K56:K65,K68:K77,K80:K89,K92:K101,K104:K113,K116:K125,K128:K137,K140:K149,K152:K161)</f>
        <v>2.06870229</v>
      </c>
      <c r="L164" s="311">
        <f>AVERAGE(L6:L21,L27:L39,L44:L53,L56:L65,L68:L77,L80:L89,L92:L101,L104:L113,L116:L125,L128:L137,L140:L149,L152:L161)</f>
        <v>1.75</v>
      </c>
      <c r="M164" s="311">
        <f t="shared" ref="M164:P164" si="1">AVERAGE(M6:M21,M27:M41,M44:M53,M56:M65,M68:M77,M80:M89,M92:M101,M104:M113,M116:M125,M128:M137,M140:M149,M152:M161)</f>
        <v>2</v>
      </c>
      <c r="N164" s="311">
        <f t="shared" si="1"/>
        <v>2.091603053</v>
      </c>
      <c r="O164" s="311">
        <f t="shared" si="1"/>
        <v>2.213740458</v>
      </c>
      <c r="P164" s="649" t="str">
        <f t="shared" si="1"/>
        <v>#DIV/0!</v>
      </c>
      <c r="Q164" s="11"/>
    </row>
    <row r="165">
      <c r="A165" s="11"/>
      <c r="B165" s="313"/>
      <c r="C165" s="313"/>
      <c r="F165" s="17"/>
      <c r="G165" s="314"/>
      <c r="H165" s="318"/>
      <c r="P165" s="17"/>
      <c r="Q165" s="11"/>
    </row>
    <row r="166">
      <c r="A166" s="11"/>
      <c r="B166" s="300"/>
      <c r="C166" s="301"/>
      <c r="F166" s="17"/>
      <c r="G166" s="316" t="s">
        <v>206</v>
      </c>
      <c r="P166" s="17"/>
      <c r="Q166" s="11"/>
    </row>
    <row r="167">
      <c r="A167" s="11"/>
      <c r="B167" s="322"/>
      <c r="C167" s="323"/>
      <c r="F167" s="17"/>
      <c r="G167" s="316">
        <v>1.0</v>
      </c>
      <c r="H167" s="475"/>
      <c r="I167" s="316">
        <f t="shared" ref="I167:P167" si="2">COUNTIF(I6:I161,$G$167)</f>
        <v>0</v>
      </c>
      <c r="J167" s="316">
        <f t="shared" si="2"/>
        <v>62</v>
      </c>
      <c r="K167" s="316">
        <f t="shared" si="2"/>
        <v>55</v>
      </c>
      <c r="L167" s="316">
        <f t="shared" si="2"/>
        <v>2</v>
      </c>
      <c r="M167" s="316">
        <f t="shared" si="2"/>
        <v>64</v>
      </c>
      <c r="N167" s="316">
        <f t="shared" si="2"/>
        <v>56</v>
      </c>
      <c r="O167" s="316">
        <f t="shared" si="2"/>
        <v>47</v>
      </c>
      <c r="P167" s="316">
        <f t="shared" si="2"/>
        <v>0</v>
      </c>
      <c r="Q167" s="11"/>
    </row>
    <row r="168">
      <c r="A168" s="11"/>
      <c r="B168" s="328"/>
      <c r="C168" s="323"/>
      <c r="F168" s="17"/>
      <c r="G168" s="316">
        <v>2.0</v>
      </c>
      <c r="H168" s="475"/>
      <c r="I168" s="316">
        <f t="shared" ref="I168:P168" si="3">COUNTIF(I7:I162,$G$168)</f>
        <v>0</v>
      </c>
      <c r="J168" s="316">
        <f t="shared" si="3"/>
        <v>21</v>
      </c>
      <c r="K168" s="316">
        <f t="shared" si="3"/>
        <v>45</v>
      </c>
      <c r="L168" s="316">
        <f t="shared" si="3"/>
        <v>1</v>
      </c>
      <c r="M168" s="316">
        <f t="shared" si="3"/>
        <v>29</v>
      </c>
      <c r="N168" s="316">
        <f t="shared" si="3"/>
        <v>33</v>
      </c>
      <c r="O168" s="316">
        <f t="shared" si="3"/>
        <v>35</v>
      </c>
      <c r="P168" s="316">
        <f t="shared" si="3"/>
        <v>0</v>
      </c>
      <c r="Q168" s="11"/>
    </row>
    <row r="169">
      <c r="A169" s="11"/>
      <c r="B169" s="328"/>
      <c r="C169" s="323"/>
      <c r="F169" s="17"/>
      <c r="G169" s="329">
        <v>3.0</v>
      </c>
      <c r="H169" s="478"/>
      <c r="I169" s="329">
        <f t="shared" ref="I169:P169" si="4">COUNTIF(I8:I163,$G$169)</f>
        <v>0</v>
      </c>
      <c r="J169" s="329">
        <f t="shared" si="4"/>
        <v>25</v>
      </c>
      <c r="K169" s="329">
        <f t="shared" si="4"/>
        <v>14</v>
      </c>
      <c r="L169" s="329">
        <f t="shared" si="4"/>
        <v>1</v>
      </c>
      <c r="M169" s="329">
        <f t="shared" si="4"/>
        <v>26</v>
      </c>
      <c r="N169" s="329">
        <f t="shared" si="4"/>
        <v>31</v>
      </c>
      <c r="O169" s="329">
        <f t="shared" si="4"/>
        <v>33</v>
      </c>
      <c r="P169" s="329">
        <f t="shared" si="4"/>
        <v>0</v>
      </c>
      <c r="Q169" s="11"/>
    </row>
    <row r="170">
      <c r="A170" s="11"/>
      <c r="B170" s="328"/>
      <c r="C170" s="323"/>
      <c r="F170" s="17"/>
      <c r="G170" s="316">
        <v>4.0</v>
      </c>
      <c r="H170" s="475"/>
      <c r="I170" s="316">
        <f t="shared" ref="I170:P170" si="5">COUNTIF(I9:I164,$G$170)</f>
        <v>0</v>
      </c>
      <c r="J170" s="316">
        <f t="shared" si="5"/>
        <v>22</v>
      </c>
      <c r="K170" s="316">
        <f t="shared" si="5"/>
        <v>16</v>
      </c>
      <c r="L170" s="316">
        <f t="shared" si="5"/>
        <v>0</v>
      </c>
      <c r="M170" s="316">
        <f t="shared" si="5"/>
        <v>13</v>
      </c>
      <c r="N170" s="316">
        <f t="shared" si="5"/>
        <v>12</v>
      </c>
      <c r="O170" s="316">
        <f t="shared" si="5"/>
        <v>18</v>
      </c>
      <c r="P170" s="316">
        <f t="shared" si="5"/>
        <v>0</v>
      </c>
      <c r="Q170" s="11"/>
    </row>
    <row r="171">
      <c r="A171" s="11"/>
      <c r="B171" s="328"/>
      <c r="C171" s="323"/>
      <c r="F171" s="17"/>
      <c r="G171" s="329">
        <v>5.0</v>
      </c>
      <c r="H171" s="478"/>
      <c r="I171" s="329">
        <f t="shared" ref="I171:K171" si="6">COUNTIF(I10:I165,$G$171)</f>
        <v>0</v>
      </c>
      <c r="J171" s="329">
        <f t="shared" si="6"/>
        <v>5</v>
      </c>
      <c r="K171" s="329">
        <f t="shared" si="6"/>
        <v>5</v>
      </c>
      <c r="L171" s="329">
        <f>COUNTIF(L15:L165,$G$171)</f>
        <v>0</v>
      </c>
      <c r="M171" s="329">
        <f t="shared" ref="M171:P171" si="7">COUNTIF(M10:M165,$G$171)</f>
        <v>3</v>
      </c>
      <c r="N171" s="329">
        <f t="shared" si="7"/>
        <v>3</v>
      </c>
      <c r="O171" s="329">
        <f t="shared" si="7"/>
        <v>1</v>
      </c>
      <c r="P171" s="329">
        <f t="shared" si="7"/>
        <v>0</v>
      </c>
      <c r="Q171" s="11"/>
    </row>
    <row r="172">
      <c r="A172" s="286"/>
      <c r="B172" s="332"/>
      <c r="C172" s="333"/>
      <c r="D172" s="334"/>
      <c r="E172" s="334"/>
      <c r="F172" s="287"/>
      <c r="G172" s="291"/>
      <c r="H172" s="291"/>
      <c r="I172" s="291"/>
      <c r="J172" s="291"/>
      <c r="K172" s="291"/>
      <c r="L172" s="291"/>
      <c r="M172" s="291"/>
      <c r="N172" s="291"/>
      <c r="O172" s="291"/>
      <c r="P172" s="291"/>
      <c r="Q172" s="286"/>
    </row>
  </sheetData>
  <mergeCells count="57">
    <mergeCell ref="B6:B25"/>
    <mergeCell ref="B27:B29"/>
    <mergeCell ref="B152:B154"/>
    <mergeCell ref="B155:B157"/>
    <mergeCell ref="B158:B159"/>
    <mergeCell ref="B160:B161"/>
    <mergeCell ref="A1:A172"/>
    <mergeCell ref="I1:I3"/>
    <mergeCell ref="J1:J3"/>
    <mergeCell ref="K1:K3"/>
    <mergeCell ref="L1:L3"/>
    <mergeCell ref="M1:M3"/>
    <mergeCell ref="N1:N3"/>
    <mergeCell ref="D163:F172"/>
    <mergeCell ref="B68:B70"/>
    <mergeCell ref="B71:B73"/>
    <mergeCell ref="B74:B75"/>
    <mergeCell ref="B76:B77"/>
    <mergeCell ref="B80:B82"/>
    <mergeCell ref="B83:B85"/>
    <mergeCell ref="B86:B87"/>
    <mergeCell ref="B88:B89"/>
    <mergeCell ref="B92:B94"/>
    <mergeCell ref="B95:B97"/>
    <mergeCell ref="B98:B99"/>
    <mergeCell ref="B100:B101"/>
    <mergeCell ref="B104:B106"/>
    <mergeCell ref="B107:B109"/>
    <mergeCell ref="B146:B147"/>
    <mergeCell ref="B148:B149"/>
    <mergeCell ref="B124:B125"/>
    <mergeCell ref="B128:B130"/>
    <mergeCell ref="B131:B133"/>
    <mergeCell ref="B134:B135"/>
    <mergeCell ref="B136:B137"/>
    <mergeCell ref="B140:B142"/>
    <mergeCell ref="B143:B145"/>
    <mergeCell ref="P1:P3"/>
    <mergeCell ref="Q1:Q172"/>
    <mergeCell ref="H165:P166"/>
    <mergeCell ref="B2:H3"/>
    <mergeCell ref="C4:H4"/>
    <mergeCell ref="B32:B36"/>
    <mergeCell ref="B37:B41"/>
    <mergeCell ref="B44:B46"/>
    <mergeCell ref="B47:B49"/>
    <mergeCell ref="B50:B51"/>
    <mergeCell ref="B52:B53"/>
    <mergeCell ref="B56:B58"/>
    <mergeCell ref="B59:B61"/>
    <mergeCell ref="B62:B63"/>
    <mergeCell ref="B64:B65"/>
    <mergeCell ref="B110:B111"/>
    <mergeCell ref="B112:B113"/>
    <mergeCell ref="B116:B118"/>
    <mergeCell ref="B119:B121"/>
    <mergeCell ref="B122:B123"/>
  </mergeCells>
  <conditionalFormatting sqref="I6:K25 L6:L9 M6:P25 L15:L18 L20:L25 I27:K41 L27:L28 M27:P41 L30:L39 I44:P53 I56:P65 I68:P77 I80:P89 I92:P101 I104:P113 I116:P125 I128:P137 I140:P149 I152:P161">
    <cfRule type="cellIs" dxfId="0" priority="1" operator="equal">
      <formula>1</formula>
    </cfRule>
  </conditionalFormatting>
  <conditionalFormatting sqref="I6:K25 L6:L9 M6:P25 L15:L18 L20:L25 I27:K41 L27:L28 M27:P41 L30:L39 I44:P53 I56:P65 I68:P77 I80:P89 I92:P101 I104:P113 I116:P125 I128:P137 I140:P149 I152:P161">
    <cfRule type="cellIs" dxfId="1" priority="2" operator="equal">
      <formula>2</formula>
    </cfRule>
  </conditionalFormatting>
  <conditionalFormatting sqref="I6:K25 L6:L9 M6:P25 L15:L18 L20:L25 I27:K41 L27:L28 M27:P41 L30:L39 I44:P53 I56:P65 I68:P77 I80:P89 I92:P101 I104:P113 I116:P125 I128:P137 I140:P149 I152:P161">
    <cfRule type="cellIs" dxfId="2" priority="3" operator="equal">
      <formula>5</formula>
    </cfRule>
  </conditionalFormatting>
  <conditionalFormatting sqref="I6:K25 L6:L9 M6:P25 L15:L18 L20:L25 I27:K41 L27:L28 M27:P41 L30:L39 I44:P53 I56:P65 I68:P77 I80:P89 I92:P101 I104:P113 I116:P125 I128:P137 I140:P149 I152:P161">
    <cfRule type="cellIs" dxfId="3" priority="4" operator="equal">
      <formula>3</formula>
    </cfRule>
  </conditionalFormatting>
  <conditionalFormatting sqref="I6:K25 L6:L9 M6:P25 L15:L18 L20:L25 I27:K41 L27:L28 M27:P41 L30:L39 I44:P53 I56:P65 I68:P77 I80:P89 I92:P101 I104:P113 I116:P125 I128:P137 I140:P149 I152:P161">
    <cfRule type="cellIs" dxfId="4" priority="5" operator="equal">
      <formula>4</formula>
    </cfRule>
  </conditionalFormatting>
  <conditionalFormatting sqref="A1:A13 Q1 B2:H2 A162 Q162:Q172 A165:A172">
    <cfRule type="notContainsBlanks" dxfId="5" priority="6">
      <formula>LEN(TRIM(A1))&gt;0</formula>
    </cfRule>
  </conditionalFormatting>
  <conditionalFormatting sqref="N156:O156 N159:O159">
    <cfRule type="notContainsBlanks" dxfId="5" priority="7">
      <formula>LEN(TRIM(N156))&gt;0</formula>
    </cfRule>
  </conditionalFormatting>
  <hyperlinks>
    <hyperlink r:id="rId1" ref="C1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  <hyperlink r:id="rId33" ref="H38"/>
    <hyperlink r:id="rId34" ref="H39"/>
    <hyperlink r:id="rId35" ref="H40"/>
    <hyperlink r:id="rId36" ref="H41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2"/>
    <hyperlink r:id="rId78" ref="H93"/>
    <hyperlink r:id="rId79" ref="H94"/>
    <hyperlink r:id="rId80" ref="H95"/>
    <hyperlink r:id="rId81" ref="H96"/>
    <hyperlink r:id="rId82" ref="H98"/>
    <hyperlink r:id="rId83" ref="H99"/>
    <hyperlink r:id="rId84" ref="H100"/>
    <hyperlink r:id="rId85" ref="H101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6"/>
    <hyperlink r:id="rId97" ref="H117"/>
    <hyperlink r:id="rId98" ref="H118"/>
    <hyperlink r:id="rId99" ref="H119"/>
    <hyperlink r:id="rId100" ref="H120"/>
    <hyperlink r:id="rId101" ref="H121"/>
    <hyperlink r:id="rId102" ref="H122"/>
    <hyperlink r:id="rId103" ref="H123"/>
    <hyperlink r:id="rId104" ref="H124"/>
    <hyperlink r:id="rId105" ref="H125"/>
    <hyperlink r:id="rId106" ref="H128"/>
    <hyperlink r:id="rId107" ref="H129"/>
    <hyperlink r:id="rId108" ref="H130"/>
    <hyperlink r:id="rId109" ref="H131"/>
    <hyperlink r:id="rId110" ref="H132"/>
    <hyperlink r:id="rId111" ref="H133"/>
    <hyperlink r:id="rId112" ref="H134"/>
    <hyperlink r:id="rId113" ref="H135"/>
    <hyperlink r:id="rId114" ref="H136"/>
    <hyperlink r:id="rId115" ref="H137"/>
    <hyperlink r:id="rId116" ref="H140"/>
    <hyperlink r:id="rId117" ref="H141"/>
    <hyperlink r:id="rId118" ref="H142"/>
    <hyperlink r:id="rId119" ref="H143"/>
    <hyperlink r:id="rId120" ref="H144"/>
    <hyperlink r:id="rId121" ref="H145"/>
    <hyperlink r:id="rId122" ref="H146"/>
    <hyperlink r:id="rId123" ref="H147"/>
    <hyperlink r:id="rId124" ref="H148"/>
    <hyperlink r:id="rId125" ref="H149"/>
    <hyperlink r:id="rId126" ref="H152"/>
    <hyperlink r:id="rId127" ref="H153"/>
    <hyperlink r:id="rId128" ref="H154"/>
    <hyperlink r:id="rId129" ref="H155"/>
    <hyperlink r:id="rId130" ref="H156"/>
    <hyperlink r:id="rId131" ref="H157"/>
    <hyperlink r:id="rId132" ref="H158"/>
    <hyperlink r:id="rId133" ref="H159"/>
    <hyperlink r:id="rId134" ref="H161"/>
  </hyperlinks>
  <drawing r:id="rId1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38"/>
    <col customWidth="1" min="2" max="2" width="2.63"/>
    <col customWidth="1" min="3" max="3" width="29.88"/>
    <col customWidth="1" min="4" max="4" width="16.88"/>
    <col customWidth="1" min="8" max="8" width="13.88"/>
    <col hidden="1" min="9" max="9" width="12.63"/>
    <col hidden="1" min="12" max="12" width="12.63"/>
    <col customWidth="1" min="17" max="17" width="4.5"/>
  </cols>
  <sheetData>
    <row r="1">
      <c r="A1" s="479"/>
      <c r="B1" s="300"/>
      <c r="C1" s="594" t="s">
        <v>855</v>
      </c>
      <c r="D1" s="595"/>
      <c r="E1" s="596"/>
      <c r="F1" s="597"/>
      <c r="G1" s="598"/>
      <c r="H1" s="599"/>
      <c r="I1" s="600" t="s">
        <v>427</v>
      </c>
      <c r="J1" s="601" t="s">
        <v>208</v>
      </c>
      <c r="K1" s="601" t="s">
        <v>426</v>
      </c>
      <c r="L1" s="601" t="s">
        <v>2</v>
      </c>
      <c r="M1" s="601" t="s">
        <v>1</v>
      </c>
      <c r="N1" s="600" t="s">
        <v>4</v>
      </c>
      <c r="O1" s="602"/>
      <c r="P1" s="600" t="s">
        <v>210</v>
      </c>
      <c r="Q1" s="479"/>
    </row>
    <row r="2">
      <c r="A2" s="11"/>
      <c r="B2" s="603"/>
      <c r="C2" s="348"/>
      <c r="D2" s="348"/>
      <c r="E2" s="348"/>
      <c r="F2" s="348"/>
      <c r="G2" s="348"/>
      <c r="H2" s="349"/>
      <c r="I2" s="11"/>
      <c r="J2" s="11"/>
      <c r="K2" s="11"/>
      <c r="L2" s="11"/>
      <c r="M2" s="11"/>
      <c r="N2" s="11"/>
      <c r="O2" s="602" t="s">
        <v>3</v>
      </c>
      <c r="P2" s="11"/>
      <c r="Q2" s="11"/>
    </row>
    <row r="3">
      <c r="A3" s="11"/>
      <c r="B3" s="604"/>
      <c r="C3" s="334"/>
      <c r="D3" s="334"/>
      <c r="E3" s="334"/>
      <c r="F3" s="334"/>
      <c r="G3" s="334"/>
      <c r="H3" s="287"/>
      <c r="I3" s="286"/>
      <c r="J3" s="286"/>
      <c r="K3" s="286"/>
      <c r="L3" s="286"/>
      <c r="M3" s="286"/>
      <c r="N3" s="286"/>
      <c r="O3" s="602"/>
      <c r="P3" s="286"/>
      <c r="Q3" s="11"/>
    </row>
    <row r="4">
      <c r="A4" s="11"/>
      <c r="B4" s="605"/>
      <c r="C4" s="122" t="s">
        <v>11</v>
      </c>
      <c r="D4" s="22"/>
      <c r="E4" s="22"/>
      <c r="F4" s="22"/>
      <c r="G4" s="22"/>
      <c r="H4" s="21"/>
      <c r="I4" s="606"/>
      <c r="J4" s="607"/>
      <c r="K4" s="607"/>
      <c r="L4" s="607"/>
      <c r="M4" s="607"/>
      <c r="N4" s="607"/>
      <c r="O4" s="607"/>
      <c r="P4" s="608"/>
      <c r="Q4" s="11"/>
    </row>
    <row r="5">
      <c r="A5" s="11"/>
      <c r="B5" s="609"/>
      <c r="C5" s="136"/>
      <c r="D5" s="610"/>
      <c r="E5" s="84"/>
      <c r="F5" s="85"/>
      <c r="G5" s="86"/>
      <c r="H5" s="611"/>
      <c r="I5" s="87" t="s">
        <v>427</v>
      </c>
      <c r="J5" s="140" t="s">
        <v>208</v>
      </c>
      <c r="K5" s="140" t="s">
        <v>426</v>
      </c>
      <c r="L5" s="140" t="s">
        <v>2</v>
      </c>
      <c r="M5" s="140" t="s">
        <v>1</v>
      </c>
      <c r="N5" s="140" t="s">
        <v>4</v>
      </c>
      <c r="O5" s="88" t="s">
        <v>3</v>
      </c>
      <c r="P5" s="612" t="s">
        <v>210</v>
      </c>
      <c r="Q5" s="11"/>
    </row>
    <row r="6">
      <c r="A6" s="11"/>
      <c r="B6" s="613">
        <v>1.0</v>
      </c>
      <c r="C6" s="614" t="s">
        <v>856</v>
      </c>
      <c r="D6" s="547"/>
      <c r="E6" s="184">
        <v>1.0</v>
      </c>
      <c r="F6" s="185">
        <v>3.0</v>
      </c>
      <c r="G6" s="171">
        <v>1.0</v>
      </c>
      <c r="H6" s="384" t="s">
        <v>714</v>
      </c>
      <c r="I6" s="432"/>
      <c r="J6" s="54">
        <v>1.0</v>
      </c>
      <c r="K6" s="54">
        <v>1.0</v>
      </c>
      <c r="L6" s="54"/>
      <c r="M6" s="54">
        <v>1.0</v>
      </c>
      <c r="N6" s="54">
        <v>2.0</v>
      </c>
      <c r="O6" s="650">
        <v>2.0</v>
      </c>
      <c r="P6" s="57">
        <v>2.0</v>
      </c>
      <c r="Q6" s="11"/>
    </row>
    <row r="7">
      <c r="A7" s="11"/>
      <c r="B7" s="353"/>
      <c r="C7" s="580" t="s">
        <v>857</v>
      </c>
      <c r="D7" s="541"/>
      <c r="E7" s="67">
        <v>2.0</v>
      </c>
      <c r="F7" s="68">
        <v>1.0</v>
      </c>
      <c r="G7" s="69">
        <v>1.0</v>
      </c>
      <c r="H7" s="384" t="s">
        <v>714</v>
      </c>
      <c r="I7" s="434"/>
      <c r="J7" s="55">
        <v>1.0</v>
      </c>
      <c r="K7" s="55">
        <v>1.0</v>
      </c>
      <c r="L7" s="55"/>
      <c r="M7" s="55">
        <v>2.0</v>
      </c>
      <c r="N7" s="55">
        <v>1.0</v>
      </c>
      <c r="O7" s="651">
        <v>1.0</v>
      </c>
      <c r="P7" s="62">
        <v>1.0</v>
      </c>
      <c r="Q7" s="11"/>
    </row>
    <row r="8">
      <c r="A8" s="11"/>
      <c r="B8" s="353"/>
      <c r="C8" s="580" t="s">
        <v>858</v>
      </c>
      <c r="D8" s="541"/>
      <c r="E8" s="67">
        <v>2.0</v>
      </c>
      <c r="F8" s="68">
        <v>3.0</v>
      </c>
      <c r="G8" s="69">
        <v>2.0</v>
      </c>
      <c r="H8" s="384" t="s">
        <v>714</v>
      </c>
      <c r="I8" s="434"/>
      <c r="J8" s="55">
        <v>2.0</v>
      </c>
      <c r="K8" s="55">
        <v>2.0</v>
      </c>
      <c r="L8" s="55"/>
      <c r="M8" s="55">
        <v>2.0</v>
      </c>
      <c r="N8" s="55">
        <v>1.0</v>
      </c>
      <c r="O8" s="650">
        <v>2.0</v>
      </c>
      <c r="P8" s="62">
        <v>1.0</v>
      </c>
      <c r="Q8" s="11"/>
    </row>
    <row r="9">
      <c r="A9" s="11"/>
      <c r="B9" s="353"/>
      <c r="C9" s="580" t="s">
        <v>859</v>
      </c>
      <c r="D9" s="541"/>
      <c r="E9" s="67">
        <v>2.0</v>
      </c>
      <c r="F9" s="68">
        <v>2.0</v>
      </c>
      <c r="G9" s="69">
        <v>2.0</v>
      </c>
      <c r="H9" s="384" t="s">
        <v>714</v>
      </c>
      <c r="I9" s="434"/>
      <c r="J9" s="55">
        <v>3.0</v>
      </c>
      <c r="K9" s="55">
        <v>2.0</v>
      </c>
      <c r="L9" s="55"/>
      <c r="M9" s="55">
        <v>1.0</v>
      </c>
      <c r="N9" s="55">
        <v>2.0</v>
      </c>
      <c r="O9" s="651">
        <v>1.0</v>
      </c>
      <c r="P9" s="62"/>
      <c r="Q9" s="11"/>
    </row>
    <row r="10">
      <c r="A10" s="11"/>
      <c r="B10" s="353"/>
      <c r="C10" s="580" t="s">
        <v>860</v>
      </c>
      <c r="D10" s="541"/>
      <c r="E10" s="67">
        <v>1.0</v>
      </c>
      <c r="F10" s="68">
        <v>3.0</v>
      </c>
      <c r="G10" s="69">
        <v>2.0</v>
      </c>
      <c r="H10" s="384" t="s">
        <v>714</v>
      </c>
      <c r="I10" s="434"/>
      <c r="J10" s="55">
        <v>1.0</v>
      </c>
      <c r="K10" s="55">
        <v>1.0</v>
      </c>
      <c r="L10" s="55"/>
      <c r="M10" s="55">
        <v>1.0</v>
      </c>
      <c r="N10" s="55">
        <v>1.0</v>
      </c>
      <c r="O10" s="651">
        <v>1.0</v>
      </c>
      <c r="P10" s="62">
        <v>1.0</v>
      </c>
      <c r="Q10" s="11"/>
    </row>
    <row r="11">
      <c r="A11" s="11"/>
      <c r="B11" s="353"/>
      <c r="C11" s="616" t="s">
        <v>861</v>
      </c>
      <c r="D11" s="617"/>
      <c r="E11" s="70">
        <v>1.0</v>
      </c>
      <c r="F11" s="70">
        <v>2.0</v>
      </c>
      <c r="G11" s="618">
        <v>2.0</v>
      </c>
      <c r="H11" s="384" t="s">
        <v>714</v>
      </c>
      <c r="I11" s="434"/>
      <c r="J11" s="55">
        <v>2.0</v>
      </c>
      <c r="K11" s="55">
        <v>1.0</v>
      </c>
      <c r="L11" s="55"/>
      <c r="M11" s="55">
        <v>1.0</v>
      </c>
      <c r="N11" s="55">
        <v>1.0</v>
      </c>
      <c r="O11" s="651">
        <v>1.0</v>
      </c>
      <c r="P11" s="62">
        <v>1.0</v>
      </c>
      <c r="Q11" s="11"/>
    </row>
    <row r="12">
      <c r="A12" s="11"/>
      <c r="B12" s="353"/>
      <c r="C12" s="619" t="s">
        <v>862</v>
      </c>
      <c r="D12" s="532" t="s">
        <v>863</v>
      </c>
      <c r="E12" s="50">
        <v>3.0</v>
      </c>
      <c r="F12" s="50">
        <v>3.0</v>
      </c>
      <c r="G12" s="65">
        <v>3.0</v>
      </c>
      <c r="H12" s="384" t="s">
        <v>714</v>
      </c>
      <c r="I12" s="434"/>
      <c r="J12" s="55">
        <v>1.0</v>
      </c>
      <c r="K12" s="55">
        <v>1.0</v>
      </c>
      <c r="L12" s="55"/>
      <c r="M12" s="55">
        <v>1.0</v>
      </c>
      <c r="N12" s="55">
        <v>1.0</v>
      </c>
      <c r="O12" s="650">
        <v>2.0</v>
      </c>
      <c r="P12" s="62">
        <v>1.0</v>
      </c>
      <c r="Q12" s="11"/>
    </row>
    <row r="13">
      <c r="A13" s="11"/>
      <c r="B13" s="353"/>
      <c r="C13" s="580" t="s">
        <v>864</v>
      </c>
      <c r="D13" s="541"/>
      <c r="E13" s="67">
        <v>5.0</v>
      </c>
      <c r="F13" s="68">
        <v>6.0</v>
      </c>
      <c r="G13" s="69">
        <v>3.0</v>
      </c>
      <c r="H13" s="384" t="s">
        <v>714</v>
      </c>
      <c r="I13" s="434"/>
      <c r="J13" s="55">
        <v>1.0</v>
      </c>
      <c r="K13" s="55">
        <v>2.0</v>
      </c>
      <c r="L13" s="55"/>
      <c r="M13" s="55">
        <v>1.0</v>
      </c>
      <c r="N13" s="55">
        <v>2.0</v>
      </c>
      <c r="O13" s="650">
        <v>2.0</v>
      </c>
      <c r="P13" s="62">
        <v>1.0</v>
      </c>
      <c r="Q13" s="11"/>
    </row>
    <row r="14">
      <c r="A14" s="11"/>
      <c r="B14" s="353"/>
      <c r="C14" s="580" t="s">
        <v>865</v>
      </c>
      <c r="D14" s="541"/>
      <c r="E14" s="67">
        <v>3.0</v>
      </c>
      <c r="F14" s="68">
        <v>3.0</v>
      </c>
      <c r="G14" s="69">
        <v>3.0</v>
      </c>
      <c r="H14" s="384" t="s">
        <v>714</v>
      </c>
      <c r="I14" s="434"/>
      <c r="J14" s="55">
        <v>1.0</v>
      </c>
      <c r="K14" s="55">
        <v>1.0</v>
      </c>
      <c r="L14" s="55"/>
      <c r="M14" s="55">
        <v>1.0</v>
      </c>
      <c r="N14" s="55">
        <v>2.0</v>
      </c>
      <c r="O14" s="651">
        <v>1.0</v>
      </c>
      <c r="P14" s="62">
        <v>2.0</v>
      </c>
      <c r="Q14" s="11"/>
    </row>
    <row r="15">
      <c r="A15" s="11"/>
      <c r="B15" s="353"/>
      <c r="C15" s="580" t="s">
        <v>866</v>
      </c>
      <c r="D15" s="532" t="s">
        <v>863</v>
      </c>
      <c r="E15" s="460">
        <v>2.0</v>
      </c>
      <c r="F15" s="460">
        <v>3.0</v>
      </c>
      <c r="G15" s="581">
        <v>3.0</v>
      </c>
      <c r="H15" s="384" t="s">
        <v>714</v>
      </c>
      <c r="I15" s="434"/>
      <c r="J15" s="55">
        <v>2.0</v>
      </c>
      <c r="K15" s="55">
        <v>2.0</v>
      </c>
      <c r="L15" s="55"/>
      <c r="M15" s="55">
        <v>1.0</v>
      </c>
      <c r="N15" s="55">
        <v>2.0</v>
      </c>
      <c r="O15" s="651">
        <v>1.0</v>
      </c>
      <c r="P15" s="62">
        <v>1.0</v>
      </c>
      <c r="Q15" s="11"/>
    </row>
    <row r="16">
      <c r="A16" s="11"/>
      <c r="B16" s="353"/>
      <c r="C16" s="580" t="s">
        <v>867</v>
      </c>
      <c r="D16" s="532" t="s">
        <v>868</v>
      </c>
      <c r="E16" s="50">
        <v>3.0</v>
      </c>
      <c r="F16" s="50">
        <v>4.0</v>
      </c>
      <c r="G16" s="65">
        <v>3.0</v>
      </c>
      <c r="H16" s="384" t="s">
        <v>714</v>
      </c>
      <c r="I16" s="434"/>
      <c r="J16" s="55">
        <v>3.0</v>
      </c>
      <c r="K16" s="55">
        <v>3.0</v>
      </c>
      <c r="L16" s="55"/>
      <c r="M16" s="55">
        <v>4.0</v>
      </c>
      <c r="N16" s="55">
        <v>3.0</v>
      </c>
      <c r="O16" s="652">
        <v>4.0</v>
      </c>
      <c r="P16" s="62">
        <v>3.0</v>
      </c>
      <c r="Q16" s="11"/>
    </row>
    <row r="17">
      <c r="A17" s="11"/>
      <c r="B17" s="353"/>
      <c r="C17" s="580" t="s">
        <v>869</v>
      </c>
      <c r="D17" s="532" t="s">
        <v>863</v>
      </c>
      <c r="E17" s="50">
        <v>3.0</v>
      </c>
      <c r="F17" s="50">
        <v>4.0</v>
      </c>
      <c r="G17" s="65">
        <v>4.0</v>
      </c>
      <c r="H17" s="384" t="s">
        <v>714</v>
      </c>
      <c r="I17" s="434"/>
      <c r="J17" s="55">
        <v>3.0</v>
      </c>
      <c r="K17" s="55">
        <v>3.0</v>
      </c>
      <c r="L17" s="55"/>
      <c r="M17" s="55">
        <v>3.0</v>
      </c>
      <c r="N17" s="55">
        <v>3.0</v>
      </c>
      <c r="O17" s="652">
        <v>4.0</v>
      </c>
      <c r="P17" s="62">
        <v>3.0</v>
      </c>
      <c r="Q17" s="11"/>
    </row>
    <row r="18">
      <c r="A18" s="11"/>
      <c r="B18" s="353"/>
      <c r="C18" s="580" t="s">
        <v>870</v>
      </c>
      <c r="D18" s="532"/>
      <c r="E18" s="50">
        <v>3.0</v>
      </c>
      <c r="F18" s="50">
        <v>2.0</v>
      </c>
      <c r="G18" s="65">
        <v>4.0</v>
      </c>
      <c r="H18" s="384" t="s">
        <v>714</v>
      </c>
      <c r="I18" s="434"/>
      <c r="J18" s="55">
        <v>3.0</v>
      </c>
      <c r="K18" s="55">
        <v>2.0</v>
      </c>
      <c r="L18" s="55"/>
      <c r="M18" s="55">
        <v>2.0</v>
      </c>
      <c r="N18" s="55">
        <v>2.0</v>
      </c>
      <c r="O18" s="651">
        <v>1.0</v>
      </c>
      <c r="P18" s="62">
        <v>2.0</v>
      </c>
      <c r="Q18" s="11"/>
    </row>
    <row r="19">
      <c r="A19" s="11"/>
      <c r="B19" s="353"/>
      <c r="C19" s="580" t="s">
        <v>871</v>
      </c>
      <c r="D19" s="532" t="s">
        <v>863</v>
      </c>
      <c r="E19" s="67">
        <v>3.0</v>
      </c>
      <c r="F19" s="68">
        <v>4.0</v>
      </c>
      <c r="G19" s="69">
        <v>4.0</v>
      </c>
      <c r="H19" s="384" t="s">
        <v>714</v>
      </c>
      <c r="I19" s="434"/>
      <c r="J19" s="55">
        <v>1.0</v>
      </c>
      <c r="K19" s="55">
        <v>1.0</v>
      </c>
      <c r="L19" s="55"/>
      <c r="M19" s="55">
        <v>2.0</v>
      </c>
      <c r="N19" s="55">
        <v>1.0</v>
      </c>
      <c r="O19" s="653">
        <v>3.0</v>
      </c>
      <c r="P19" s="62">
        <v>2.0</v>
      </c>
      <c r="Q19" s="11"/>
    </row>
    <row r="20">
      <c r="A20" s="11"/>
      <c r="B20" s="353"/>
      <c r="C20" s="580" t="s">
        <v>872</v>
      </c>
      <c r="D20" s="541"/>
      <c r="E20" s="67">
        <v>3.0</v>
      </c>
      <c r="F20" s="68">
        <v>3.0</v>
      </c>
      <c r="G20" s="69">
        <v>4.0</v>
      </c>
      <c r="H20" s="384" t="s">
        <v>714</v>
      </c>
      <c r="I20" s="434"/>
      <c r="J20" s="55">
        <v>2.0</v>
      </c>
      <c r="K20" s="55">
        <v>2.0</v>
      </c>
      <c r="L20" s="55"/>
      <c r="M20" s="55">
        <v>1.0</v>
      </c>
      <c r="N20" s="55">
        <v>1.0</v>
      </c>
      <c r="O20" s="653">
        <v>3.0</v>
      </c>
      <c r="P20" s="62">
        <v>1.0</v>
      </c>
      <c r="Q20" s="11"/>
    </row>
    <row r="21">
      <c r="A21" s="11"/>
      <c r="B21" s="353"/>
      <c r="C21" s="580" t="s">
        <v>873</v>
      </c>
      <c r="D21" s="541"/>
      <c r="E21" s="67">
        <v>4.0</v>
      </c>
      <c r="F21" s="68">
        <v>5.0</v>
      </c>
      <c r="G21" s="69">
        <v>5.0</v>
      </c>
      <c r="H21" s="384" t="s">
        <v>714</v>
      </c>
      <c r="I21" s="434"/>
      <c r="J21" s="55">
        <v>1.0</v>
      </c>
      <c r="K21" s="55">
        <v>1.0</v>
      </c>
      <c r="L21" s="55"/>
      <c r="M21" s="55">
        <v>1.0</v>
      </c>
      <c r="N21" s="55">
        <v>1.0</v>
      </c>
      <c r="O21" s="651">
        <v>1.0</v>
      </c>
      <c r="P21" s="62">
        <v>1.0</v>
      </c>
      <c r="Q21" s="11"/>
    </row>
    <row r="22">
      <c r="A22" s="11"/>
      <c r="B22" s="353"/>
      <c r="C22" s="580" t="s">
        <v>874</v>
      </c>
      <c r="D22" s="620"/>
      <c r="E22" s="231">
        <v>4.0</v>
      </c>
      <c r="F22" s="231">
        <v>6.0</v>
      </c>
      <c r="G22" s="582">
        <v>5.0</v>
      </c>
      <c r="H22" s="384" t="s">
        <v>714</v>
      </c>
      <c r="I22" s="441"/>
      <c r="J22" s="442">
        <v>1.0</v>
      </c>
      <c r="K22" s="442">
        <v>2.0</v>
      </c>
      <c r="L22" s="442"/>
      <c r="M22" s="442">
        <v>1.0</v>
      </c>
      <c r="N22" s="442">
        <v>1.0</v>
      </c>
      <c r="O22" s="651">
        <v>1.0</v>
      </c>
      <c r="P22" s="444">
        <v>3.0</v>
      </c>
      <c r="Q22" s="11"/>
    </row>
    <row r="23">
      <c r="A23" s="11"/>
      <c r="B23" s="353"/>
      <c r="C23" s="580" t="s">
        <v>875</v>
      </c>
      <c r="D23" s="532"/>
      <c r="E23" s="460">
        <v>5.0</v>
      </c>
      <c r="F23" s="460">
        <v>5.0</v>
      </c>
      <c r="G23" s="581">
        <v>5.0</v>
      </c>
      <c r="H23" s="384" t="s">
        <v>714</v>
      </c>
      <c r="I23" s="457"/>
      <c r="J23" s="56">
        <v>4.0</v>
      </c>
      <c r="K23" s="56">
        <v>3.0</v>
      </c>
      <c r="L23" s="56"/>
      <c r="M23" s="56">
        <v>1.0</v>
      </c>
      <c r="N23" s="56">
        <v>3.0</v>
      </c>
      <c r="O23" s="650">
        <v>2.0</v>
      </c>
      <c r="P23" s="376">
        <v>3.0</v>
      </c>
      <c r="Q23" s="11"/>
    </row>
    <row r="24">
      <c r="A24" s="11"/>
      <c r="B24" s="353"/>
      <c r="C24" s="580" t="s">
        <v>876</v>
      </c>
      <c r="D24" s="620"/>
      <c r="E24" s="231">
        <v>4.0</v>
      </c>
      <c r="F24" s="231">
        <v>4.0</v>
      </c>
      <c r="G24" s="582">
        <v>6.0</v>
      </c>
      <c r="H24" s="384" t="s">
        <v>714</v>
      </c>
      <c r="I24" s="434"/>
      <c r="J24" s="55">
        <v>1.0</v>
      </c>
      <c r="K24" s="55">
        <v>1.0</v>
      </c>
      <c r="L24" s="55"/>
      <c r="M24" s="55">
        <v>1.0</v>
      </c>
      <c r="N24" s="55">
        <v>1.0</v>
      </c>
      <c r="O24" s="651">
        <v>1.0</v>
      </c>
      <c r="P24" s="62">
        <v>1.0</v>
      </c>
      <c r="Q24" s="11"/>
    </row>
    <row r="25">
      <c r="A25" s="11"/>
      <c r="B25" s="355"/>
      <c r="C25" s="580" t="s">
        <v>877</v>
      </c>
      <c r="D25" s="621" t="s">
        <v>97</v>
      </c>
      <c r="E25" s="439">
        <v>8.0</v>
      </c>
      <c r="F25" s="439">
        <v>8.0</v>
      </c>
      <c r="G25" s="537">
        <v>8.0</v>
      </c>
      <c r="H25" s="384" t="s">
        <v>714</v>
      </c>
      <c r="I25" s="521"/>
      <c r="J25" s="76">
        <v>3.0</v>
      </c>
      <c r="K25" s="76">
        <v>2.0</v>
      </c>
      <c r="L25" s="76"/>
      <c r="M25" s="76">
        <v>2.0</v>
      </c>
      <c r="N25" s="76">
        <v>2.0</v>
      </c>
      <c r="O25" s="650">
        <v>2.0</v>
      </c>
      <c r="P25" s="77">
        <v>2.0</v>
      </c>
      <c r="Q25" s="11"/>
    </row>
    <row r="26">
      <c r="A26" s="11"/>
      <c r="B26" s="609"/>
      <c r="C26" s="136"/>
      <c r="D26" s="525"/>
      <c r="E26" s="85"/>
      <c r="F26" s="85"/>
      <c r="G26" s="86"/>
      <c r="H26" s="611"/>
      <c r="I26" s="87" t="s">
        <v>427</v>
      </c>
      <c r="J26" s="140" t="s">
        <v>208</v>
      </c>
      <c r="K26" s="140" t="s">
        <v>426</v>
      </c>
      <c r="L26" s="140" t="s">
        <v>2</v>
      </c>
      <c r="M26" s="140" t="s">
        <v>1</v>
      </c>
      <c r="N26" s="140" t="s">
        <v>4</v>
      </c>
      <c r="O26" s="622" t="s">
        <v>3</v>
      </c>
      <c r="P26" s="612" t="s">
        <v>210</v>
      </c>
      <c r="Q26" s="11"/>
    </row>
    <row r="27">
      <c r="A27" s="11"/>
      <c r="B27" s="623" t="s">
        <v>734</v>
      </c>
      <c r="C27" s="580" t="s">
        <v>878</v>
      </c>
      <c r="D27" s="541"/>
      <c r="E27" s="67">
        <v>3.0</v>
      </c>
      <c r="F27" s="68">
        <v>2.0</v>
      </c>
      <c r="G27" s="69">
        <v>2.0</v>
      </c>
      <c r="H27" s="384" t="s">
        <v>714</v>
      </c>
      <c r="I27" s="432"/>
      <c r="J27" s="54">
        <v>1.0</v>
      </c>
      <c r="K27" s="54">
        <v>1.0</v>
      </c>
      <c r="L27" s="426"/>
      <c r="M27" s="426">
        <v>1.0</v>
      </c>
      <c r="N27" s="54">
        <v>1.0</v>
      </c>
      <c r="O27" s="651">
        <v>1.0</v>
      </c>
      <c r="P27" s="57">
        <v>1.0</v>
      </c>
      <c r="Q27" s="11"/>
    </row>
    <row r="28">
      <c r="A28" s="11"/>
      <c r="B28" s="353"/>
      <c r="C28" s="619" t="s">
        <v>879</v>
      </c>
      <c r="D28" s="532" t="s">
        <v>22</v>
      </c>
      <c r="E28" s="50">
        <v>2.0</v>
      </c>
      <c r="F28" s="50">
        <v>3.0</v>
      </c>
      <c r="G28" s="65">
        <v>2.0</v>
      </c>
      <c r="H28" s="384" t="s">
        <v>714</v>
      </c>
      <c r="I28" s="434"/>
      <c r="J28" s="55">
        <v>3.0</v>
      </c>
      <c r="K28" s="55">
        <v>2.0</v>
      </c>
      <c r="L28" s="428"/>
      <c r="M28" s="428">
        <v>2.0</v>
      </c>
      <c r="N28" s="55">
        <v>1.0</v>
      </c>
      <c r="O28" s="651">
        <v>1.0</v>
      </c>
      <c r="P28" s="62">
        <v>1.0</v>
      </c>
      <c r="Q28" s="11"/>
    </row>
    <row r="29" ht="15.75" customHeight="1">
      <c r="A29" s="11"/>
      <c r="B29" s="624"/>
      <c r="C29" s="580" t="s">
        <v>880</v>
      </c>
      <c r="D29" s="541"/>
      <c r="E29" s="67">
        <v>3.0</v>
      </c>
      <c r="F29" s="68">
        <v>4.0</v>
      </c>
      <c r="G29" s="69">
        <v>3.0</v>
      </c>
      <c r="H29" s="384" t="s">
        <v>714</v>
      </c>
      <c r="I29" s="434"/>
      <c r="J29" s="55">
        <v>1.0</v>
      </c>
      <c r="K29" s="55">
        <v>3.0</v>
      </c>
      <c r="L29" s="428"/>
      <c r="M29" s="428">
        <v>3.0</v>
      </c>
      <c r="N29" s="55">
        <v>3.0</v>
      </c>
      <c r="O29" s="652">
        <v>4.0</v>
      </c>
      <c r="P29" s="62">
        <v>2.0</v>
      </c>
      <c r="Q29" s="11"/>
    </row>
    <row r="30" ht="15.75" customHeight="1">
      <c r="A30" s="11"/>
      <c r="B30" s="625"/>
      <c r="C30" s="580" t="s">
        <v>881</v>
      </c>
      <c r="D30" s="620"/>
      <c r="E30" s="231">
        <v>2.0</v>
      </c>
      <c r="F30" s="231">
        <v>4.0</v>
      </c>
      <c r="G30" s="582">
        <v>3.0</v>
      </c>
      <c r="H30" s="384" t="s">
        <v>714</v>
      </c>
      <c r="I30" s="434"/>
      <c r="J30" s="55">
        <v>1.0</v>
      </c>
      <c r="K30" s="55">
        <v>1.0</v>
      </c>
      <c r="L30" s="428"/>
      <c r="M30" s="428">
        <v>1.0</v>
      </c>
      <c r="N30" s="55">
        <v>1.0</v>
      </c>
      <c r="O30" s="651">
        <v>1.0</v>
      </c>
      <c r="P30" s="62">
        <v>1.0</v>
      </c>
      <c r="Q30" s="11"/>
    </row>
    <row r="31" ht="15.75" customHeight="1">
      <c r="A31" s="11"/>
      <c r="B31" s="625"/>
      <c r="C31" s="588" t="s">
        <v>882</v>
      </c>
      <c r="D31" s="550"/>
      <c r="E31" s="231">
        <v>5.0</v>
      </c>
      <c r="F31" s="232">
        <v>4.0</v>
      </c>
      <c r="G31" s="208">
        <v>10.0</v>
      </c>
      <c r="H31" s="384" t="s">
        <v>714</v>
      </c>
      <c r="I31" s="434"/>
      <c r="J31" s="55">
        <v>1.0</v>
      </c>
      <c r="K31" s="55">
        <v>2.0</v>
      </c>
      <c r="L31" s="428"/>
      <c r="M31" s="428">
        <v>4.0</v>
      </c>
      <c r="N31" s="55">
        <v>1.0</v>
      </c>
      <c r="O31" s="650">
        <v>2.0</v>
      </c>
      <c r="P31" s="62">
        <v>1.0</v>
      </c>
      <c r="Q31" s="11"/>
    </row>
    <row r="32">
      <c r="A32" s="11"/>
      <c r="B32" s="626" t="s">
        <v>740</v>
      </c>
      <c r="C32" s="580" t="s">
        <v>883</v>
      </c>
      <c r="D32" s="541" t="s">
        <v>22</v>
      </c>
      <c r="E32" s="67">
        <v>1.0</v>
      </c>
      <c r="F32" s="68">
        <v>1.0</v>
      </c>
      <c r="G32" s="69">
        <v>1.0</v>
      </c>
      <c r="H32" s="384" t="s">
        <v>714</v>
      </c>
      <c r="I32" s="434"/>
      <c r="J32" s="55">
        <v>1.0</v>
      </c>
      <c r="K32" s="55">
        <v>1.0</v>
      </c>
      <c r="L32" s="428"/>
      <c r="M32" s="428">
        <v>1.0</v>
      </c>
      <c r="N32" s="55">
        <v>2.0</v>
      </c>
      <c r="O32" s="654">
        <v>5.0</v>
      </c>
      <c r="P32" s="62">
        <v>2.0</v>
      </c>
      <c r="Q32" s="11"/>
    </row>
    <row r="33">
      <c r="A33" s="11"/>
      <c r="B33" s="353"/>
      <c r="C33" s="627" t="s">
        <v>884</v>
      </c>
      <c r="D33" s="621"/>
      <c r="E33" s="439">
        <v>2.0</v>
      </c>
      <c r="F33" s="439">
        <v>3.0</v>
      </c>
      <c r="G33" s="537">
        <v>3.0</v>
      </c>
      <c r="H33" s="384" t="s">
        <v>714</v>
      </c>
      <c r="I33" s="434"/>
      <c r="J33" s="55">
        <v>3.0</v>
      </c>
      <c r="K33" s="55">
        <v>2.0</v>
      </c>
      <c r="L33" s="428"/>
      <c r="M33" s="428">
        <v>1.0</v>
      </c>
      <c r="N33" s="55">
        <v>2.0</v>
      </c>
      <c r="O33" s="650">
        <v>2.0</v>
      </c>
      <c r="P33" s="62">
        <v>1.0</v>
      </c>
      <c r="Q33" s="11"/>
    </row>
    <row r="34">
      <c r="A34" s="11"/>
      <c r="B34" s="353"/>
      <c r="C34" s="580" t="s">
        <v>885</v>
      </c>
      <c r="D34" s="541"/>
      <c r="E34" s="67">
        <v>5.0</v>
      </c>
      <c r="F34" s="68">
        <v>4.0</v>
      </c>
      <c r="G34" s="69">
        <v>2.0</v>
      </c>
      <c r="H34" s="384" t="s">
        <v>714</v>
      </c>
      <c r="I34" s="434"/>
      <c r="J34" s="55">
        <v>1.0</v>
      </c>
      <c r="K34" s="55">
        <v>1.0</v>
      </c>
      <c r="L34" s="428"/>
      <c r="M34" s="428">
        <v>1.0</v>
      </c>
      <c r="N34" s="55">
        <v>1.0</v>
      </c>
      <c r="O34" s="651">
        <v>1.0</v>
      </c>
      <c r="P34" s="62">
        <v>2.0</v>
      </c>
      <c r="Q34" s="11"/>
    </row>
    <row r="35">
      <c r="A35" s="11"/>
      <c r="B35" s="353"/>
      <c r="C35" s="619" t="s">
        <v>886</v>
      </c>
      <c r="D35" s="541"/>
      <c r="E35" s="50">
        <v>2.0</v>
      </c>
      <c r="F35" s="50">
        <v>3.0</v>
      </c>
      <c r="G35" s="65">
        <v>3.0</v>
      </c>
      <c r="H35" s="384" t="s">
        <v>714</v>
      </c>
      <c r="I35" s="434"/>
      <c r="J35" s="55">
        <v>1.0</v>
      </c>
      <c r="K35" s="55">
        <v>1.0</v>
      </c>
      <c r="L35" s="428"/>
      <c r="M35" s="428">
        <v>1.0</v>
      </c>
      <c r="N35" s="55">
        <v>1.0</v>
      </c>
      <c r="O35" s="651">
        <v>1.0</v>
      </c>
      <c r="P35" s="62">
        <v>1.0</v>
      </c>
      <c r="Q35" s="11"/>
    </row>
    <row r="36">
      <c r="A36" s="11"/>
      <c r="B36" s="355"/>
      <c r="C36" s="580" t="s">
        <v>887</v>
      </c>
      <c r="D36" s="565"/>
      <c r="E36" s="201">
        <v>3.0</v>
      </c>
      <c r="F36" s="202">
        <v>6.0</v>
      </c>
      <c r="G36" s="203">
        <v>4.0</v>
      </c>
      <c r="H36" s="384" t="s">
        <v>714</v>
      </c>
      <c r="I36" s="434"/>
      <c r="J36" s="55">
        <v>2.0</v>
      </c>
      <c r="K36" s="55">
        <v>1.0</v>
      </c>
      <c r="L36" s="428"/>
      <c r="M36" s="428">
        <v>1.0</v>
      </c>
      <c r="N36" s="55">
        <v>2.0</v>
      </c>
      <c r="O36" s="650">
        <v>2.0</v>
      </c>
      <c r="P36" s="62">
        <v>1.0</v>
      </c>
      <c r="Q36" s="11"/>
    </row>
    <row r="37">
      <c r="A37" s="11"/>
      <c r="B37" s="628"/>
      <c r="C37" s="580" t="s">
        <v>888</v>
      </c>
      <c r="D37" s="541"/>
      <c r="E37" s="67">
        <v>2.0</v>
      </c>
      <c r="F37" s="68">
        <v>3.0</v>
      </c>
      <c r="G37" s="69">
        <v>2.0</v>
      </c>
      <c r="H37" s="384" t="s">
        <v>714</v>
      </c>
      <c r="I37" s="434"/>
      <c r="J37" s="55">
        <v>1.0</v>
      </c>
      <c r="K37" s="55">
        <v>1.0</v>
      </c>
      <c r="L37" s="428"/>
      <c r="M37" s="428">
        <v>1.0</v>
      </c>
      <c r="N37" s="55">
        <v>1.0</v>
      </c>
      <c r="O37" s="651">
        <v>1.0</v>
      </c>
      <c r="P37" s="62">
        <v>1.0</v>
      </c>
      <c r="Q37" s="11"/>
    </row>
    <row r="38">
      <c r="A38" s="11"/>
      <c r="B38" s="353"/>
      <c r="C38" s="580" t="s">
        <v>889</v>
      </c>
      <c r="D38" s="620"/>
      <c r="E38" s="231">
        <v>3.0</v>
      </c>
      <c r="F38" s="231">
        <v>3.0</v>
      </c>
      <c r="G38" s="582">
        <v>3.0</v>
      </c>
      <c r="H38" s="384" t="s">
        <v>714</v>
      </c>
      <c r="I38" s="434"/>
      <c r="J38" s="55">
        <v>1.0</v>
      </c>
      <c r="K38" s="55">
        <v>1.0</v>
      </c>
      <c r="L38" s="428"/>
      <c r="M38" s="428">
        <v>1.0</v>
      </c>
      <c r="N38" s="55">
        <v>2.0</v>
      </c>
      <c r="O38" s="650">
        <v>2.0</v>
      </c>
      <c r="P38" s="62">
        <v>1.0</v>
      </c>
      <c r="Q38" s="11"/>
    </row>
    <row r="39">
      <c r="A39" s="11"/>
      <c r="B39" s="353"/>
      <c r="C39" s="580" t="s">
        <v>890</v>
      </c>
      <c r="D39" s="541"/>
      <c r="E39" s="67">
        <v>4.0</v>
      </c>
      <c r="F39" s="68">
        <v>5.0</v>
      </c>
      <c r="G39" s="69">
        <v>6.0</v>
      </c>
      <c r="H39" s="384" t="s">
        <v>714</v>
      </c>
      <c r="I39" s="434"/>
      <c r="J39" s="55">
        <v>5.0</v>
      </c>
      <c r="K39" s="55">
        <v>4.0</v>
      </c>
      <c r="L39" s="428"/>
      <c r="M39" s="428">
        <v>4.0</v>
      </c>
      <c r="N39" s="55">
        <v>4.0</v>
      </c>
      <c r="O39" s="654">
        <v>5.0</v>
      </c>
      <c r="P39" s="62">
        <v>4.0</v>
      </c>
      <c r="Q39" s="11"/>
    </row>
    <row r="40">
      <c r="A40" s="11"/>
      <c r="B40" s="353"/>
      <c r="C40" s="580" t="s">
        <v>891</v>
      </c>
      <c r="D40" s="541"/>
      <c r="E40" s="67">
        <v>6.0</v>
      </c>
      <c r="F40" s="68">
        <v>7.0</v>
      </c>
      <c r="G40" s="69">
        <v>6.0</v>
      </c>
      <c r="H40" s="384" t="s">
        <v>714</v>
      </c>
      <c r="I40" s="434"/>
      <c r="J40" s="55">
        <v>1.0</v>
      </c>
      <c r="K40" s="55">
        <v>1.0</v>
      </c>
      <c r="L40" s="428"/>
      <c r="M40" s="428">
        <v>1.0</v>
      </c>
      <c r="N40" s="55">
        <v>1.0</v>
      </c>
      <c r="O40" s="655">
        <v>2.0</v>
      </c>
      <c r="P40" s="62">
        <v>2.0</v>
      </c>
      <c r="Q40" s="11"/>
    </row>
    <row r="41">
      <c r="A41" s="11"/>
      <c r="B41" s="355"/>
      <c r="C41" s="580" t="s">
        <v>892</v>
      </c>
      <c r="D41" s="550"/>
      <c r="E41" s="231">
        <v>7.0</v>
      </c>
      <c r="F41" s="232">
        <v>7.0</v>
      </c>
      <c r="G41" s="208">
        <v>8.0</v>
      </c>
      <c r="H41" s="384" t="s">
        <v>714</v>
      </c>
      <c r="I41" s="441"/>
      <c r="J41" s="442">
        <v>3.0</v>
      </c>
      <c r="K41" s="442">
        <v>3.0</v>
      </c>
      <c r="L41" s="589"/>
      <c r="M41" s="589">
        <v>3.0</v>
      </c>
      <c r="N41" s="442">
        <v>3.0</v>
      </c>
      <c r="O41" s="653">
        <v>3.0</v>
      </c>
      <c r="P41" s="444">
        <v>4.0</v>
      </c>
      <c r="Q41" s="11"/>
    </row>
    <row r="42">
      <c r="A42" s="11"/>
      <c r="B42" s="605"/>
      <c r="C42" s="195" t="s">
        <v>83</v>
      </c>
      <c r="D42" s="125"/>
      <c r="E42" s="125"/>
      <c r="F42" s="125"/>
      <c r="G42" s="125"/>
      <c r="H42" s="611"/>
      <c r="I42" s="127"/>
      <c r="J42" s="128"/>
      <c r="K42" s="128"/>
      <c r="L42" s="128"/>
      <c r="M42" s="128"/>
      <c r="N42" s="128"/>
      <c r="O42" s="130"/>
      <c r="P42" s="445"/>
      <c r="Q42" s="11"/>
    </row>
    <row r="43">
      <c r="A43" s="11"/>
      <c r="B43" s="609"/>
      <c r="C43" s="136"/>
      <c r="D43" s="525"/>
      <c r="E43" s="85"/>
      <c r="F43" s="85"/>
      <c r="G43" s="86"/>
      <c r="H43" s="611"/>
      <c r="I43" s="629" t="s">
        <v>427</v>
      </c>
      <c r="J43" s="140" t="s">
        <v>208</v>
      </c>
      <c r="K43" s="140" t="s">
        <v>426</v>
      </c>
      <c r="L43" s="140" t="s">
        <v>2</v>
      </c>
      <c r="M43" s="140" t="s">
        <v>1</v>
      </c>
      <c r="N43" s="140" t="s">
        <v>4</v>
      </c>
      <c r="O43" s="622" t="s">
        <v>3</v>
      </c>
      <c r="P43" s="630" t="s">
        <v>210</v>
      </c>
      <c r="Q43" s="11"/>
    </row>
    <row r="44">
      <c r="A44" s="11"/>
      <c r="B44" s="631" t="s">
        <v>64</v>
      </c>
      <c r="C44" s="580" t="s">
        <v>893</v>
      </c>
      <c r="D44" s="541" t="s">
        <v>60</v>
      </c>
      <c r="E44" s="67">
        <v>2.0</v>
      </c>
      <c r="F44" s="68">
        <v>2.0</v>
      </c>
      <c r="G44" s="69">
        <v>2.0</v>
      </c>
      <c r="H44" s="384" t="s">
        <v>714</v>
      </c>
      <c r="I44" s="432"/>
      <c r="J44" s="54">
        <v>3.0</v>
      </c>
      <c r="K44" s="54">
        <v>2.0</v>
      </c>
      <c r="L44" s="54"/>
      <c r="M44" s="426">
        <v>1.0</v>
      </c>
      <c r="N44" s="54">
        <v>3.0</v>
      </c>
      <c r="O44" s="656">
        <v>4.0</v>
      </c>
      <c r="P44" s="57">
        <v>2.0</v>
      </c>
      <c r="Q44" s="11"/>
    </row>
    <row r="45">
      <c r="A45" s="11"/>
      <c r="B45" s="353"/>
      <c r="C45" s="580" t="s">
        <v>894</v>
      </c>
      <c r="D45" s="541" t="s">
        <v>60</v>
      </c>
      <c r="E45" s="67">
        <v>3.0</v>
      </c>
      <c r="F45" s="68">
        <v>3.0</v>
      </c>
      <c r="G45" s="69">
        <v>3.0</v>
      </c>
      <c r="H45" s="384" t="s">
        <v>714</v>
      </c>
      <c r="I45" s="434"/>
      <c r="J45" s="55">
        <v>1.0</v>
      </c>
      <c r="K45" s="55">
        <v>1.0</v>
      </c>
      <c r="L45" s="55"/>
      <c r="M45" s="428">
        <v>1.0</v>
      </c>
      <c r="N45" s="55">
        <v>1.0</v>
      </c>
      <c r="O45" s="650">
        <v>2.0</v>
      </c>
      <c r="P45" s="62">
        <v>1.0</v>
      </c>
      <c r="Q45" s="11"/>
    </row>
    <row r="46">
      <c r="A46" s="11"/>
      <c r="B46" s="632"/>
      <c r="C46" s="585" t="s">
        <v>895</v>
      </c>
      <c r="D46" s="550" t="s">
        <v>896</v>
      </c>
      <c r="E46" s="231"/>
      <c r="F46" s="232"/>
      <c r="G46" s="208">
        <v>3.0</v>
      </c>
      <c r="H46" s="384" t="s">
        <v>714</v>
      </c>
      <c r="I46" s="434"/>
      <c r="J46" s="55">
        <v>2.0</v>
      </c>
      <c r="K46" s="55">
        <v>2.0</v>
      </c>
      <c r="L46" s="55"/>
      <c r="M46" s="428">
        <v>3.0</v>
      </c>
      <c r="N46" s="55">
        <v>2.0</v>
      </c>
      <c r="O46" s="650">
        <v>2.0</v>
      </c>
      <c r="P46" s="62">
        <v>1.0</v>
      </c>
      <c r="Q46" s="11"/>
    </row>
    <row r="47">
      <c r="A47" s="11"/>
      <c r="B47" s="633"/>
      <c r="C47" s="584" t="s">
        <v>897</v>
      </c>
      <c r="D47" s="547" t="s">
        <v>613</v>
      </c>
      <c r="E47" s="250"/>
      <c r="F47" s="251"/>
      <c r="G47" s="205">
        <v>1.0</v>
      </c>
      <c r="H47" s="384" t="s">
        <v>714</v>
      </c>
      <c r="I47" s="434"/>
      <c r="J47" s="55">
        <v>2.0</v>
      </c>
      <c r="K47" s="55">
        <v>2.0</v>
      </c>
      <c r="L47" s="55"/>
      <c r="M47" s="428">
        <v>1.0</v>
      </c>
      <c r="N47" s="55">
        <v>2.0</v>
      </c>
      <c r="O47" s="650">
        <v>2.0</v>
      </c>
      <c r="P47" s="62">
        <v>1.0</v>
      </c>
      <c r="Q47" s="11"/>
    </row>
    <row r="48">
      <c r="A48" s="11"/>
      <c r="B48" s="353"/>
      <c r="C48" s="580" t="s">
        <v>898</v>
      </c>
      <c r="D48" s="541" t="s">
        <v>60</v>
      </c>
      <c r="E48" s="67">
        <v>2.0</v>
      </c>
      <c r="F48" s="68">
        <v>4.0</v>
      </c>
      <c r="G48" s="69">
        <v>3.0</v>
      </c>
      <c r="H48" s="384" t="s">
        <v>714</v>
      </c>
      <c r="I48" s="434"/>
      <c r="J48" s="55">
        <v>2.0</v>
      </c>
      <c r="K48" s="55">
        <v>2.0</v>
      </c>
      <c r="L48" s="55"/>
      <c r="M48" s="428">
        <v>1.0</v>
      </c>
      <c r="N48" s="55">
        <v>1.0</v>
      </c>
      <c r="O48" s="650">
        <v>2.0</v>
      </c>
      <c r="P48" s="62">
        <v>1.0</v>
      </c>
      <c r="Q48" s="11"/>
    </row>
    <row r="49">
      <c r="A49" s="11"/>
      <c r="B49" s="355"/>
      <c r="C49" s="585" t="s">
        <v>899</v>
      </c>
      <c r="D49" s="550"/>
      <c r="E49" s="231">
        <v>6.0</v>
      </c>
      <c r="F49" s="232">
        <v>2.0</v>
      </c>
      <c r="G49" s="208">
        <v>6.0</v>
      </c>
      <c r="H49" s="384" t="s">
        <v>714</v>
      </c>
      <c r="I49" s="434"/>
      <c r="J49" s="55">
        <v>2.0</v>
      </c>
      <c r="K49" s="55">
        <v>2.0</v>
      </c>
      <c r="L49" s="55"/>
      <c r="M49" s="428">
        <v>1.0</v>
      </c>
      <c r="N49" s="55">
        <v>1.0</v>
      </c>
      <c r="O49" s="653">
        <v>3.0</v>
      </c>
      <c r="P49" s="62">
        <v>2.0</v>
      </c>
      <c r="Q49" s="11"/>
    </row>
    <row r="50">
      <c r="A50" s="11"/>
      <c r="B50" s="634"/>
      <c r="C50" s="586" t="s">
        <v>900</v>
      </c>
      <c r="D50" s="547" t="s">
        <v>896</v>
      </c>
      <c r="E50" s="250"/>
      <c r="F50" s="251"/>
      <c r="G50" s="205">
        <v>0.0</v>
      </c>
      <c r="H50" s="384" t="s">
        <v>714</v>
      </c>
      <c r="I50" s="434"/>
      <c r="J50" s="55">
        <v>2.0</v>
      </c>
      <c r="K50" s="55">
        <v>2.0</v>
      </c>
      <c r="L50" s="55"/>
      <c r="M50" s="428">
        <v>2.0</v>
      </c>
      <c r="N50" s="55">
        <v>2.0</v>
      </c>
      <c r="O50" s="651">
        <v>1.0</v>
      </c>
      <c r="P50" s="62">
        <v>2.0</v>
      </c>
      <c r="Q50" s="11"/>
    </row>
    <row r="51">
      <c r="A51" s="11"/>
      <c r="B51" s="355"/>
      <c r="C51" s="587" t="s">
        <v>901</v>
      </c>
      <c r="D51" s="555" t="s">
        <v>20</v>
      </c>
      <c r="E51" s="556">
        <v>3.0</v>
      </c>
      <c r="F51" s="557">
        <v>6.0</v>
      </c>
      <c r="G51" s="558">
        <v>4.0</v>
      </c>
      <c r="H51" s="384" t="s">
        <v>714</v>
      </c>
      <c r="I51" s="434"/>
      <c r="J51" s="55">
        <v>1.0</v>
      </c>
      <c r="K51" s="55">
        <v>1.0</v>
      </c>
      <c r="L51" s="55"/>
      <c r="M51" s="55">
        <v>1.0</v>
      </c>
      <c r="N51" s="55">
        <v>1.0</v>
      </c>
      <c r="O51" s="651">
        <v>1.0</v>
      </c>
      <c r="P51" s="62">
        <v>1.0</v>
      </c>
      <c r="Q51" s="11"/>
    </row>
    <row r="52">
      <c r="A52" s="11"/>
      <c r="B52" s="635"/>
      <c r="C52" s="579" t="s">
        <v>902</v>
      </c>
      <c r="D52" s="541" t="s">
        <v>903</v>
      </c>
      <c r="E52" s="67"/>
      <c r="F52" s="68"/>
      <c r="G52" s="69">
        <v>1.0</v>
      </c>
      <c r="H52" s="384" t="s">
        <v>714</v>
      </c>
      <c r="I52" s="434"/>
      <c r="J52" s="55">
        <v>1.0</v>
      </c>
      <c r="K52" s="55">
        <v>1.0</v>
      </c>
      <c r="L52" s="55"/>
      <c r="M52" s="428">
        <v>1.0</v>
      </c>
      <c r="N52" s="55">
        <v>2.0</v>
      </c>
      <c r="O52" s="653">
        <v>3.0</v>
      </c>
      <c r="P52" s="62">
        <v>1.0</v>
      </c>
      <c r="Q52" s="11"/>
    </row>
    <row r="53">
      <c r="A53" s="11"/>
      <c r="B53" s="355"/>
      <c r="C53" s="588" t="s">
        <v>904</v>
      </c>
      <c r="D53" s="550"/>
      <c r="E53" s="231">
        <v>7.0</v>
      </c>
      <c r="F53" s="232">
        <v>7.0</v>
      </c>
      <c r="G53" s="208">
        <v>7.0</v>
      </c>
      <c r="H53" s="384" t="s">
        <v>714</v>
      </c>
      <c r="I53" s="441"/>
      <c r="J53" s="76">
        <v>3.0</v>
      </c>
      <c r="K53" s="76">
        <v>3.0</v>
      </c>
      <c r="L53" s="76"/>
      <c r="M53" s="589">
        <v>4.0</v>
      </c>
      <c r="N53" s="76">
        <v>3.0</v>
      </c>
      <c r="O53" s="650">
        <v>2.0</v>
      </c>
      <c r="P53" s="444">
        <v>3.0</v>
      </c>
      <c r="Q53" s="11"/>
    </row>
    <row r="54">
      <c r="A54" s="11"/>
      <c r="B54" s="605"/>
      <c r="C54" s="195" t="s">
        <v>95</v>
      </c>
      <c r="D54" s="125"/>
      <c r="E54" s="125"/>
      <c r="F54" s="125"/>
      <c r="G54" s="125"/>
      <c r="H54" s="611"/>
      <c r="I54" s="127"/>
      <c r="J54" s="561"/>
      <c r="K54" s="561"/>
      <c r="L54" s="561"/>
      <c r="M54" s="561"/>
      <c r="N54" s="561"/>
      <c r="O54" s="130"/>
      <c r="P54" s="445"/>
      <c r="Q54" s="11"/>
    </row>
    <row r="55">
      <c r="A55" s="11"/>
      <c r="B55" s="636"/>
      <c r="C55" s="136"/>
      <c r="D55" s="525"/>
      <c r="E55" s="85"/>
      <c r="F55" s="85"/>
      <c r="G55" s="86"/>
      <c r="H55" s="611"/>
      <c r="I55" s="629" t="s">
        <v>427</v>
      </c>
      <c r="J55" s="88" t="s">
        <v>208</v>
      </c>
      <c r="K55" s="140" t="s">
        <v>426</v>
      </c>
      <c r="L55" s="140" t="s">
        <v>2</v>
      </c>
      <c r="M55" s="140" t="s">
        <v>1</v>
      </c>
      <c r="N55" s="140" t="s">
        <v>4</v>
      </c>
      <c r="O55" s="494" t="s">
        <v>3</v>
      </c>
      <c r="P55" s="630" t="s">
        <v>210</v>
      </c>
      <c r="Q55" s="11"/>
    </row>
    <row r="56">
      <c r="A56" s="11"/>
      <c r="B56" s="631"/>
      <c r="C56" s="580" t="s">
        <v>905</v>
      </c>
      <c r="D56" s="541" t="s">
        <v>97</v>
      </c>
      <c r="E56" s="67">
        <v>2.0</v>
      </c>
      <c r="F56" s="68">
        <v>5.0</v>
      </c>
      <c r="G56" s="69">
        <v>2.0</v>
      </c>
      <c r="H56" s="384" t="s">
        <v>714</v>
      </c>
      <c r="I56" s="432"/>
      <c r="J56" s="54">
        <v>2.0</v>
      </c>
      <c r="K56" s="54">
        <v>1.0</v>
      </c>
      <c r="L56" s="54"/>
      <c r="M56" s="426">
        <v>1.0</v>
      </c>
      <c r="N56" s="54">
        <v>2.0</v>
      </c>
      <c r="O56" s="426">
        <v>1.0</v>
      </c>
      <c r="P56" s="57">
        <v>2.0</v>
      </c>
      <c r="Q56" s="11"/>
    </row>
    <row r="57">
      <c r="A57" s="11"/>
      <c r="B57" s="353"/>
      <c r="C57" s="580" t="s">
        <v>906</v>
      </c>
      <c r="D57" s="541" t="s">
        <v>907</v>
      </c>
      <c r="E57" s="67"/>
      <c r="F57" s="68"/>
      <c r="G57" s="69">
        <v>4.0</v>
      </c>
      <c r="H57" s="384" t="s">
        <v>714</v>
      </c>
      <c r="I57" s="434"/>
      <c r="J57" s="55">
        <v>2.0</v>
      </c>
      <c r="K57" s="55">
        <v>2.0</v>
      </c>
      <c r="L57" s="55"/>
      <c r="M57" s="428">
        <v>1.0</v>
      </c>
      <c r="N57" s="55">
        <v>2.0</v>
      </c>
      <c r="O57" s="55">
        <v>3.0</v>
      </c>
      <c r="P57" s="62">
        <v>1.0</v>
      </c>
      <c r="Q57" s="11"/>
    </row>
    <row r="58">
      <c r="A58" s="11"/>
      <c r="B58" s="355"/>
      <c r="C58" s="590" t="s">
        <v>908</v>
      </c>
      <c r="D58" s="565" t="s">
        <v>863</v>
      </c>
      <c r="E58" s="201">
        <v>4.0</v>
      </c>
      <c r="F58" s="202">
        <v>4.0</v>
      </c>
      <c r="G58" s="203">
        <v>5.0</v>
      </c>
      <c r="H58" s="384" t="s">
        <v>714</v>
      </c>
      <c r="I58" s="434"/>
      <c r="J58" s="55">
        <v>1.0</v>
      </c>
      <c r="K58" s="55">
        <v>1.0</v>
      </c>
      <c r="L58" s="55"/>
      <c r="M58" s="428">
        <v>1.0</v>
      </c>
      <c r="N58" s="55">
        <v>2.0</v>
      </c>
      <c r="O58" s="426">
        <v>1.0</v>
      </c>
      <c r="P58" s="62">
        <v>2.0</v>
      </c>
      <c r="Q58" s="11"/>
    </row>
    <row r="59">
      <c r="A59" s="11"/>
      <c r="B59" s="637"/>
      <c r="C59" s="580" t="s">
        <v>909</v>
      </c>
      <c r="D59" s="541" t="s">
        <v>910</v>
      </c>
      <c r="E59" s="67"/>
      <c r="F59" s="68"/>
      <c r="G59" s="69">
        <v>1.0</v>
      </c>
      <c r="H59" s="384" t="s">
        <v>714</v>
      </c>
      <c r="I59" s="434"/>
      <c r="J59" s="55">
        <v>2.0</v>
      </c>
      <c r="K59" s="55">
        <v>3.0</v>
      </c>
      <c r="L59" s="55"/>
      <c r="M59" s="428">
        <v>4.0</v>
      </c>
      <c r="N59" s="55">
        <v>3.0</v>
      </c>
      <c r="O59" s="57">
        <v>2.0</v>
      </c>
      <c r="P59" s="62">
        <v>2.0</v>
      </c>
      <c r="Q59" s="11"/>
    </row>
    <row r="60">
      <c r="A60" s="11"/>
      <c r="B60" s="353"/>
      <c r="C60" s="580" t="s">
        <v>911</v>
      </c>
      <c r="D60" s="541" t="s">
        <v>77</v>
      </c>
      <c r="E60" s="67">
        <v>0.0</v>
      </c>
      <c r="F60" s="68">
        <v>2.0</v>
      </c>
      <c r="G60" s="69">
        <v>3.0</v>
      </c>
      <c r="H60" s="384" t="s">
        <v>714</v>
      </c>
      <c r="I60" s="434"/>
      <c r="J60" s="55">
        <v>4.0</v>
      </c>
      <c r="K60" s="55">
        <v>4.0</v>
      </c>
      <c r="L60" s="55"/>
      <c r="M60" s="428">
        <v>4.0</v>
      </c>
      <c r="N60" s="55">
        <v>4.0</v>
      </c>
      <c r="O60" s="62">
        <v>2.0</v>
      </c>
      <c r="P60" s="62">
        <v>3.0</v>
      </c>
      <c r="Q60" s="11"/>
    </row>
    <row r="61">
      <c r="A61" s="11"/>
      <c r="B61" s="355"/>
      <c r="C61" s="591" t="s">
        <v>912</v>
      </c>
      <c r="D61" s="555" t="s">
        <v>913</v>
      </c>
      <c r="E61" s="556"/>
      <c r="F61" s="557"/>
      <c r="G61" s="558">
        <v>4.0</v>
      </c>
      <c r="H61" s="384" t="s">
        <v>714</v>
      </c>
      <c r="I61" s="434"/>
      <c r="J61" s="55">
        <v>2.0</v>
      </c>
      <c r="K61" s="55">
        <v>2.0</v>
      </c>
      <c r="L61" s="55"/>
      <c r="M61" s="428">
        <v>2.0</v>
      </c>
      <c r="N61" s="55">
        <v>3.0</v>
      </c>
      <c r="O61" s="62">
        <v>3.0</v>
      </c>
      <c r="P61" s="62">
        <v>1.0</v>
      </c>
      <c r="Q61" s="11"/>
    </row>
    <row r="62">
      <c r="A62" s="11"/>
      <c r="B62" s="634"/>
      <c r="C62" s="579" t="s">
        <v>914</v>
      </c>
      <c r="D62" s="541" t="s">
        <v>623</v>
      </c>
      <c r="E62" s="67"/>
      <c r="F62" s="68"/>
      <c r="G62" s="69">
        <v>3.0</v>
      </c>
      <c r="H62" s="384" t="s">
        <v>714</v>
      </c>
      <c r="I62" s="434"/>
      <c r="J62" s="55">
        <v>1.0</v>
      </c>
      <c r="K62" s="55">
        <v>1.0</v>
      </c>
      <c r="L62" s="55"/>
      <c r="M62" s="428">
        <v>1.0</v>
      </c>
      <c r="N62" s="55">
        <v>1.0</v>
      </c>
      <c r="O62" s="54">
        <v>1.0</v>
      </c>
      <c r="P62" s="62">
        <v>1.0</v>
      </c>
      <c r="Q62" s="11"/>
    </row>
    <row r="63">
      <c r="A63" s="11"/>
      <c r="B63" s="355"/>
      <c r="C63" s="587" t="s">
        <v>915</v>
      </c>
      <c r="D63" s="555"/>
      <c r="E63" s="556">
        <v>3.0</v>
      </c>
      <c r="F63" s="557">
        <v>2.0</v>
      </c>
      <c r="G63" s="558">
        <v>6.0</v>
      </c>
      <c r="H63" s="384" t="s">
        <v>714</v>
      </c>
      <c r="I63" s="434"/>
      <c r="J63" s="55">
        <v>4.0</v>
      </c>
      <c r="K63" s="55">
        <v>4.0</v>
      </c>
      <c r="L63" s="55"/>
      <c r="M63" s="428">
        <v>4.0</v>
      </c>
      <c r="N63" s="55">
        <v>3.0</v>
      </c>
      <c r="O63" s="62">
        <v>4.0</v>
      </c>
      <c r="P63" s="62">
        <v>4.0</v>
      </c>
      <c r="Q63" s="11"/>
    </row>
    <row r="64">
      <c r="A64" s="11"/>
      <c r="B64" s="635"/>
      <c r="C64" s="579" t="s">
        <v>916</v>
      </c>
      <c r="D64" s="541" t="s">
        <v>903</v>
      </c>
      <c r="E64" s="67"/>
      <c r="F64" s="68"/>
      <c r="G64" s="69">
        <v>1.0</v>
      </c>
      <c r="H64" s="384" t="s">
        <v>714</v>
      </c>
      <c r="I64" s="434"/>
      <c r="J64" s="55">
        <v>4.0</v>
      </c>
      <c r="K64" s="55">
        <v>3.0</v>
      </c>
      <c r="L64" s="55"/>
      <c r="M64" s="428">
        <v>3.0</v>
      </c>
      <c r="N64" s="55">
        <v>2.0</v>
      </c>
      <c r="O64" s="62">
        <v>3.0</v>
      </c>
      <c r="P64" s="62">
        <v>2.0</v>
      </c>
      <c r="Q64" s="11"/>
    </row>
    <row r="65">
      <c r="A65" s="11"/>
      <c r="B65" s="355"/>
      <c r="C65" s="588" t="s">
        <v>917</v>
      </c>
      <c r="D65" s="550" t="s">
        <v>97</v>
      </c>
      <c r="E65" s="231">
        <v>8.0</v>
      </c>
      <c r="F65" s="232">
        <v>6.0</v>
      </c>
      <c r="G65" s="208">
        <v>6.0</v>
      </c>
      <c r="H65" s="384" t="s">
        <v>714</v>
      </c>
      <c r="I65" s="441"/>
      <c r="J65" s="442">
        <v>1.0</v>
      </c>
      <c r="K65" s="442">
        <v>1.0</v>
      </c>
      <c r="L65" s="442"/>
      <c r="M65" s="589">
        <v>1.0</v>
      </c>
      <c r="N65" s="442">
        <v>1.0</v>
      </c>
      <c r="O65" s="62">
        <v>3.0</v>
      </c>
      <c r="P65" s="444">
        <v>1.0</v>
      </c>
      <c r="Q65" s="11"/>
    </row>
    <row r="66">
      <c r="A66" s="11"/>
      <c r="B66" s="605"/>
      <c r="C66" s="195" t="s">
        <v>109</v>
      </c>
      <c r="D66" s="125"/>
      <c r="E66" s="125"/>
      <c r="F66" s="125"/>
      <c r="G66" s="125"/>
      <c r="H66" s="611"/>
      <c r="I66" s="127"/>
      <c r="J66" s="128"/>
      <c r="K66" s="128"/>
      <c r="L66" s="128"/>
      <c r="M66" s="128"/>
      <c r="N66" s="128"/>
      <c r="O66" s="130"/>
      <c r="P66" s="445"/>
      <c r="Q66" s="11"/>
    </row>
    <row r="67">
      <c r="A67" s="11"/>
      <c r="B67" s="636"/>
      <c r="C67" s="136"/>
      <c r="D67" s="525"/>
      <c r="E67" s="85"/>
      <c r="F67" s="85"/>
      <c r="G67" s="86"/>
      <c r="H67" s="611"/>
      <c r="I67" s="629" t="s">
        <v>427</v>
      </c>
      <c r="J67" s="140" t="s">
        <v>208</v>
      </c>
      <c r="K67" s="140" t="s">
        <v>426</v>
      </c>
      <c r="L67" s="140" t="s">
        <v>2</v>
      </c>
      <c r="M67" s="140" t="s">
        <v>1</v>
      </c>
      <c r="N67" s="140" t="s">
        <v>4</v>
      </c>
      <c r="O67" s="494" t="s">
        <v>3</v>
      </c>
      <c r="P67" s="630" t="s">
        <v>210</v>
      </c>
      <c r="Q67" s="11"/>
    </row>
    <row r="68">
      <c r="A68" s="11"/>
      <c r="B68" s="631"/>
      <c r="C68" s="580" t="s">
        <v>918</v>
      </c>
      <c r="D68" s="592" t="s">
        <v>71</v>
      </c>
      <c r="E68" s="67"/>
      <c r="F68" s="68"/>
      <c r="G68" s="69">
        <v>1.0</v>
      </c>
      <c r="H68" s="384" t="s">
        <v>714</v>
      </c>
      <c r="I68" s="432"/>
      <c r="J68" s="54">
        <v>3.0</v>
      </c>
      <c r="K68" s="54">
        <v>3.0</v>
      </c>
      <c r="L68" s="54"/>
      <c r="M68" s="426">
        <v>2.0</v>
      </c>
      <c r="N68" s="54">
        <v>3.0</v>
      </c>
      <c r="O68" s="55">
        <v>1.0</v>
      </c>
      <c r="P68" s="57">
        <v>2.0</v>
      </c>
      <c r="Q68" s="11"/>
    </row>
    <row r="69">
      <c r="A69" s="11"/>
      <c r="B69" s="353"/>
      <c r="C69" s="580" t="s">
        <v>919</v>
      </c>
      <c r="D69" s="541" t="s">
        <v>455</v>
      </c>
      <c r="E69" s="67">
        <v>6.0</v>
      </c>
      <c r="F69" s="68">
        <v>4.0</v>
      </c>
      <c r="G69" s="69">
        <v>4.0</v>
      </c>
      <c r="H69" s="384" t="s">
        <v>714</v>
      </c>
      <c r="I69" s="434"/>
      <c r="J69" s="55">
        <v>4.0</v>
      </c>
      <c r="K69" s="55">
        <v>3.0</v>
      </c>
      <c r="L69" s="55"/>
      <c r="M69" s="428">
        <v>4.0</v>
      </c>
      <c r="N69" s="55">
        <v>3.0</v>
      </c>
      <c r="O69" s="62">
        <v>4.0</v>
      </c>
      <c r="P69" s="62">
        <v>3.0</v>
      </c>
      <c r="Q69" s="11"/>
    </row>
    <row r="70">
      <c r="A70" s="11"/>
      <c r="B70" s="355"/>
      <c r="C70" s="590" t="s">
        <v>920</v>
      </c>
      <c r="D70" s="565"/>
      <c r="E70" s="201">
        <v>2.0</v>
      </c>
      <c r="F70" s="202">
        <v>5.0</v>
      </c>
      <c r="G70" s="203">
        <v>4.0</v>
      </c>
      <c r="H70" s="384" t="s">
        <v>714</v>
      </c>
      <c r="I70" s="434"/>
      <c r="J70" s="55">
        <v>1.0</v>
      </c>
      <c r="K70" s="55">
        <v>1.0</v>
      </c>
      <c r="L70" s="55"/>
      <c r="M70" s="428">
        <v>1.0</v>
      </c>
      <c r="N70" s="55">
        <v>3.0</v>
      </c>
      <c r="O70" s="55">
        <v>1.0</v>
      </c>
      <c r="P70" s="62">
        <v>3.0</v>
      </c>
      <c r="Q70" s="11"/>
    </row>
    <row r="71">
      <c r="A71" s="11"/>
      <c r="B71" s="637"/>
      <c r="C71" s="580" t="s">
        <v>921</v>
      </c>
      <c r="D71" s="541" t="s">
        <v>77</v>
      </c>
      <c r="E71" s="67">
        <v>2.0</v>
      </c>
      <c r="F71" s="68">
        <v>2.0</v>
      </c>
      <c r="G71" s="69">
        <v>2.0</v>
      </c>
      <c r="H71" s="384" t="s">
        <v>714</v>
      </c>
      <c r="I71" s="434"/>
      <c r="J71" s="55">
        <v>3.0</v>
      </c>
      <c r="K71" s="55">
        <v>2.0</v>
      </c>
      <c r="L71" s="55"/>
      <c r="M71" s="428">
        <v>1.0</v>
      </c>
      <c r="N71" s="55">
        <v>1.0</v>
      </c>
      <c r="O71" s="62">
        <v>3.0</v>
      </c>
      <c r="P71" s="62">
        <v>1.0</v>
      </c>
      <c r="Q71" s="11"/>
    </row>
    <row r="72">
      <c r="A72" s="11"/>
      <c r="B72" s="353"/>
      <c r="C72" s="580" t="s">
        <v>922</v>
      </c>
      <c r="D72" s="541" t="s">
        <v>71</v>
      </c>
      <c r="E72" s="67"/>
      <c r="F72" s="68"/>
      <c r="G72" s="69">
        <v>3.0</v>
      </c>
      <c r="H72" s="384" t="s">
        <v>714</v>
      </c>
      <c r="I72" s="434"/>
      <c r="J72" s="55">
        <v>1.0</v>
      </c>
      <c r="K72" s="55">
        <v>2.0</v>
      </c>
      <c r="L72" s="55"/>
      <c r="M72" s="428">
        <v>2.0</v>
      </c>
      <c r="N72" s="55">
        <v>2.0</v>
      </c>
      <c r="O72" s="55">
        <v>1.0</v>
      </c>
      <c r="P72" s="62">
        <v>2.0</v>
      </c>
      <c r="Q72" s="11"/>
    </row>
    <row r="73">
      <c r="A73" s="11"/>
      <c r="B73" s="355"/>
      <c r="C73" s="591" t="s">
        <v>923</v>
      </c>
      <c r="D73" s="555" t="s">
        <v>455</v>
      </c>
      <c r="E73" s="556">
        <v>4.0</v>
      </c>
      <c r="F73" s="557">
        <v>5.0</v>
      </c>
      <c r="G73" s="558">
        <v>4.0</v>
      </c>
      <c r="H73" s="384" t="s">
        <v>714</v>
      </c>
      <c r="I73" s="434"/>
      <c r="J73" s="55">
        <v>4.0</v>
      </c>
      <c r="K73" s="55">
        <v>5.0</v>
      </c>
      <c r="L73" s="55"/>
      <c r="M73" s="428">
        <v>5.0</v>
      </c>
      <c r="N73" s="55">
        <v>4.0</v>
      </c>
      <c r="O73" s="55">
        <v>5.0</v>
      </c>
      <c r="P73" s="62">
        <v>4.0</v>
      </c>
      <c r="Q73" s="11"/>
    </row>
    <row r="74">
      <c r="A74" s="11"/>
      <c r="B74" s="634"/>
      <c r="C74" s="579" t="s">
        <v>924</v>
      </c>
      <c r="D74" s="541" t="s">
        <v>925</v>
      </c>
      <c r="E74" s="67"/>
      <c r="F74" s="68"/>
      <c r="G74" s="69">
        <v>1.0</v>
      </c>
      <c r="H74" s="384" t="s">
        <v>714</v>
      </c>
      <c r="I74" s="434"/>
      <c r="J74" s="55">
        <v>3.0</v>
      </c>
      <c r="K74" s="55">
        <v>3.0</v>
      </c>
      <c r="L74" s="55"/>
      <c r="M74" s="428">
        <v>3.0</v>
      </c>
      <c r="N74" s="55">
        <v>5.0</v>
      </c>
      <c r="O74" s="62">
        <v>4.0</v>
      </c>
      <c r="P74" s="62">
        <v>5.0</v>
      </c>
      <c r="Q74" s="11"/>
    </row>
    <row r="75">
      <c r="A75" s="11"/>
      <c r="B75" s="355"/>
      <c r="C75" s="587" t="s">
        <v>926</v>
      </c>
      <c r="D75" s="555" t="s">
        <v>71</v>
      </c>
      <c r="E75" s="556"/>
      <c r="F75" s="557"/>
      <c r="G75" s="558">
        <v>6.0</v>
      </c>
      <c r="H75" s="384" t="s">
        <v>714</v>
      </c>
      <c r="I75" s="434"/>
      <c r="J75" s="55">
        <v>4.0</v>
      </c>
      <c r="K75" s="55">
        <v>2.0</v>
      </c>
      <c r="L75" s="55"/>
      <c r="M75" s="428">
        <v>2.0</v>
      </c>
      <c r="N75" s="55">
        <v>2.0</v>
      </c>
      <c r="O75" s="428">
        <v>1.0</v>
      </c>
      <c r="P75" s="62">
        <v>4.0</v>
      </c>
      <c r="Q75" s="11"/>
    </row>
    <row r="76">
      <c r="A76" s="11"/>
      <c r="B76" s="635"/>
      <c r="C76" s="579" t="s">
        <v>927</v>
      </c>
      <c r="D76" s="541" t="s">
        <v>928</v>
      </c>
      <c r="E76" s="67"/>
      <c r="F76" s="68"/>
      <c r="G76" s="69">
        <v>1.0</v>
      </c>
      <c r="H76" s="384" t="s">
        <v>714</v>
      </c>
      <c r="I76" s="434"/>
      <c r="J76" s="55">
        <v>1.0</v>
      </c>
      <c r="K76" s="55">
        <v>2.0</v>
      </c>
      <c r="L76" s="55"/>
      <c r="M76" s="428">
        <v>2.0</v>
      </c>
      <c r="N76" s="55">
        <v>2.0</v>
      </c>
      <c r="O76" s="62">
        <v>2.0</v>
      </c>
      <c r="P76" s="62">
        <v>2.0</v>
      </c>
      <c r="Q76" s="11"/>
    </row>
    <row r="77">
      <c r="A77" s="11"/>
      <c r="B77" s="355"/>
      <c r="C77" s="588" t="s">
        <v>929</v>
      </c>
      <c r="D77" s="550"/>
      <c r="E77" s="231">
        <v>1.0</v>
      </c>
      <c r="F77" s="232">
        <v>4.0</v>
      </c>
      <c r="G77" s="208">
        <v>2.0</v>
      </c>
      <c r="H77" s="384" t="s">
        <v>714</v>
      </c>
      <c r="I77" s="441"/>
      <c r="J77" s="442">
        <v>5.0</v>
      </c>
      <c r="K77" s="442">
        <v>4.0</v>
      </c>
      <c r="L77" s="442"/>
      <c r="M77" s="589">
        <v>4.0</v>
      </c>
      <c r="N77" s="442">
        <v>2.0</v>
      </c>
      <c r="O77" s="62">
        <v>4.0</v>
      </c>
      <c r="P77" s="444">
        <v>3.0</v>
      </c>
      <c r="Q77" s="11"/>
    </row>
    <row r="78">
      <c r="A78" s="11"/>
      <c r="B78" s="605"/>
      <c r="C78" s="195" t="s">
        <v>123</v>
      </c>
      <c r="D78" s="125"/>
      <c r="E78" s="125"/>
      <c r="F78" s="125"/>
      <c r="G78" s="125"/>
      <c r="H78" s="611"/>
      <c r="I78" s="127"/>
      <c r="J78" s="128"/>
      <c r="K78" s="128"/>
      <c r="L78" s="128"/>
      <c r="M78" s="128"/>
      <c r="N78" s="128"/>
      <c r="O78" s="130"/>
      <c r="P78" s="445"/>
      <c r="Q78" s="11"/>
    </row>
    <row r="79">
      <c r="A79" s="11"/>
      <c r="B79" s="636"/>
      <c r="C79" s="136"/>
      <c r="D79" s="525"/>
      <c r="E79" s="85"/>
      <c r="F79" s="85"/>
      <c r="G79" s="86"/>
      <c r="H79" s="611"/>
      <c r="I79" s="629" t="s">
        <v>427</v>
      </c>
      <c r="J79" s="140" t="s">
        <v>208</v>
      </c>
      <c r="K79" s="140" t="s">
        <v>426</v>
      </c>
      <c r="L79" s="140" t="s">
        <v>2</v>
      </c>
      <c r="M79" s="140" t="s">
        <v>1</v>
      </c>
      <c r="N79" s="140" t="s">
        <v>4</v>
      </c>
      <c r="O79" s="494" t="s">
        <v>3</v>
      </c>
      <c r="P79" s="630" t="s">
        <v>210</v>
      </c>
      <c r="Q79" s="11"/>
    </row>
    <row r="80">
      <c r="A80" s="11"/>
      <c r="B80" s="631"/>
      <c r="C80" s="580" t="s">
        <v>930</v>
      </c>
      <c r="D80" s="541" t="s">
        <v>22</v>
      </c>
      <c r="E80" s="67">
        <v>3.0</v>
      </c>
      <c r="F80" s="68">
        <v>4.0</v>
      </c>
      <c r="G80" s="69">
        <v>3.0</v>
      </c>
      <c r="H80" s="384" t="s">
        <v>714</v>
      </c>
      <c r="I80" s="432"/>
      <c r="J80" s="54">
        <v>1.0</v>
      </c>
      <c r="K80" s="54">
        <v>1.0</v>
      </c>
      <c r="L80" s="54"/>
      <c r="M80" s="426">
        <v>1.0</v>
      </c>
      <c r="N80" s="54">
        <v>1.0</v>
      </c>
      <c r="O80" s="426">
        <v>1.0</v>
      </c>
      <c r="P80" s="57"/>
      <c r="Q80" s="11"/>
    </row>
    <row r="81">
      <c r="A81" s="11"/>
      <c r="B81" s="353"/>
      <c r="C81" s="580" t="s">
        <v>931</v>
      </c>
      <c r="D81" s="541"/>
      <c r="E81" s="67">
        <v>2.0</v>
      </c>
      <c r="F81" s="68">
        <v>4.0</v>
      </c>
      <c r="G81" s="69">
        <v>3.0</v>
      </c>
      <c r="H81" s="384" t="s">
        <v>714</v>
      </c>
      <c r="I81" s="434"/>
      <c r="J81" s="55">
        <v>1.0</v>
      </c>
      <c r="K81" s="55">
        <v>1.0</v>
      </c>
      <c r="L81" s="55"/>
      <c r="M81" s="428">
        <v>1.0</v>
      </c>
      <c r="N81" s="55">
        <v>2.0</v>
      </c>
      <c r="O81" s="55">
        <v>2.0</v>
      </c>
      <c r="P81" s="57"/>
      <c r="Q81" s="11"/>
    </row>
    <row r="82">
      <c r="A82" s="11"/>
      <c r="B82" s="355"/>
      <c r="C82" s="590" t="s">
        <v>932</v>
      </c>
      <c r="D82" s="565"/>
      <c r="E82" s="201">
        <v>3.0</v>
      </c>
      <c r="F82" s="202">
        <v>3.0</v>
      </c>
      <c r="G82" s="203">
        <v>4.0</v>
      </c>
      <c r="H82" s="384" t="s">
        <v>714</v>
      </c>
      <c r="I82" s="434"/>
      <c r="J82" s="55">
        <v>1.0</v>
      </c>
      <c r="K82" s="55">
        <v>2.0</v>
      </c>
      <c r="L82" s="55"/>
      <c r="M82" s="428">
        <v>1.0</v>
      </c>
      <c r="N82" s="55">
        <v>1.0</v>
      </c>
      <c r="O82" s="55">
        <v>2.0</v>
      </c>
      <c r="P82" s="57"/>
      <c r="Q82" s="11"/>
    </row>
    <row r="83">
      <c r="A83" s="11"/>
      <c r="B83" s="637"/>
      <c r="C83" s="580" t="s">
        <v>933</v>
      </c>
      <c r="D83" s="541" t="s">
        <v>934</v>
      </c>
      <c r="E83" s="67"/>
      <c r="F83" s="68"/>
      <c r="G83" s="69">
        <v>1.0</v>
      </c>
      <c r="H83" s="384" t="s">
        <v>714</v>
      </c>
      <c r="I83" s="434"/>
      <c r="J83" s="55">
        <v>2.0</v>
      </c>
      <c r="K83" s="55">
        <v>2.0</v>
      </c>
      <c r="L83" s="55"/>
      <c r="M83" s="428">
        <v>3.0</v>
      </c>
      <c r="N83" s="55">
        <v>3.0</v>
      </c>
      <c r="O83" s="55">
        <v>2.0</v>
      </c>
      <c r="P83" s="57"/>
      <c r="Q83" s="11"/>
    </row>
    <row r="84">
      <c r="A84" s="11"/>
      <c r="B84" s="353"/>
      <c r="C84" s="580" t="s">
        <v>935</v>
      </c>
      <c r="D84" s="541" t="s">
        <v>490</v>
      </c>
      <c r="E84" s="67"/>
      <c r="F84" s="68"/>
      <c r="G84" s="69">
        <v>3.0</v>
      </c>
      <c r="H84" s="384" t="s">
        <v>714</v>
      </c>
      <c r="I84" s="434"/>
      <c r="J84" s="55">
        <v>1.0</v>
      </c>
      <c r="K84" s="55">
        <v>1.0</v>
      </c>
      <c r="L84" s="55"/>
      <c r="M84" s="428">
        <v>1.0</v>
      </c>
      <c r="N84" s="55">
        <v>2.0</v>
      </c>
      <c r="O84" s="426">
        <v>1.0</v>
      </c>
      <c r="P84" s="57"/>
      <c r="Q84" s="11"/>
    </row>
    <row r="85">
      <c r="A85" s="11"/>
      <c r="B85" s="355"/>
      <c r="C85" s="591" t="s">
        <v>936</v>
      </c>
      <c r="D85" s="555"/>
      <c r="E85" s="556">
        <v>4.0</v>
      </c>
      <c r="F85" s="557">
        <v>4.0</v>
      </c>
      <c r="G85" s="558">
        <v>7.0</v>
      </c>
      <c r="H85" s="384" t="s">
        <v>714</v>
      </c>
      <c r="I85" s="434"/>
      <c r="J85" s="55">
        <v>2.0</v>
      </c>
      <c r="K85" s="55">
        <v>2.0</v>
      </c>
      <c r="L85" s="55"/>
      <c r="M85" s="428">
        <v>1.0</v>
      </c>
      <c r="N85" s="55">
        <v>2.0</v>
      </c>
      <c r="O85" s="55">
        <v>4.0</v>
      </c>
      <c r="P85" s="57"/>
      <c r="Q85" s="11"/>
    </row>
    <row r="86">
      <c r="A86" s="11"/>
      <c r="B86" s="634"/>
      <c r="C86" s="579" t="s">
        <v>937</v>
      </c>
      <c r="D86" s="541" t="s">
        <v>490</v>
      </c>
      <c r="E86" s="67"/>
      <c r="F86" s="68"/>
      <c r="G86" s="69">
        <v>2.0</v>
      </c>
      <c r="H86" s="384" t="s">
        <v>714</v>
      </c>
      <c r="I86" s="434"/>
      <c r="J86" s="55">
        <v>2.0</v>
      </c>
      <c r="K86" s="55">
        <v>3.0</v>
      </c>
      <c r="L86" s="55"/>
      <c r="M86" s="428">
        <v>3.0</v>
      </c>
      <c r="N86" s="55">
        <v>2.0</v>
      </c>
      <c r="O86" s="428">
        <v>3.0</v>
      </c>
      <c r="P86" s="57"/>
      <c r="Q86" s="11"/>
    </row>
    <row r="87">
      <c r="A87" s="11"/>
      <c r="B87" s="355"/>
      <c r="C87" s="587" t="s">
        <v>938</v>
      </c>
      <c r="D87" s="555" t="s">
        <v>939</v>
      </c>
      <c r="E87" s="556">
        <v>4.0</v>
      </c>
      <c r="F87" s="557">
        <v>2.0</v>
      </c>
      <c r="G87" s="558">
        <v>4.0</v>
      </c>
      <c r="H87" s="384" t="s">
        <v>714</v>
      </c>
      <c r="I87" s="434"/>
      <c r="J87" s="55">
        <v>1.0</v>
      </c>
      <c r="K87" s="55">
        <v>1.0</v>
      </c>
      <c r="L87" s="55"/>
      <c r="M87" s="428">
        <v>1.0</v>
      </c>
      <c r="N87" s="55">
        <v>2.0</v>
      </c>
      <c r="O87" s="426">
        <v>1.0</v>
      </c>
      <c r="P87" s="57"/>
      <c r="Q87" s="11"/>
    </row>
    <row r="88">
      <c r="A88" s="11"/>
      <c r="B88" s="635"/>
      <c r="C88" s="579" t="s">
        <v>940</v>
      </c>
      <c r="D88" s="541" t="s">
        <v>903</v>
      </c>
      <c r="E88" s="67"/>
      <c r="F88" s="68"/>
      <c r="G88" s="69">
        <v>1.0</v>
      </c>
      <c r="H88" s="384" t="s">
        <v>714</v>
      </c>
      <c r="I88" s="434"/>
      <c r="J88" s="55">
        <v>1.0</v>
      </c>
      <c r="K88" s="55">
        <v>1.0</v>
      </c>
      <c r="L88" s="55"/>
      <c r="M88" s="428">
        <v>1.0</v>
      </c>
      <c r="N88" s="55">
        <v>3.0</v>
      </c>
      <c r="O88" s="428">
        <v>3.0</v>
      </c>
      <c r="P88" s="57"/>
      <c r="Q88" s="11"/>
    </row>
    <row r="89">
      <c r="A89" s="11"/>
      <c r="B89" s="355"/>
      <c r="C89" s="588" t="s">
        <v>941</v>
      </c>
      <c r="D89" s="550"/>
      <c r="E89" s="231">
        <v>3.0</v>
      </c>
      <c r="F89" s="232">
        <v>2.0</v>
      </c>
      <c r="G89" s="208">
        <v>2.0</v>
      </c>
      <c r="H89" s="384" t="s">
        <v>714</v>
      </c>
      <c r="I89" s="441"/>
      <c r="J89" s="442" t="s">
        <v>942</v>
      </c>
      <c r="K89" s="442">
        <v>1.0</v>
      </c>
      <c r="L89" s="442"/>
      <c r="M89" s="589">
        <v>1.0</v>
      </c>
      <c r="N89" s="442">
        <v>1.0</v>
      </c>
      <c r="O89" s="426">
        <v>1.0</v>
      </c>
      <c r="P89" s="57"/>
      <c r="Q89" s="11"/>
    </row>
    <row r="90">
      <c r="A90" s="11"/>
      <c r="B90" s="605"/>
      <c r="C90" s="195" t="s">
        <v>135</v>
      </c>
      <c r="D90" s="125"/>
      <c r="E90" s="125"/>
      <c r="F90" s="125"/>
      <c r="G90" s="125"/>
      <c r="H90" s="611"/>
      <c r="I90" s="127"/>
      <c r="J90" s="128"/>
      <c r="K90" s="128"/>
      <c r="L90" s="128"/>
      <c r="M90" s="128"/>
      <c r="N90" s="128"/>
      <c r="O90" s="130"/>
      <c r="P90" s="445"/>
      <c r="Q90" s="11"/>
    </row>
    <row r="91">
      <c r="A91" s="11"/>
      <c r="B91" s="636"/>
      <c r="C91" s="136"/>
      <c r="D91" s="525"/>
      <c r="E91" s="85"/>
      <c r="F91" s="85"/>
      <c r="G91" s="86"/>
      <c r="H91" s="611"/>
      <c r="I91" s="638" t="s">
        <v>427</v>
      </c>
      <c r="J91" s="140" t="s">
        <v>208</v>
      </c>
      <c r="K91" s="140" t="s">
        <v>426</v>
      </c>
      <c r="L91" s="140" t="s">
        <v>2</v>
      </c>
      <c r="M91" s="140" t="s">
        <v>1</v>
      </c>
      <c r="N91" s="140" t="s">
        <v>4</v>
      </c>
      <c r="O91" s="494" t="s">
        <v>3</v>
      </c>
      <c r="P91" s="630" t="s">
        <v>210</v>
      </c>
      <c r="Q91" s="11"/>
    </row>
    <row r="92">
      <c r="A92" s="11"/>
      <c r="B92" s="631"/>
      <c r="C92" s="580" t="s">
        <v>943</v>
      </c>
      <c r="D92" s="541" t="s">
        <v>71</v>
      </c>
      <c r="E92" s="67"/>
      <c r="F92" s="68"/>
      <c r="G92" s="69">
        <v>1.0</v>
      </c>
      <c r="H92" s="384" t="s">
        <v>714</v>
      </c>
      <c r="I92" s="457"/>
      <c r="J92" s="56">
        <v>2.0</v>
      </c>
      <c r="K92" s="56">
        <v>2.0</v>
      </c>
      <c r="L92" s="56"/>
      <c r="M92" s="426">
        <v>3.0</v>
      </c>
      <c r="N92" s="56">
        <v>2.0</v>
      </c>
      <c r="O92" s="55">
        <v>4.0</v>
      </c>
      <c r="P92" s="458"/>
      <c r="Q92" s="11"/>
    </row>
    <row r="93">
      <c r="A93" s="11"/>
      <c r="B93" s="353"/>
      <c r="C93" s="580" t="s">
        <v>944</v>
      </c>
      <c r="D93" s="541" t="s">
        <v>22</v>
      </c>
      <c r="E93" s="67">
        <v>1.0</v>
      </c>
      <c r="F93" s="68">
        <v>4.0</v>
      </c>
      <c r="G93" s="69">
        <v>2.0</v>
      </c>
      <c r="H93" s="384" t="s">
        <v>714</v>
      </c>
      <c r="I93" s="434"/>
      <c r="J93" s="55">
        <v>1.0</v>
      </c>
      <c r="K93" s="55">
        <v>1.0</v>
      </c>
      <c r="L93" s="55"/>
      <c r="M93" s="428">
        <v>1.0</v>
      </c>
      <c r="N93" s="55">
        <v>1.0</v>
      </c>
      <c r="O93" s="55">
        <v>1.0</v>
      </c>
      <c r="P93" s="62"/>
      <c r="Q93" s="11"/>
    </row>
    <row r="94">
      <c r="A94" s="11"/>
      <c r="B94" s="632"/>
      <c r="C94" s="591" t="s">
        <v>945</v>
      </c>
      <c r="D94" s="555" t="s">
        <v>925</v>
      </c>
      <c r="E94" s="556"/>
      <c r="F94" s="557"/>
      <c r="G94" s="558">
        <v>6.0</v>
      </c>
      <c r="H94" s="384" t="s">
        <v>714</v>
      </c>
      <c r="I94" s="434"/>
      <c r="J94" s="55">
        <v>4.0</v>
      </c>
      <c r="K94" s="55">
        <v>1.0</v>
      </c>
      <c r="L94" s="55"/>
      <c r="M94" s="428">
        <v>1.0</v>
      </c>
      <c r="N94" s="55">
        <v>1.0</v>
      </c>
      <c r="O94" s="55">
        <v>4.0</v>
      </c>
      <c r="P94" s="62"/>
      <c r="Q94" s="11"/>
    </row>
    <row r="95">
      <c r="A95" s="11"/>
      <c r="B95" s="639"/>
      <c r="C95" s="580" t="s">
        <v>946</v>
      </c>
      <c r="D95" s="541" t="s">
        <v>22</v>
      </c>
      <c r="E95" s="67">
        <v>2.0</v>
      </c>
      <c r="F95" s="68">
        <v>1.0</v>
      </c>
      <c r="G95" s="69">
        <v>1.0</v>
      </c>
      <c r="H95" s="384" t="s">
        <v>714</v>
      </c>
      <c r="I95" s="434"/>
      <c r="J95" s="55">
        <v>3.0</v>
      </c>
      <c r="K95" s="55">
        <v>2.0</v>
      </c>
      <c r="L95" s="55"/>
      <c r="M95" s="428">
        <v>3.0</v>
      </c>
      <c r="N95" s="55">
        <v>2.0</v>
      </c>
      <c r="O95" s="55">
        <v>1.0</v>
      </c>
      <c r="P95" s="62"/>
      <c r="Q95" s="11"/>
    </row>
    <row r="96">
      <c r="A96" s="11"/>
      <c r="B96" s="353"/>
      <c r="C96" s="580" t="s">
        <v>947</v>
      </c>
      <c r="D96" s="541" t="s">
        <v>71</v>
      </c>
      <c r="E96" s="67"/>
      <c r="F96" s="68"/>
      <c r="G96" s="69">
        <v>4.0</v>
      </c>
      <c r="H96" s="384" t="s">
        <v>714</v>
      </c>
      <c r="I96" s="434"/>
      <c r="J96" s="55">
        <v>1.0</v>
      </c>
      <c r="K96" s="55">
        <v>1.0</v>
      </c>
      <c r="L96" s="55"/>
      <c r="M96" s="428">
        <v>1.0</v>
      </c>
      <c r="N96" s="55">
        <v>2.0</v>
      </c>
      <c r="O96" s="55">
        <v>1.0</v>
      </c>
      <c r="P96" s="62"/>
      <c r="Q96" s="11"/>
    </row>
    <row r="97">
      <c r="A97" s="11"/>
      <c r="B97" s="355"/>
      <c r="C97" s="591" t="s">
        <v>948</v>
      </c>
      <c r="D97" s="555" t="s">
        <v>22</v>
      </c>
      <c r="E97" s="556">
        <v>4.0</v>
      </c>
      <c r="F97" s="557">
        <v>4.0</v>
      </c>
      <c r="G97" s="558">
        <v>4.0</v>
      </c>
      <c r="H97" s="384" t="s">
        <v>714</v>
      </c>
      <c r="I97" s="434"/>
      <c r="J97" s="55">
        <v>2.0</v>
      </c>
      <c r="K97" s="55">
        <v>2.0</v>
      </c>
      <c r="L97" s="55"/>
      <c r="M97" s="428">
        <v>2.0</v>
      </c>
      <c r="N97" s="55">
        <v>2.0</v>
      </c>
      <c r="O97" s="55">
        <v>2.0</v>
      </c>
      <c r="P97" s="62"/>
      <c r="Q97" s="11"/>
    </row>
    <row r="98">
      <c r="A98" s="11"/>
      <c r="B98" s="634"/>
      <c r="C98" s="579" t="s">
        <v>949</v>
      </c>
      <c r="D98" s="541" t="s">
        <v>71</v>
      </c>
      <c r="E98" s="67"/>
      <c r="F98" s="68"/>
      <c r="G98" s="69">
        <v>2.0</v>
      </c>
      <c r="H98" s="384" t="s">
        <v>714</v>
      </c>
      <c r="I98" s="434"/>
      <c r="J98" s="55">
        <v>5.0</v>
      </c>
      <c r="K98" s="55">
        <v>3.0</v>
      </c>
      <c r="L98" s="55"/>
      <c r="M98" s="428">
        <v>4.0</v>
      </c>
      <c r="N98" s="55">
        <v>3.0</v>
      </c>
      <c r="O98" s="55">
        <v>5.0</v>
      </c>
      <c r="P98" s="62"/>
      <c r="Q98" s="11"/>
    </row>
    <row r="99">
      <c r="A99" s="11"/>
      <c r="B99" s="355"/>
      <c r="C99" s="587" t="s">
        <v>950</v>
      </c>
      <c r="D99" s="555"/>
      <c r="E99" s="556">
        <v>2.0</v>
      </c>
      <c r="F99" s="557">
        <v>4.0</v>
      </c>
      <c r="G99" s="558">
        <v>3.0</v>
      </c>
      <c r="H99" s="384" t="s">
        <v>714</v>
      </c>
      <c r="I99" s="434"/>
      <c r="J99" s="55">
        <v>4.0</v>
      </c>
      <c r="K99" s="55">
        <v>2.0</v>
      </c>
      <c r="L99" s="55"/>
      <c r="M99" s="428">
        <v>1.0</v>
      </c>
      <c r="N99" s="55">
        <v>3.0</v>
      </c>
      <c r="O99" s="55">
        <v>4.0</v>
      </c>
      <c r="P99" s="62"/>
      <c r="Q99" s="11"/>
    </row>
    <row r="100">
      <c r="A100" s="11"/>
      <c r="B100" s="635"/>
      <c r="C100" s="579" t="s">
        <v>951</v>
      </c>
      <c r="D100" s="541" t="s">
        <v>903</v>
      </c>
      <c r="E100" s="67"/>
      <c r="F100" s="68"/>
      <c r="G100" s="69">
        <v>1.0</v>
      </c>
      <c r="H100" s="384" t="s">
        <v>714</v>
      </c>
      <c r="I100" s="434"/>
      <c r="J100" s="55">
        <v>1.0</v>
      </c>
      <c r="K100" s="55">
        <v>1.0</v>
      </c>
      <c r="L100" s="55"/>
      <c r="M100" s="428">
        <v>1.0</v>
      </c>
      <c r="N100" s="55">
        <v>2.0</v>
      </c>
      <c r="O100" s="55">
        <v>1.0</v>
      </c>
      <c r="P100" s="62"/>
      <c r="Q100" s="11"/>
    </row>
    <row r="101">
      <c r="A101" s="11"/>
      <c r="B101" s="355"/>
      <c r="C101" s="588" t="s">
        <v>952</v>
      </c>
      <c r="D101" s="550"/>
      <c r="E101" s="231">
        <v>5.0</v>
      </c>
      <c r="F101" s="232">
        <v>5.0</v>
      </c>
      <c r="G101" s="208">
        <v>8.0</v>
      </c>
      <c r="H101" s="384" t="s">
        <v>714</v>
      </c>
      <c r="I101" s="441"/>
      <c r="J101" s="442">
        <v>1.0</v>
      </c>
      <c r="K101" s="442">
        <v>1.0</v>
      </c>
      <c r="L101" s="442"/>
      <c r="M101" s="589">
        <v>1.0</v>
      </c>
      <c r="N101" s="442">
        <v>1.0</v>
      </c>
      <c r="O101" s="55">
        <v>4.0</v>
      </c>
      <c r="P101" s="444"/>
      <c r="Q101" s="11"/>
    </row>
    <row r="102">
      <c r="A102" s="11"/>
      <c r="B102" s="605"/>
      <c r="C102" s="195" t="s">
        <v>147</v>
      </c>
      <c r="D102" s="125"/>
      <c r="E102" s="125"/>
      <c r="F102" s="125"/>
      <c r="G102" s="125"/>
      <c r="H102" s="611"/>
      <c r="I102" s="127"/>
      <c r="J102" s="128"/>
      <c r="K102" s="128"/>
      <c r="L102" s="128"/>
      <c r="M102" s="128"/>
      <c r="N102" s="128"/>
      <c r="O102" s="130"/>
      <c r="P102" s="445"/>
      <c r="Q102" s="11"/>
    </row>
    <row r="103">
      <c r="A103" s="11"/>
      <c r="B103" s="636"/>
      <c r="C103" s="136"/>
      <c r="D103" s="525"/>
      <c r="E103" s="85"/>
      <c r="F103" s="85"/>
      <c r="G103" s="86"/>
      <c r="H103" s="611"/>
      <c r="I103" s="629" t="s">
        <v>427</v>
      </c>
      <c r="J103" s="140" t="s">
        <v>208</v>
      </c>
      <c r="K103" s="140" t="s">
        <v>426</v>
      </c>
      <c r="L103" s="140" t="s">
        <v>2</v>
      </c>
      <c r="M103" s="140" t="s">
        <v>1</v>
      </c>
      <c r="N103" s="140" t="s">
        <v>4</v>
      </c>
      <c r="O103" s="494" t="s">
        <v>3</v>
      </c>
      <c r="P103" s="630" t="s">
        <v>210</v>
      </c>
      <c r="Q103" s="11"/>
    </row>
    <row r="104">
      <c r="A104" s="11"/>
      <c r="B104" s="631"/>
      <c r="C104" s="580" t="s">
        <v>953</v>
      </c>
      <c r="D104" s="541" t="s">
        <v>97</v>
      </c>
      <c r="E104" s="67">
        <v>1.0</v>
      </c>
      <c r="F104" s="68">
        <v>6.0</v>
      </c>
      <c r="G104" s="69">
        <v>3.0</v>
      </c>
      <c r="H104" s="384" t="s">
        <v>714</v>
      </c>
      <c r="I104" s="432"/>
      <c r="J104" s="54">
        <v>1.0</v>
      </c>
      <c r="K104" s="54">
        <v>1.0</v>
      </c>
      <c r="L104" s="54"/>
      <c r="M104" s="426">
        <v>1.0</v>
      </c>
      <c r="N104" s="54">
        <v>1.0</v>
      </c>
      <c r="O104" s="428">
        <v>1.0</v>
      </c>
      <c r="P104" s="57"/>
      <c r="Q104" s="11"/>
    </row>
    <row r="105">
      <c r="A105" s="11"/>
      <c r="B105" s="353"/>
      <c r="C105" s="580" t="s">
        <v>954</v>
      </c>
      <c r="D105" s="541" t="s">
        <v>71</v>
      </c>
      <c r="E105" s="67"/>
      <c r="F105" s="68"/>
      <c r="G105" s="69">
        <v>3.0</v>
      </c>
      <c r="H105" s="384" t="s">
        <v>714</v>
      </c>
      <c r="I105" s="434"/>
      <c r="J105" s="55">
        <v>4.0</v>
      </c>
      <c r="K105" s="55">
        <v>4.0</v>
      </c>
      <c r="L105" s="55"/>
      <c r="M105" s="428">
        <v>3.0</v>
      </c>
      <c r="N105" s="55">
        <v>3.0</v>
      </c>
      <c r="O105" s="653">
        <v>3.0</v>
      </c>
      <c r="P105" s="62"/>
      <c r="Q105" s="11"/>
    </row>
    <row r="106">
      <c r="A106" s="11"/>
      <c r="B106" s="355"/>
      <c r="C106" s="590" t="s">
        <v>955</v>
      </c>
      <c r="D106" s="565"/>
      <c r="E106" s="201">
        <v>2.0</v>
      </c>
      <c r="F106" s="202">
        <v>2.0</v>
      </c>
      <c r="G106" s="203">
        <v>4.0</v>
      </c>
      <c r="H106" s="384" t="s">
        <v>714</v>
      </c>
      <c r="I106" s="434"/>
      <c r="J106" s="55">
        <v>1.0</v>
      </c>
      <c r="K106" s="55">
        <v>1.0</v>
      </c>
      <c r="L106" s="55"/>
      <c r="M106" s="428">
        <v>1.0</v>
      </c>
      <c r="N106" s="55">
        <v>1.0</v>
      </c>
      <c r="O106" s="428">
        <v>1.0</v>
      </c>
      <c r="P106" s="62"/>
      <c r="Q106" s="11"/>
    </row>
    <row r="107">
      <c r="A107" s="11"/>
      <c r="B107" s="637"/>
      <c r="C107" s="580" t="s">
        <v>956</v>
      </c>
      <c r="D107" s="541" t="s">
        <v>71</v>
      </c>
      <c r="E107" s="67"/>
      <c r="F107" s="68"/>
      <c r="G107" s="69">
        <v>0.0</v>
      </c>
      <c r="H107" s="384" t="s">
        <v>714</v>
      </c>
      <c r="I107" s="434"/>
      <c r="J107" s="55">
        <v>2.0</v>
      </c>
      <c r="K107" s="55">
        <v>2.0</v>
      </c>
      <c r="L107" s="55"/>
      <c r="M107" s="428">
        <v>1.0</v>
      </c>
      <c r="N107" s="55">
        <v>1.0</v>
      </c>
      <c r="O107" s="653">
        <v>3.0</v>
      </c>
      <c r="P107" s="62"/>
      <c r="Q107" s="11"/>
    </row>
    <row r="108">
      <c r="A108" s="11"/>
      <c r="B108" s="353"/>
      <c r="C108" s="580" t="s">
        <v>957</v>
      </c>
      <c r="D108" s="541" t="s">
        <v>77</v>
      </c>
      <c r="E108" s="67">
        <v>0.0</v>
      </c>
      <c r="F108" s="68">
        <v>3.0</v>
      </c>
      <c r="G108" s="69">
        <v>2.0</v>
      </c>
      <c r="H108" s="384" t="s">
        <v>714</v>
      </c>
      <c r="I108" s="434"/>
      <c r="J108" s="55">
        <v>1.0</v>
      </c>
      <c r="K108" s="55">
        <v>1.0</v>
      </c>
      <c r="L108" s="55"/>
      <c r="M108" s="428">
        <v>1.0</v>
      </c>
      <c r="N108" s="55">
        <v>2.0</v>
      </c>
      <c r="O108" s="653">
        <v>3.0</v>
      </c>
      <c r="P108" s="62"/>
      <c r="Q108" s="11"/>
    </row>
    <row r="109">
      <c r="A109" s="11"/>
      <c r="B109" s="355"/>
      <c r="C109" s="591" t="s">
        <v>958</v>
      </c>
      <c r="D109" s="555" t="s">
        <v>71</v>
      </c>
      <c r="E109" s="556"/>
      <c r="F109" s="557"/>
      <c r="G109" s="558">
        <v>3.0</v>
      </c>
      <c r="H109" s="384" t="s">
        <v>714</v>
      </c>
      <c r="I109" s="434"/>
      <c r="J109" s="55">
        <v>2.0</v>
      </c>
      <c r="K109" s="55">
        <v>2.0</v>
      </c>
      <c r="L109" s="55"/>
      <c r="M109" s="428">
        <v>1.0</v>
      </c>
      <c r="N109" s="55">
        <v>2.0</v>
      </c>
      <c r="O109" s="55">
        <v>2.0</v>
      </c>
      <c r="P109" s="62"/>
      <c r="Q109" s="11"/>
    </row>
    <row r="110">
      <c r="A110" s="11"/>
      <c r="B110" s="634"/>
      <c r="C110" s="579" t="s">
        <v>959</v>
      </c>
      <c r="D110" s="541" t="s">
        <v>960</v>
      </c>
      <c r="E110" s="67">
        <v>4.0</v>
      </c>
      <c r="F110" s="68">
        <v>5.0</v>
      </c>
      <c r="G110" s="69">
        <v>5.0</v>
      </c>
      <c r="H110" s="384" t="s">
        <v>714</v>
      </c>
      <c r="I110" s="434"/>
      <c r="J110" s="55">
        <v>1.0</v>
      </c>
      <c r="K110" s="55">
        <v>1.0</v>
      </c>
      <c r="L110" s="55"/>
      <c r="M110" s="428">
        <v>1.0</v>
      </c>
      <c r="N110" s="55">
        <v>2.0</v>
      </c>
      <c r="O110" s="55">
        <v>2.0</v>
      </c>
      <c r="P110" s="62"/>
      <c r="Q110" s="11"/>
    </row>
    <row r="111">
      <c r="A111" s="11"/>
      <c r="B111" s="355"/>
      <c r="C111" s="587" t="s">
        <v>961</v>
      </c>
      <c r="D111" s="555" t="s">
        <v>71</v>
      </c>
      <c r="E111" s="556"/>
      <c r="F111" s="557"/>
      <c r="G111" s="558">
        <v>6.0</v>
      </c>
      <c r="H111" s="384" t="s">
        <v>714</v>
      </c>
      <c r="I111" s="434"/>
      <c r="J111" s="55">
        <v>1.0</v>
      </c>
      <c r="K111" s="55">
        <v>1.0</v>
      </c>
      <c r="L111" s="55"/>
      <c r="M111" s="428">
        <v>1.0</v>
      </c>
      <c r="N111" s="55">
        <v>1.0</v>
      </c>
      <c r="O111" s="428">
        <v>1.0</v>
      </c>
      <c r="P111" s="62"/>
      <c r="Q111" s="11"/>
    </row>
    <row r="112">
      <c r="A112" s="11"/>
      <c r="B112" s="635"/>
      <c r="C112" s="579" t="s">
        <v>962</v>
      </c>
      <c r="D112" s="541" t="s">
        <v>928</v>
      </c>
      <c r="E112" s="67"/>
      <c r="F112" s="68"/>
      <c r="G112" s="69">
        <v>1.0</v>
      </c>
      <c r="H112" s="384" t="s">
        <v>714</v>
      </c>
      <c r="I112" s="434"/>
      <c r="J112" s="55">
        <v>4.0</v>
      </c>
      <c r="K112" s="55">
        <v>4.0</v>
      </c>
      <c r="L112" s="55"/>
      <c r="M112" s="428">
        <v>5.0</v>
      </c>
      <c r="N112" s="55">
        <v>3.0</v>
      </c>
      <c r="O112" s="653">
        <v>3.0</v>
      </c>
      <c r="P112" s="62"/>
      <c r="Q112" s="11"/>
    </row>
    <row r="113">
      <c r="A113" s="11"/>
      <c r="B113" s="355"/>
      <c r="C113" s="588" t="s">
        <v>963</v>
      </c>
      <c r="D113" s="550" t="s">
        <v>22</v>
      </c>
      <c r="E113" s="231">
        <v>5.0</v>
      </c>
      <c r="F113" s="232">
        <v>5.0</v>
      </c>
      <c r="G113" s="208">
        <v>5.0</v>
      </c>
      <c r="H113" s="384" t="s">
        <v>714</v>
      </c>
      <c r="I113" s="441"/>
      <c r="J113" s="442">
        <v>1.0</v>
      </c>
      <c r="K113" s="442">
        <v>2.0</v>
      </c>
      <c r="L113" s="442"/>
      <c r="M113" s="589">
        <v>1.0</v>
      </c>
      <c r="N113" s="442">
        <v>1.0</v>
      </c>
      <c r="O113" s="428">
        <v>1.0</v>
      </c>
      <c r="P113" s="444"/>
      <c r="Q113" s="11"/>
    </row>
    <row r="114">
      <c r="A114" s="11"/>
      <c r="B114" s="605"/>
      <c r="C114" s="195" t="s">
        <v>158</v>
      </c>
      <c r="D114" s="125"/>
      <c r="E114" s="125"/>
      <c r="F114" s="125"/>
      <c r="G114" s="125"/>
      <c r="H114" s="611"/>
      <c r="I114" s="127"/>
      <c r="J114" s="128"/>
      <c r="K114" s="128"/>
      <c r="L114" s="128"/>
      <c r="M114" s="128"/>
      <c r="N114" s="128"/>
      <c r="O114" s="130"/>
      <c r="P114" s="445"/>
      <c r="Q114" s="11"/>
    </row>
    <row r="115">
      <c r="A115" s="11"/>
      <c r="B115" s="636"/>
      <c r="C115" s="136"/>
      <c r="D115" s="525"/>
      <c r="E115" s="85"/>
      <c r="F115" s="85"/>
      <c r="G115" s="86"/>
      <c r="H115" s="611"/>
      <c r="I115" s="638" t="s">
        <v>427</v>
      </c>
      <c r="J115" s="140" t="s">
        <v>208</v>
      </c>
      <c r="K115" s="140" t="s">
        <v>426</v>
      </c>
      <c r="L115" s="140" t="s">
        <v>2</v>
      </c>
      <c r="M115" s="140" t="s">
        <v>1</v>
      </c>
      <c r="N115" s="140" t="s">
        <v>4</v>
      </c>
      <c r="O115" s="494" t="s">
        <v>3</v>
      </c>
      <c r="P115" s="630" t="s">
        <v>210</v>
      </c>
      <c r="Q115" s="11"/>
    </row>
    <row r="116">
      <c r="A116" s="11"/>
      <c r="B116" s="631"/>
      <c r="C116" s="580" t="s">
        <v>964</v>
      </c>
      <c r="D116" s="541" t="s">
        <v>896</v>
      </c>
      <c r="E116" s="67"/>
      <c r="F116" s="68"/>
      <c r="G116" s="69">
        <v>1.0</v>
      </c>
      <c r="H116" s="384" t="s">
        <v>714</v>
      </c>
      <c r="I116" s="457"/>
      <c r="J116" s="56">
        <v>3.0</v>
      </c>
      <c r="K116" s="56">
        <v>2.0</v>
      </c>
      <c r="L116" s="56"/>
      <c r="M116" s="426">
        <v>2.0</v>
      </c>
      <c r="N116" s="56">
        <v>2.0</v>
      </c>
      <c r="O116" s="428">
        <v>3.0</v>
      </c>
      <c r="P116" s="458"/>
      <c r="Q116" s="11"/>
    </row>
    <row r="117">
      <c r="A117" s="11"/>
      <c r="B117" s="353"/>
      <c r="C117" s="580" t="s">
        <v>965</v>
      </c>
      <c r="D117" s="541"/>
      <c r="E117" s="67">
        <v>2.0</v>
      </c>
      <c r="F117" s="68">
        <v>3.0</v>
      </c>
      <c r="G117" s="69">
        <v>2.0</v>
      </c>
      <c r="H117" s="384" t="s">
        <v>714</v>
      </c>
      <c r="I117" s="434"/>
      <c r="J117" s="55">
        <v>1.0</v>
      </c>
      <c r="K117" s="55">
        <v>2.0</v>
      </c>
      <c r="L117" s="55"/>
      <c r="M117" s="428">
        <v>2.0</v>
      </c>
      <c r="N117" s="55">
        <v>2.0</v>
      </c>
      <c r="O117" s="55">
        <v>2.0</v>
      </c>
      <c r="P117" s="62"/>
      <c r="Q117" s="11"/>
    </row>
    <row r="118">
      <c r="A118" s="11"/>
      <c r="B118" s="632"/>
      <c r="C118" s="591" t="s">
        <v>966</v>
      </c>
      <c r="D118" s="555" t="s">
        <v>967</v>
      </c>
      <c r="E118" s="556"/>
      <c r="F118" s="557"/>
      <c r="G118" s="558">
        <v>4.0</v>
      </c>
      <c r="H118" s="384" t="s">
        <v>714</v>
      </c>
      <c r="I118" s="434"/>
      <c r="J118" s="55">
        <v>2.0</v>
      </c>
      <c r="K118" s="55">
        <v>1.0</v>
      </c>
      <c r="L118" s="55"/>
      <c r="M118" s="428">
        <v>1.0</v>
      </c>
      <c r="N118" s="55">
        <v>2.0</v>
      </c>
      <c r="O118" s="55">
        <v>1.0</v>
      </c>
      <c r="P118" s="62"/>
      <c r="Q118" s="11"/>
    </row>
    <row r="119">
      <c r="A119" s="11"/>
      <c r="B119" s="639"/>
      <c r="C119" s="580" t="s">
        <v>968</v>
      </c>
      <c r="D119" s="541" t="s">
        <v>77</v>
      </c>
      <c r="E119" s="67">
        <v>0.0</v>
      </c>
      <c r="F119" s="68">
        <v>3.0</v>
      </c>
      <c r="G119" s="69">
        <v>2.0</v>
      </c>
      <c r="H119" s="384" t="s">
        <v>714</v>
      </c>
      <c r="I119" s="434"/>
      <c r="J119" s="55">
        <v>1.0</v>
      </c>
      <c r="K119" s="55">
        <v>1.0</v>
      </c>
      <c r="L119" s="55"/>
      <c r="M119" s="428">
        <v>1.0</v>
      </c>
      <c r="N119" s="55">
        <v>1.0</v>
      </c>
      <c r="O119" s="55">
        <v>1.0</v>
      </c>
      <c r="P119" s="62"/>
      <c r="Q119" s="11"/>
    </row>
    <row r="120">
      <c r="A120" s="11"/>
      <c r="B120" s="353"/>
      <c r="C120" s="580" t="s">
        <v>969</v>
      </c>
      <c r="D120" s="541"/>
      <c r="E120" s="67">
        <v>3.0</v>
      </c>
      <c r="F120" s="68">
        <v>4.0</v>
      </c>
      <c r="G120" s="69">
        <v>3.0</v>
      </c>
      <c r="H120" s="384" t="s">
        <v>714</v>
      </c>
      <c r="I120" s="434"/>
      <c r="J120" s="55">
        <v>1.0</v>
      </c>
      <c r="K120" s="55">
        <v>1.0</v>
      </c>
      <c r="L120" s="55"/>
      <c r="M120" s="428">
        <v>1.0</v>
      </c>
      <c r="N120" s="55">
        <v>2.0</v>
      </c>
      <c r="O120" s="55">
        <v>1.0</v>
      </c>
      <c r="P120" s="62"/>
      <c r="Q120" s="11"/>
    </row>
    <row r="121">
      <c r="A121" s="11"/>
      <c r="B121" s="355"/>
      <c r="C121" s="591" t="s">
        <v>970</v>
      </c>
      <c r="D121" s="555" t="s">
        <v>490</v>
      </c>
      <c r="E121" s="556"/>
      <c r="F121" s="557"/>
      <c r="G121" s="558">
        <v>7.0</v>
      </c>
      <c r="H121" s="384" t="s">
        <v>714</v>
      </c>
      <c r="I121" s="434"/>
      <c r="J121" s="55">
        <v>2.0</v>
      </c>
      <c r="K121" s="55">
        <v>1.0</v>
      </c>
      <c r="L121" s="55"/>
      <c r="M121" s="428">
        <v>1.0</v>
      </c>
      <c r="N121" s="55">
        <v>2.0</v>
      </c>
      <c r="O121" s="55">
        <v>1.0</v>
      </c>
      <c r="P121" s="62"/>
      <c r="Q121" s="11"/>
    </row>
    <row r="122">
      <c r="A122" s="11"/>
      <c r="B122" s="634"/>
      <c r="C122" s="579" t="s">
        <v>971</v>
      </c>
      <c r="D122" s="541"/>
      <c r="E122" s="67">
        <v>1.0</v>
      </c>
      <c r="F122" s="68">
        <v>3.0</v>
      </c>
      <c r="G122" s="69">
        <v>1.0</v>
      </c>
      <c r="H122" s="384" t="s">
        <v>714</v>
      </c>
      <c r="I122" s="434"/>
      <c r="J122" s="55">
        <v>1.0</v>
      </c>
      <c r="K122" s="55">
        <v>2.0</v>
      </c>
      <c r="L122" s="55"/>
      <c r="M122" s="428">
        <v>1.0</v>
      </c>
      <c r="N122" s="55">
        <v>1.0</v>
      </c>
      <c r="O122" s="55">
        <v>1.0</v>
      </c>
      <c r="P122" s="62"/>
      <c r="Q122" s="11"/>
    </row>
    <row r="123">
      <c r="A123" s="11"/>
      <c r="B123" s="355"/>
      <c r="C123" s="587" t="s">
        <v>972</v>
      </c>
      <c r="D123" s="555" t="s">
        <v>967</v>
      </c>
      <c r="E123" s="556"/>
      <c r="F123" s="557"/>
      <c r="G123" s="558">
        <v>1.0</v>
      </c>
      <c r="H123" s="384" t="s">
        <v>714</v>
      </c>
      <c r="I123" s="434"/>
      <c r="J123" s="55">
        <v>2.0</v>
      </c>
      <c r="K123" s="55">
        <v>2.0</v>
      </c>
      <c r="L123" s="55"/>
      <c r="M123" s="428">
        <v>3.0</v>
      </c>
      <c r="N123" s="55">
        <v>3.0</v>
      </c>
      <c r="O123" s="55">
        <v>1.0</v>
      </c>
      <c r="P123" s="62"/>
      <c r="Q123" s="11"/>
    </row>
    <row r="124">
      <c r="A124" s="11"/>
      <c r="B124" s="635"/>
      <c r="C124" s="579" t="s">
        <v>973</v>
      </c>
      <c r="D124" s="541" t="s">
        <v>903</v>
      </c>
      <c r="E124" s="67"/>
      <c r="F124" s="68"/>
      <c r="G124" s="69">
        <v>1.0</v>
      </c>
      <c r="H124" s="384" t="s">
        <v>714</v>
      </c>
      <c r="I124" s="434"/>
      <c r="J124" s="55">
        <v>2.0</v>
      </c>
      <c r="K124" s="55">
        <v>1.0</v>
      </c>
      <c r="L124" s="55"/>
      <c r="M124" s="428">
        <v>1.0</v>
      </c>
      <c r="N124" s="55">
        <v>1.0</v>
      </c>
      <c r="O124" s="55">
        <v>1.0</v>
      </c>
      <c r="P124" s="62"/>
      <c r="Q124" s="11"/>
    </row>
    <row r="125">
      <c r="A125" s="11"/>
      <c r="B125" s="355"/>
      <c r="C125" s="588" t="s">
        <v>974</v>
      </c>
      <c r="D125" s="550"/>
      <c r="E125" s="231">
        <v>5.0</v>
      </c>
      <c r="F125" s="232">
        <v>6.0</v>
      </c>
      <c r="G125" s="208">
        <v>5.0</v>
      </c>
      <c r="H125" s="384" t="s">
        <v>714</v>
      </c>
      <c r="I125" s="441"/>
      <c r="J125" s="442">
        <v>1.0</v>
      </c>
      <c r="K125" s="442">
        <v>1.0</v>
      </c>
      <c r="L125" s="442"/>
      <c r="M125" s="589">
        <v>1.0</v>
      </c>
      <c r="N125" s="442">
        <v>2.0</v>
      </c>
      <c r="O125" s="55">
        <v>1.0</v>
      </c>
      <c r="P125" s="444"/>
      <c r="Q125" s="11"/>
    </row>
    <row r="126">
      <c r="A126" s="11"/>
      <c r="B126" s="605"/>
      <c r="C126" s="195" t="s">
        <v>170</v>
      </c>
      <c r="D126" s="125"/>
      <c r="E126" s="125"/>
      <c r="F126" s="125"/>
      <c r="G126" s="125"/>
      <c r="H126" s="611"/>
      <c r="I126" s="127"/>
      <c r="J126" s="128"/>
      <c r="K126" s="128"/>
      <c r="L126" s="128"/>
      <c r="M126" s="128"/>
      <c r="N126" s="128"/>
      <c r="O126" s="130"/>
      <c r="P126" s="445"/>
      <c r="Q126" s="11"/>
    </row>
    <row r="127">
      <c r="A127" s="11"/>
      <c r="B127" s="636"/>
      <c r="C127" s="136"/>
      <c r="D127" s="525"/>
      <c r="E127" s="85"/>
      <c r="F127" s="85"/>
      <c r="G127" s="86"/>
      <c r="H127" s="611"/>
      <c r="I127" s="638" t="s">
        <v>427</v>
      </c>
      <c r="J127" s="140" t="s">
        <v>208</v>
      </c>
      <c r="K127" s="140" t="s">
        <v>426</v>
      </c>
      <c r="L127" s="140" t="s">
        <v>2</v>
      </c>
      <c r="M127" s="140" t="s">
        <v>1</v>
      </c>
      <c r="N127" s="140" t="s">
        <v>4</v>
      </c>
      <c r="O127" s="494" t="s">
        <v>3</v>
      </c>
      <c r="P127" s="630" t="s">
        <v>210</v>
      </c>
      <c r="Q127" s="11"/>
    </row>
    <row r="128">
      <c r="A128" s="11"/>
      <c r="B128" s="631"/>
      <c r="C128" s="580" t="s">
        <v>975</v>
      </c>
      <c r="D128" s="541" t="s">
        <v>71</v>
      </c>
      <c r="E128" s="67"/>
      <c r="F128" s="68"/>
      <c r="G128" s="69">
        <v>0.0</v>
      </c>
      <c r="H128" s="384" t="s">
        <v>714</v>
      </c>
      <c r="I128" s="457"/>
      <c r="J128" s="56">
        <v>2.0</v>
      </c>
      <c r="K128" s="56">
        <v>2.0</v>
      </c>
      <c r="L128" s="56"/>
      <c r="M128" s="426">
        <v>1.0</v>
      </c>
      <c r="N128" s="56">
        <v>2.0</v>
      </c>
      <c r="O128" s="651">
        <v>1.0</v>
      </c>
      <c r="P128" s="458"/>
      <c r="Q128" s="11"/>
    </row>
    <row r="129">
      <c r="A129" s="11"/>
      <c r="B129" s="353"/>
      <c r="C129" s="580" t="s">
        <v>976</v>
      </c>
      <c r="D129" s="541"/>
      <c r="E129" s="67">
        <v>2.0</v>
      </c>
      <c r="F129" s="68">
        <v>3.0</v>
      </c>
      <c r="G129" s="69">
        <v>2.0</v>
      </c>
      <c r="H129" s="384" t="s">
        <v>714</v>
      </c>
      <c r="I129" s="434"/>
      <c r="J129" s="55">
        <v>1.0</v>
      </c>
      <c r="K129" s="55">
        <v>1.0</v>
      </c>
      <c r="L129" s="55"/>
      <c r="M129" s="428">
        <v>1.0</v>
      </c>
      <c r="N129" s="55">
        <v>2.0</v>
      </c>
      <c r="O129" s="651">
        <v>1.0</v>
      </c>
      <c r="P129" s="62"/>
      <c r="Q129" s="11"/>
    </row>
    <row r="130">
      <c r="A130" s="11"/>
      <c r="B130" s="632"/>
      <c r="C130" s="580" t="s">
        <v>977</v>
      </c>
      <c r="D130" s="541" t="s">
        <v>925</v>
      </c>
      <c r="E130" s="67"/>
      <c r="F130" s="68"/>
      <c r="G130" s="69">
        <v>4.0</v>
      </c>
      <c r="H130" s="384" t="s">
        <v>714</v>
      </c>
      <c r="I130" s="434"/>
      <c r="J130" s="55">
        <v>4.0</v>
      </c>
      <c r="K130" s="55">
        <v>4.0</v>
      </c>
      <c r="L130" s="55"/>
      <c r="M130" s="428">
        <v>4.0</v>
      </c>
      <c r="N130" s="55">
        <v>3.0</v>
      </c>
      <c r="O130" s="652">
        <v>4.0</v>
      </c>
      <c r="P130" s="62"/>
      <c r="Q130" s="11"/>
    </row>
    <row r="131">
      <c r="A131" s="11"/>
      <c r="B131" s="639"/>
      <c r="C131" s="580" t="s">
        <v>978</v>
      </c>
      <c r="D131" s="541" t="s">
        <v>71</v>
      </c>
      <c r="E131" s="67"/>
      <c r="F131" s="68"/>
      <c r="G131" s="69">
        <v>1.0</v>
      </c>
      <c r="H131" s="384" t="s">
        <v>714</v>
      </c>
      <c r="I131" s="434"/>
      <c r="J131" s="55">
        <v>3.0</v>
      </c>
      <c r="K131" s="55">
        <v>3.0</v>
      </c>
      <c r="L131" s="55"/>
      <c r="M131" s="428">
        <v>2.0</v>
      </c>
      <c r="N131" s="55">
        <v>3.0</v>
      </c>
      <c r="O131" s="652">
        <v>4.0</v>
      </c>
      <c r="P131" s="62"/>
      <c r="Q131" s="11"/>
    </row>
    <row r="132">
      <c r="A132" s="11"/>
      <c r="B132" s="353"/>
      <c r="C132" s="580" t="s">
        <v>979</v>
      </c>
      <c r="D132" s="541" t="s">
        <v>77</v>
      </c>
      <c r="E132" s="67">
        <v>0.0</v>
      </c>
      <c r="F132" s="68">
        <v>2.0</v>
      </c>
      <c r="G132" s="69">
        <v>2.0</v>
      </c>
      <c r="H132" s="384" t="s">
        <v>714</v>
      </c>
      <c r="I132" s="434"/>
      <c r="J132" s="55">
        <v>1.0</v>
      </c>
      <c r="K132" s="55">
        <v>1.0</v>
      </c>
      <c r="L132" s="55"/>
      <c r="M132" s="428">
        <v>1.0</v>
      </c>
      <c r="N132" s="55">
        <v>1.0</v>
      </c>
      <c r="O132" s="651">
        <v>1.0</v>
      </c>
      <c r="P132" s="62"/>
      <c r="Q132" s="11"/>
    </row>
    <row r="133">
      <c r="A133" s="11"/>
      <c r="B133" s="355"/>
      <c r="C133" s="591" t="s">
        <v>980</v>
      </c>
      <c r="D133" s="555" t="s">
        <v>455</v>
      </c>
      <c r="E133" s="556">
        <v>4.0</v>
      </c>
      <c r="F133" s="557">
        <v>5.0</v>
      </c>
      <c r="G133" s="558">
        <v>5.0</v>
      </c>
      <c r="H133" s="384" t="s">
        <v>714</v>
      </c>
      <c r="I133" s="434"/>
      <c r="J133" s="55">
        <v>1.0</v>
      </c>
      <c r="K133" s="55">
        <v>1.0</v>
      </c>
      <c r="L133" s="55"/>
      <c r="M133" s="428">
        <v>1.0</v>
      </c>
      <c r="N133" s="55">
        <v>1.0</v>
      </c>
      <c r="O133" s="651">
        <v>1.0</v>
      </c>
      <c r="P133" s="62"/>
      <c r="Q133" s="11"/>
    </row>
    <row r="134">
      <c r="A134" s="11"/>
      <c r="B134" s="634"/>
      <c r="C134" s="579" t="s">
        <v>981</v>
      </c>
      <c r="D134" s="541" t="s">
        <v>71</v>
      </c>
      <c r="E134" s="67"/>
      <c r="F134" s="68"/>
      <c r="G134" s="69">
        <v>2.0</v>
      </c>
      <c r="H134" s="384" t="s">
        <v>714</v>
      </c>
      <c r="I134" s="434"/>
      <c r="J134" s="55">
        <v>4.0</v>
      </c>
      <c r="K134" s="55">
        <v>4.0</v>
      </c>
      <c r="L134" s="55"/>
      <c r="M134" s="428">
        <v>4.0</v>
      </c>
      <c r="N134" s="55">
        <v>3.0</v>
      </c>
      <c r="O134" s="652">
        <v>4.0</v>
      </c>
      <c r="P134" s="62"/>
      <c r="Q134" s="11"/>
    </row>
    <row r="135">
      <c r="A135" s="11"/>
      <c r="B135" s="355"/>
      <c r="C135" s="587" t="s">
        <v>982</v>
      </c>
      <c r="D135" s="555"/>
      <c r="E135" s="556">
        <v>4.0</v>
      </c>
      <c r="F135" s="557">
        <v>5.0</v>
      </c>
      <c r="G135" s="558">
        <v>7.0</v>
      </c>
      <c r="H135" s="384" t="s">
        <v>714</v>
      </c>
      <c r="I135" s="434"/>
      <c r="J135" s="55">
        <v>1.0</v>
      </c>
      <c r="K135" s="55">
        <v>1.0</v>
      </c>
      <c r="L135" s="55"/>
      <c r="M135" s="428">
        <v>1.0</v>
      </c>
      <c r="N135" s="55">
        <v>1.0</v>
      </c>
      <c r="O135" s="651">
        <v>1.0</v>
      </c>
      <c r="P135" s="62"/>
      <c r="Q135" s="11"/>
    </row>
    <row r="136">
      <c r="A136" s="11"/>
      <c r="B136" s="635"/>
      <c r="C136" s="579" t="s">
        <v>983</v>
      </c>
      <c r="D136" s="541" t="s">
        <v>903</v>
      </c>
      <c r="E136" s="67"/>
      <c r="F136" s="68"/>
      <c r="G136" s="69">
        <v>1.0</v>
      </c>
      <c r="H136" s="384" t="s">
        <v>714</v>
      </c>
      <c r="I136" s="434"/>
      <c r="J136" s="55">
        <v>4.0</v>
      </c>
      <c r="K136" s="55">
        <v>4.0</v>
      </c>
      <c r="L136" s="55"/>
      <c r="M136" s="428">
        <v>1.0</v>
      </c>
      <c r="N136" s="55">
        <v>2.0</v>
      </c>
      <c r="O136" s="652">
        <v>4.0</v>
      </c>
      <c r="P136" s="62"/>
      <c r="Q136" s="11"/>
    </row>
    <row r="137">
      <c r="A137" s="11"/>
      <c r="B137" s="355"/>
      <c r="C137" s="588" t="s">
        <v>984</v>
      </c>
      <c r="D137" s="550"/>
      <c r="E137" s="231">
        <v>6.0</v>
      </c>
      <c r="F137" s="232">
        <v>6.0</v>
      </c>
      <c r="G137" s="208">
        <v>8.0</v>
      </c>
      <c r="H137" s="384" t="s">
        <v>714</v>
      </c>
      <c r="I137" s="441"/>
      <c r="J137" s="442">
        <v>1.0</v>
      </c>
      <c r="K137" s="442">
        <v>1.0</v>
      </c>
      <c r="L137" s="442"/>
      <c r="M137" s="589">
        <v>1.0</v>
      </c>
      <c r="N137" s="442">
        <v>1.0</v>
      </c>
      <c r="O137" s="650">
        <v>2.0</v>
      </c>
      <c r="P137" s="444"/>
      <c r="Q137" s="11"/>
    </row>
    <row r="138">
      <c r="A138" s="11"/>
      <c r="B138" s="605"/>
      <c r="C138" s="195" t="s">
        <v>182</v>
      </c>
      <c r="D138" s="125"/>
      <c r="E138" s="125"/>
      <c r="F138" s="125"/>
      <c r="G138" s="125"/>
      <c r="H138" s="611"/>
      <c r="I138" s="127"/>
      <c r="J138" s="128"/>
      <c r="K138" s="128"/>
      <c r="L138" s="128"/>
      <c r="M138" s="128"/>
      <c r="N138" s="128"/>
      <c r="O138" s="130"/>
      <c r="P138" s="445"/>
      <c r="Q138" s="11"/>
    </row>
    <row r="139">
      <c r="A139" s="11"/>
      <c r="B139" s="636"/>
      <c r="C139" s="136"/>
      <c r="D139" s="525"/>
      <c r="E139" s="85"/>
      <c r="F139" s="85"/>
      <c r="G139" s="86"/>
      <c r="H139" s="611"/>
      <c r="I139" s="638" t="s">
        <v>427</v>
      </c>
      <c r="J139" s="140" t="s">
        <v>208</v>
      </c>
      <c r="K139" s="140" t="s">
        <v>426</v>
      </c>
      <c r="L139" s="140" t="s">
        <v>2</v>
      </c>
      <c r="M139" s="140" t="s">
        <v>1</v>
      </c>
      <c r="N139" s="140" t="s">
        <v>4</v>
      </c>
      <c r="O139" s="622" t="s">
        <v>3</v>
      </c>
      <c r="P139" s="630" t="s">
        <v>210</v>
      </c>
      <c r="Q139" s="11"/>
    </row>
    <row r="140">
      <c r="A140" s="11"/>
      <c r="B140" s="631"/>
      <c r="C140" s="580" t="s">
        <v>985</v>
      </c>
      <c r="D140" s="541" t="s">
        <v>986</v>
      </c>
      <c r="E140" s="67"/>
      <c r="F140" s="68"/>
      <c r="G140" s="69">
        <v>1.0</v>
      </c>
      <c r="H140" s="384" t="s">
        <v>714</v>
      </c>
      <c r="I140" s="457"/>
      <c r="J140" s="56">
        <v>2.0</v>
      </c>
      <c r="K140" s="56">
        <v>2.0</v>
      </c>
      <c r="L140" s="56"/>
      <c r="M140" s="426">
        <v>2.0</v>
      </c>
      <c r="N140" s="56">
        <v>3.0</v>
      </c>
      <c r="O140" s="650">
        <v>2.0</v>
      </c>
      <c r="P140" s="458"/>
      <c r="Q140" s="11"/>
    </row>
    <row r="141">
      <c r="A141" s="11"/>
      <c r="B141" s="353"/>
      <c r="C141" s="580" t="s">
        <v>987</v>
      </c>
      <c r="D141" s="541"/>
      <c r="E141" s="67">
        <v>2.0</v>
      </c>
      <c r="F141" s="68">
        <v>2.0</v>
      </c>
      <c r="G141" s="69">
        <v>3.0</v>
      </c>
      <c r="H141" s="384" t="s">
        <v>714</v>
      </c>
      <c r="I141" s="434"/>
      <c r="J141" s="55">
        <v>4.0</v>
      </c>
      <c r="K141" s="55">
        <v>3.0</v>
      </c>
      <c r="L141" s="55"/>
      <c r="M141" s="428">
        <v>3.0</v>
      </c>
      <c r="N141" s="55">
        <v>4.0</v>
      </c>
      <c r="O141" s="651">
        <v>1.0</v>
      </c>
      <c r="P141" s="62"/>
      <c r="Q141" s="11"/>
    </row>
    <row r="142">
      <c r="A142" s="11"/>
      <c r="B142" s="632"/>
      <c r="C142" s="591" t="s">
        <v>988</v>
      </c>
      <c r="D142" s="555" t="s">
        <v>989</v>
      </c>
      <c r="E142" s="556"/>
      <c r="F142" s="557"/>
      <c r="G142" s="558">
        <v>2.0</v>
      </c>
      <c r="H142" s="384" t="s">
        <v>714</v>
      </c>
      <c r="I142" s="434"/>
      <c r="J142" s="55">
        <v>1.0</v>
      </c>
      <c r="K142" s="55">
        <v>2.0</v>
      </c>
      <c r="L142" s="55"/>
      <c r="M142" s="428">
        <v>2.0</v>
      </c>
      <c r="N142" s="55">
        <v>2.0</v>
      </c>
      <c r="O142" s="653">
        <v>3.0</v>
      </c>
      <c r="P142" s="62"/>
      <c r="Q142" s="11"/>
    </row>
    <row r="143">
      <c r="A143" s="11"/>
      <c r="B143" s="639"/>
      <c r="C143" s="580" t="s">
        <v>990</v>
      </c>
      <c r="D143" s="541" t="s">
        <v>623</v>
      </c>
      <c r="E143" s="67"/>
      <c r="F143" s="68"/>
      <c r="G143" s="69">
        <v>2.0</v>
      </c>
      <c r="H143" s="384" t="s">
        <v>714</v>
      </c>
      <c r="I143" s="434"/>
      <c r="J143" s="55">
        <v>1.0</v>
      </c>
      <c r="K143" s="55">
        <v>1.0</v>
      </c>
      <c r="L143" s="55"/>
      <c r="M143" s="428">
        <v>1.0</v>
      </c>
      <c r="N143" s="55">
        <v>2.0</v>
      </c>
      <c r="O143" s="653">
        <v>3.0</v>
      </c>
      <c r="P143" s="62"/>
      <c r="Q143" s="11"/>
    </row>
    <row r="144">
      <c r="A144" s="11"/>
      <c r="B144" s="353"/>
      <c r="C144" s="580" t="s">
        <v>991</v>
      </c>
      <c r="D144" s="541"/>
      <c r="E144" s="67">
        <v>1.0</v>
      </c>
      <c r="F144" s="68">
        <v>4.0</v>
      </c>
      <c r="G144" s="69">
        <v>3.0</v>
      </c>
      <c r="H144" s="384" t="s">
        <v>714</v>
      </c>
      <c r="I144" s="434"/>
      <c r="J144" s="55">
        <v>2.0</v>
      </c>
      <c r="K144" s="55">
        <v>2.0</v>
      </c>
      <c r="L144" s="55"/>
      <c r="M144" s="428">
        <v>3.0</v>
      </c>
      <c r="N144" s="55">
        <v>2.0</v>
      </c>
      <c r="O144" s="657">
        <v>2.0</v>
      </c>
      <c r="P144" s="62"/>
      <c r="Q144" s="11"/>
    </row>
    <row r="145">
      <c r="A145" s="11"/>
      <c r="B145" s="355"/>
      <c r="C145" s="591" t="s">
        <v>992</v>
      </c>
      <c r="D145" s="555" t="s">
        <v>77</v>
      </c>
      <c r="E145" s="556">
        <v>0.0</v>
      </c>
      <c r="F145" s="557">
        <v>3.0</v>
      </c>
      <c r="G145" s="558">
        <v>1.0</v>
      </c>
      <c r="H145" s="384" t="s">
        <v>714</v>
      </c>
      <c r="I145" s="434"/>
      <c r="J145" s="55">
        <v>3.0</v>
      </c>
      <c r="K145" s="55">
        <v>2.0</v>
      </c>
      <c r="L145" s="55"/>
      <c r="M145" s="428">
        <v>3.0</v>
      </c>
      <c r="N145" s="55">
        <v>2.0</v>
      </c>
      <c r="O145" s="650">
        <v>2.0</v>
      </c>
      <c r="P145" s="62"/>
      <c r="Q145" s="11"/>
    </row>
    <row r="146">
      <c r="A146" s="11"/>
      <c r="B146" s="634"/>
      <c r="C146" s="579" t="s">
        <v>993</v>
      </c>
      <c r="D146" s="541" t="s">
        <v>77</v>
      </c>
      <c r="E146" s="67">
        <v>3.0</v>
      </c>
      <c r="F146" s="68">
        <v>2.0</v>
      </c>
      <c r="G146" s="69">
        <v>3.0</v>
      </c>
      <c r="H146" s="384" t="s">
        <v>714</v>
      </c>
      <c r="I146" s="434"/>
      <c r="J146" s="55">
        <v>1.0</v>
      </c>
      <c r="K146" s="55">
        <v>1.0</v>
      </c>
      <c r="L146" s="55"/>
      <c r="M146" s="428">
        <v>1.0</v>
      </c>
      <c r="N146" s="55">
        <v>1.0</v>
      </c>
      <c r="O146" s="651">
        <v>1.0</v>
      </c>
      <c r="P146" s="62"/>
      <c r="Q146" s="11"/>
    </row>
    <row r="147">
      <c r="A147" s="11"/>
      <c r="B147" s="355"/>
      <c r="C147" s="587" t="s">
        <v>994</v>
      </c>
      <c r="D147" s="555"/>
      <c r="E147" s="556">
        <v>3.0</v>
      </c>
      <c r="F147" s="557">
        <v>5.0</v>
      </c>
      <c r="G147" s="558">
        <v>4.0</v>
      </c>
      <c r="H147" s="384" t="s">
        <v>714</v>
      </c>
      <c r="I147" s="434"/>
      <c r="J147" s="55">
        <v>3.0</v>
      </c>
      <c r="K147" s="55">
        <v>3.0</v>
      </c>
      <c r="L147" s="55"/>
      <c r="M147" s="428">
        <v>3.0</v>
      </c>
      <c r="N147" s="55">
        <v>3.0</v>
      </c>
      <c r="O147" s="651">
        <v>1.0</v>
      </c>
      <c r="P147" s="62"/>
      <c r="Q147" s="11"/>
    </row>
    <row r="148">
      <c r="A148" s="11"/>
      <c r="B148" s="635"/>
      <c r="C148" s="579" t="s">
        <v>995</v>
      </c>
      <c r="D148" s="541" t="s">
        <v>903</v>
      </c>
      <c r="E148" s="67"/>
      <c r="F148" s="68"/>
      <c r="G148" s="69">
        <v>1.0</v>
      </c>
      <c r="H148" s="384" t="s">
        <v>714</v>
      </c>
      <c r="I148" s="434"/>
      <c r="J148" s="55">
        <v>3.0</v>
      </c>
      <c r="K148" s="55">
        <v>2.0</v>
      </c>
      <c r="L148" s="55"/>
      <c r="M148" s="428">
        <v>2.0</v>
      </c>
      <c r="N148" s="55">
        <v>4.0</v>
      </c>
      <c r="O148" s="652">
        <v>4.0</v>
      </c>
      <c r="P148" s="62"/>
      <c r="Q148" s="11"/>
    </row>
    <row r="149">
      <c r="A149" s="11"/>
      <c r="B149" s="355"/>
      <c r="C149" s="588" t="s">
        <v>996</v>
      </c>
      <c r="D149" s="550"/>
      <c r="E149" s="231">
        <v>5.0</v>
      </c>
      <c r="F149" s="232">
        <v>5.0</v>
      </c>
      <c r="G149" s="208">
        <v>6.0</v>
      </c>
      <c r="H149" s="384" t="s">
        <v>714</v>
      </c>
      <c r="I149" s="441"/>
      <c r="J149" s="442">
        <v>4.0</v>
      </c>
      <c r="K149" s="442">
        <v>3.0</v>
      </c>
      <c r="L149" s="442"/>
      <c r="M149" s="589">
        <v>3.0</v>
      </c>
      <c r="N149" s="442">
        <v>3.0</v>
      </c>
      <c r="O149" s="650">
        <v>2.0</v>
      </c>
      <c r="P149" s="444"/>
      <c r="Q149" s="11"/>
    </row>
    <row r="150">
      <c r="A150" s="11"/>
      <c r="B150" s="605"/>
      <c r="C150" s="195" t="s">
        <v>193</v>
      </c>
      <c r="D150" s="125"/>
      <c r="E150" s="125"/>
      <c r="F150" s="125"/>
      <c r="G150" s="125"/>
      <c r="H150" s="611"/>
      <c r="I150" s="127"/>
      <c r="J150" s="128"/>
      <c r="K150" s="128"/>
      <c r="L150" s="128"/>
      <c r="M150" s="128"/>
      <c r="N150" s="128"/>
      <c r="O150" s="130"/>
      <c r="P150" s="445"/>
      <c r="Q150" s="11"/>
    </row>
    <row r="151">
      <c r="A151" s="11"/>
      <c r="B151" s="609"/>
      <c r="C151" s="136"/>
      <c r="D151" s="525"/>
      <c r="E151" s="85"/>
      <c r="F151" s="85"/>
      <c r="G151" s="86"/>
      <c r="H151" s="611"/>
      <c r="I151" s="638" t="s">
        <v>427</v>
      </c>
      <c r="J151" s="140" t="s">
        <v>208</v>
      </c>
      <c r="K151" s="140" t="s">
        <v>426</v>
      </c>
      <c r="L151" s="140" t="s">
        <v>2</v>
      </c>
      <c r="M151" s="140" t="s">
        <v>1</v>
      </c>
      <c r="N151" s="140" t="s">
        <v>4</v>
      </c>
      <c r="O151" s="494" t="s">
        <v>3</v>
      </c>
      <c r="P151" s="630" t="s">
        <v>210</v>
      </c>
      <c r="Q151" s="11"/>
    </row>
    <row r="152">
      <c r="A152" s="11"/>
      <c r="B152" s="640"/>
      <c r="C152" s="580" t="s">
        <v>997</v>
      </c>
      <c r="D152" s="541" t="s">
        <v>51</v>
      </c>
      <c r="E152" s="67">
        <v>1.0</v>
      </c>
      <c r="F152" s="68">
        <v>2.0</v>
      </c>
      <c r="G152" s="69">
        <v>1.0</v>
      </c>
      <c r="H152" s="384" t="s">
        <v>714</v>
      </c>
      <c r="I152" s="457"/>
      <c r="J152" s="56">
        <v>1.0</v>
      </c>
      <c r="K152" s="56">
        <v>1.0</v>
      </c>
      <c r="L152" s="56"/>
      <c r="M152" s="426">
        <v>1.0</v>
      </c>
      <c r="N152" s="56">
        <v>1.0</v>
      </c>
      <c r="O152" s="650">
        <v>2.0</v>
      </c>
      <c r="P152" s="458"/>
      <c r="Q152" s="11"/>
    </row>
    <row r="153">
      <c r="A153" s="11"/>
      <c r="B153" s="353"/>
      <c r="C153" s="580" t="s">
        <v>998</v>
      </c>
      <c r="D153" s="541" t="s">
        <v>71</v>
      </c>
      <c r="E153" s="67"/>
      <c r="F153" s="68"/>
      <c r="G153" s="69">
        <v>2.0</v>
      </c>
      <c r="H153" s="384" t="s">
        <v>714</v>
      </c>
      <c r="I153" s="434"/>
      <c r="J153" s="55">
        <v>3.0</v>
      </c>
      <c r="K153" s="55">
        <v>2.0</v>
      </c>
      <c r="L153" s="55"/>
      <c r="M153" s="428">
        <v>2.0</v>
      </c>
      <c r="N153" s="55">
        <v>2.0</v>
      </c>
      <c r="O153" s="652">
        <v>4.0</v>
      </c>
      <c r="P153" s="62"/>
      <c r="Q153" s="11"/>
    </row>
    <row r="154">
      <c r="A154" s="11"/>
      <c r="B154" s="353"/>
      <c r="C154" s="580" t="s">
        <v>999</v>
      </c>
      <c r="D154" s="541" t="s">
        <v>97</v>
      </c>
      <c r="E154" s="67">
        <v>6.0</v>
      </c>
      <c r="F154" s="68">
        <v>7.0</v>
      </c>
      <c r="G154" s="69">
        <v>7.0</v>
      </c>
      <c r="H154" s="384" t="s">
        <v>714</v>
      </c>
      <c r="I154" s="434"/>
      <c r="J154" s="55">
        <v>4.0</v>
      </c>
      <c r="K154" s="55">
        <v>2.0</v>
      </c>
      <c r="L154" s="55"/>
      <c r="M154" s="55">
        <v>1.0</v>
      </c>
      <c r="N154" s="55">
        <v>3.0</v>
      </c>
      <c r="O154" s="653">
        <v>3.0</v>
      </c>
      <c r="P154" s="62"/>
      <c r="Q154" s="11"/>
    </row>
    <row r="155">
      <c r="A155" s="11"/>
      <c r="B155" s="641"/>
      <c r="C155" s="579" t="s">
        <v>1000</v>
      </c>
      <c r="D155" s="541" t="s">
        <v>71</v>
      </c>
      <c r="E155" s="67"/>
      <c r="F155" s="68"/>
      <c r="G155" s="69">
        <v>1.0</v>
      </c>
      <c r="H155" s="384" t="s">
        <v>714</v>
      </c>
      <c r="I155" s="434"/>
      <c r="J155" s="55">
        <v>2.0</v>
      </c>
      <c r="K155" s="55">
        <v>2.0</v>
      </c>
      <c r="L155" s="55"/>
      <c r="M155" s="55">
        <v>1.0</v>
      </c>
      <c r="N155" s="55">
        <v>1.0</v>
      </c>
      <c r="O155" s="657">
        <v>2.0</v>
      </c>
      <c r="P155" s="62"/>
      <c r="Q155" s="11"/>
    </row>
    <row r="156">
      <c r="A156" s="11"/>
      <c r="B156" s="353"/>
      <c r="C156" s="580" t="s">
        <v>1001</v>
      </c>
      <c r="D156" s="541" t="s">
        <v>71</v>
      </c>
      <c r="E156" s="67"/>
      <c r="F156" s="68"/>
      <c r="G156" s="69"/>
      <c r="H156" s="384" t="s">
        <v>714</v>
      </c>
      <c r="I156" s="434"/>
      <c r="J156" s="55">
        <v>1.0</v>
      </c>
      <c r="K156" s="55">
        <v>1.0</v>
      </c>
      <c r="L156" s="55"/>
      <c r="M156" s="55">
        <v>1.0</v>
      </c>
      <c r="N156" s="55">
        <v>4.0</v>
      </c>
      <c r="O156" s="651">
        <v>1.0</v>
      </c>
      <c r="P156" s="62"/>
      <c r="Q156" s="11"/>
    </row>
    <row r="157">
      <c r="A157" s="11"/>
      <c r="B157" s="353"/>
      <c r="C157" s="591" t="s">
        <v>1002</v>
      </c>
      <c r="D157" s="555" t="s">
        <v>863</v>
      </c>
      <c r="E157" s="556">
        <v>4.0</v>
      </c>
      <c r="F157" s="557">
        <v>3.0</v>
      </c>
      <c r="G157" s="558">
        <v>4.0</v>
      </c>
      <c r="H157" s="384" t="s">
        <v>714</v>
      </c>
      <c r="I157" s="434"/>
      <c r="J157" s="55">
        <v>3.0</v>
      </c>
      <c r="K157" s="55">
        <v>2.0</v>
      </c>
      <c r="L157" s="55"/>
      <c r="M157" s="55">
        <v>3.0</v>
      </c>
      <c r="N157" s="55">
        <v>1.0</v>
      </c>
      <c r="O157" s="651">
        <v>1.0</v>
      </c>
      <c r="P157" s="62"/>
      <c r="Q157" s="11"/>
    </row>
    <row r="158">
      <c r="A158" s="11"/>
      <c r="B158" s="634"/>
      <c r="C158" s="579" t="s">
        <v>1003</v>
      </c>
      <c r="D158" s="541" t="s">
        <v>77</v>
      </c>
      <c r="E158" s="67">
        <v>0.0</v>
      </c>
      <c r="F158" s="68">
        <v>2.0</v>
      </c>
      <c r="G158" s="69">
        <v>3.0</v>
      </c>
      <c r="H158" s="384" t="s">
        <v>714</v>
      </c>
      <c r="I158" s="434"/>
      <c r="J158" s="55">
        <v>3.0</v>
      </c>
      <c r="K158" s="55">
        <v>1.0</v>
      </c>
      <c r="L158" s="55"/>
      <c r="M158" s="55">
        <v>1.0</v>
      </c>
      <c r="N158" s="55">
        <v>1.0</v>
      </c>
      <c r="O158" s="653">
        <v>3.0</v>
      </c>
      <c r="P158" s="62"/>
      <c r="Q158" s="11"/>
    </row>
    <row r="159">
      <c r="A159" s="11"/>
      <c r="B159" s="355"/>
      <c r="C159" s="579" t="s">
        <v>1004</v>
      </c>
      <c r="D159" s="541" t="s">
        <v>97</v>
      </c>
      <c r="E159" s="67">
        <v>4.0</v>
      </c>
      <c r="F159" s="68">
        <v>3.0</v>
      </c>
      <c r="G159" s="69">
        <v>4.0</v>
      </c>
      <c r="H159" s="384" t="s">
        <v>714</v>
      </c>
      <c r="I159" s="434"/>
      <c r="J159" s="55">
        <v>1.0</v>
      </c>
      <c r="K159" s="55">
        <v>1.0</v>
      </c>
      <c r="L159" s="55"/>
      <c r="M159" s="55">
        <v>2.0</v>
      </c>
      <c r="N159" s="55">
        <v>2.0</v>
      </c>
      <c r="O159" s="652">
        <v>4.0</v>
      </c>
      <c r="P159" s="62"/>
      <c r="Q159" s="11"/>
    </row>
    <row r="160">
      <c r="A160" s="11"/>
      <c r="B160" s="635"/>
      <c r="C160" s="579" t="s">
        <v>1005</v>
      </c>
      <c r="D160" s="541" t="s">
        <v>903</v>
      </c>
      <c r="E160" s="67"/>
      <c r="F160" s="68"/>
      <c r="G160" s="69">
        <v>1.0</v>
      </c>
      <c r="H160" s="384" t="s">
        <v>714</v>
      </c>
      <c r="I160" s="434"/>
      <c r="J160" s="55">
        <v>3.0</v>
      </c>
      <c r="K160" s="55">
        <v>1.0</v>
      </c>
      <c r="L160" s="55"/>
      <c r="M160" s="55">
        <v>1.0</v>
      </c>
      <c r="N160" s="55">
        <v>1.0</v>
      </c>
      <c r="O160" s="653">
        <v>3.0</v>
      </c>
      <c r="P160" s="62"/>
      <c r="Q160" s="11"/>
    </row>
    <row r="161">
      <c r="A161" s="11"/>
      <c r="B161" s="355"/>
      <c r="C161" s="587" t="s">
        <v>1006</v>
      </c>
      <c r="D161" s="555"/>
      <c r="E161" s="556">
        <v>7.0</v>
      </c>
      <c r="F161" s="557">
        <v>5.0</v>
      </c>
      <c r="G161" s="558">
        <v>8.0</v>
      </c>
      <c r="H161" s="384" t="s">
        <v>714</v>
      </c>
      <c r="I161" s="642"/>
      <c r="J161" s="643">
        <v>1.0</v>
      </c>
      <c r="K161" s="643">
        <v>1.0</v>
      </c>
      <c r="L161" s="643"/>
      <c r="M161" s="644">
        <v>2.0</v>
      </c>
      <c r="N161" s="643">
        <v>2.0</v>
      </c>
      <c r="O161" s="653">
        <v>3.0</v>
      </c>
      <c r="P161" s="645"/>
      <c r="Q161" s="11"/>
    </row>
    <row r="162">
      <c r="A162" s="11"/>
      <c r="B162" s="332"/>
      <c r="C162" s="333"/>
      <c r="D162" s="333"/>
      <c r="E162" s="333"/>
      <c r="F162" s="333"/>
      <c r="G162" s="333"/>
      <c r="H162" s="291"/>
      <c r="I162" s="295"/>
      <c r="J162" s="295"/>
      <c r="K162" s="295"/>
      <c r="L162" s="295"/>
      <c r="M162" s="295"/>
      <c r="N162" s="295"/>
      <c r="O162" s="295"/>
      <c r="P162" s="295"/>
      <c r="Q162" s="11"/>
    </row>
    <row r="163">
      <c r="A163" s="11"/>
      <c r="B163" s="300"/>
      <c r="C163" s="301"/>
      <c r="D163" s="344"/>
      <c r="F163" s="17"/>
      <c r="G163" s="304"/>
      <c r="H163" s="646"/>
      <c r="I163" s="88" t="s">
        <v>427</v>
      </c>
      <c r="J163" s="140" t="s">
        <v>208</v>
      </c>
      <c r="K163" s="140" t="s">
        <v>426</v>
      </c>
      <c r="L163" s="140" t="s">
        <v>2</v>
      </c>
      <c r="M163" s="140" t="s">
        <v>1</v>
      </c>
      <c r="N163" s="88" t="s">
        <v>4</v>
      </c>
      <c r="O163" s="88" t="s">
        <v>3</v>
      </c>
      <c r="P163" s="647" t="s">
        <v>210</v>
      </c>
      <c r="Q163" s="11"/>
    </row>
    <row r="164">
      <c r="A164" s="11"/>
      <c r="B164" s="307"/>
      <c r="C164" s="307"/>
      <c r="F164" s="17"/>
      <c r="G164" s="648"/>
      <c r="H164" s="316" t="s">
        <v>204</v>
      </c>
      <c r="I164" s="311" t="str">
        <f>AVERAGE(I6:I21,I27:I41,I44:I53,I56:I65,I68:I77,I80:I89,I92:I101,I104:I113,I116:I125,I128:I137,I140:I149,I152:I161)</f>
        <v>#DIV/0!</v>
      </c>
      <c r="J164" s="311">
        <f>AVERAGE(J6:J21,J27:J41,J44:J53,J56:J65,J68:J77,J80:J89,J92:J101,J104:J113,J117:J125,J128:J137,J140:J149,J152:J161)</f>
        <v>2.015503876</v>
      </c>
      <c r="K164" s="311">
        <f t="shared" ref="K164:P164" si="1">AVERAGE(K6:K21,K27:K41,K44:K53,K56:K65,K68:K77,K80:K89,K92:K101,K104:K113,K116:K125,K128:K137,K140:K149,K152:K161)</f>
        <v>1.824427481</v>
      </c>
      <c r="L164" s="311" t="str">
        <f t="shared" si="1"/>
        <v>#DIV/0!</v>
      </c>
      <c r="M164" s="311">
        <f t="shared" si="1"/>
        <v>1.770992366</v>
      </c>
      <c r="N164" s="311">
        <f t="shared" si="1"/>
        <v>1.954198473</v>
      </c>
      <c r="O164" s="311">
        <f t="shared" si="1"/>
        <v>2.167938931</v>
      </c>
      <c r="P164" s="649">
        <f t="shared" si="1"/>
        <v>1.85</v>
      </c>
      <c r="Q164" s="11"/>
    </row>
    <row r="165">
      <c r="A165" s="11"/>
      <c r="B165" s="313"/>
      <c r="C165" s="313"/>
      <c r="F165" s="17"/>
      <c r="G165" s="314"/>
      <c r="H165" s="318"/>
      <c r="P165" s="17"/>
      <c r="Q165" s="11"/>
    </row>
    <row r="166">
      <c r="A166" s="11"/>
      <c r="B166" s="300"/>
      <c r="C166" s="301"/>
      <c r="F166" s="17"/>
      <c r="G166" s="316" t="s">
        <v>206</v>
      </c>
      <c r="P166" s="17"/>
      <c r="Q166" s="11"/>
    </row>
    <row r="167">
      <c r="A167" s="11"/>
      <c r="B167" s="322"/>
      <c r="C167" s="323"/>
      <c r="F167" s="17"/>
      <c r="G167" s="316">
        <v>1.0</v>
      </c>
      <c r="H167" s="475"/>
      <c r="I167" s="316">
        <f t="shared" ref="I167:P167" si="2">COUNTIF(I6:I161,$G$167)</f>
        <v>0</v>
      </c>
      <c r="J167" s="316">
        <f t="shared" si="2"/>
        <v>62</v>
      </c>
      <c r="K167" s="316">
        <f t="shared" si="2"/>
        <v>61</v>
      </c>
      <c r="L167" s="316">
        <f t="shared" si="2"/>
        <v>0</v>
      </c>
      <c r="M167" s="316">
        <f t="shared" si="2"/>
        <v>81</v>
      </c>
      <c r="N167" s="316">
        <f t="shared" si="2"/>
        <v>49</v>
      </c>
      <c r="O167" s="316">
        <f t="shared" si="2"/>
        <v>55</v>
      </c>
      <c r="P167" s="316">
        <f t="shared" si="2"/>
        <v>30</v>
      </c>
      <c r="Q167" s="11"/>
    </row>
    <row r="168">
      <c r="A168" s="11"/>
      <c r="B168" s="328"/>
      <c r="C168" s="323"/>
      <c r="F168" s="17"/>
      <c r="G168" s="316">
        <v>2.0</v>
      </c>
      <c r="H168" s="475"/>
      <c r="I168" s="316">
        <f t="shared" ref="I168:P168" si="3">COUNTIF(I7:I162,$G$168)</f>
        <v>0</v>
      </c>
      <c r="J168" s="316">
        <f t="shared" si="3"/>
        <v>29</v>
      </c>
      <c r="K168" s="316">
        <f t="shared" si="3"/>
        <v>47</v>
      </c>
      <c r="L168" s="316">
        <f t="shared" si="3"/>
        <v>0</v>
      </c>
      <c r="M168" s="316">
        <f t="shared" si="3"/>
        <v>22</v>
      </c>
      <c r="N168" s="316">
        <f t="shared" si="3"/>
        <v>51</v>
      </c>
      <c r="O168" s="316">
        <f t="shared" si="3"/>
        <v>32</v>
      </c>
      <c r="P168" s="316">
        <f t="shared" si="3"/>
        <v>18</v>
      </c>
      <c r="Q168" s="11"/>
    </row>
    <row r="169">
      <c r="A169" s="11"/>
      <c r="B169" s="328"/>
      <c r="C169" s="323"/>
      <c r="F169" s="17"/>
      <c r="G169" s="329">
        <v>3.0</v>
      </c>
      <c r="H169" s="478"/>
      <c r="I169" s="329">
        <f t="shared" ref="I169:P169" si="4">COUNTIF(I8:I163,$G$169)</f>
        <v>0</v>
      </c>
      <c r="J169" s="329">
        <f t="shared" si="4"/>
        <v>23</v>
      </c>
      <c r="K169" s="329">
        <f t="shared" si="4"/>
        <v>17</v>
      </c>
      <c r="L169" s="329">
        <f t="shared" si="4"/>
        <v>0</v>
      </c>
      <c r="M169" s="329">
        <f t="shared" si="4"/>
        <v>18</v>
      </c>
      <c r="N169" s="329">
        <f t="shared" si="4"/>
        <v>27</v>
      </c>
      <c r="O169" s="329">
        <f t="shared" si="4"/>
        <v>23</v>
      </c>
      <c r="P169" s="329">
        <f t="shared" si="4"/>
        <v>9</v>
      </c>
      <c r="Q169" s="11"/>
    </row>
    <row r="170">
      <c r="A170" s="11"/>
      <c r="B170" s="328"/>
      <c r="C170" s="323"/>
      <c r="F170" s="17"/>
      <c r="G170" s="316">
        <v>4.0</v>
      </c>
      <c r="H170" s="475"/>
      <c r="I170" s="316">
        <f t="shared" ref="I170:P170" si="5">COUNTIF(I9:I164,$G$170)</f>
        <v>0</v>
      </c>
      <c r="J170" s="316">
        <f t="shared" si="5"/>
        <v>17</v>
      </c>
      <c r="K170" s="316">
        <f t="shared" si="5"/>
        <v>9</v>
      </c>
      <c r="L170" s="316">
        <f t="shared" si="5"/>
        <v>0</v>
      </c>
      <c r="M170" s="316">
        <f t="shared" si="5"/>
        <v>12</v>
      </c>
      <c r="N170" s="316">
        <f t="shared" si="5"/>
        <v>6</v>
      </c>
      <c r="O170" s="316">
        <f t="shared" si="5"/>
        <v>20</v>
      </c>
      <c r="P170" s="316">
        <f t="shared" si="5"/>
        <v>5</v>
      </c>
      <c r="Q170" s="11"/>
    </row>
    <row r="171">
      <c r="A171" s="11"/>
      <c r="B171" s="328"/>
      <c r="C171" s="323"/>
      <c r="F171" s="17"/>
      <c r="G171" s="329">
        <v>5.0</v>
      </c>
      <c r="H171" s="478"/>
      <c r="I171" s="329">
        <f t="shared" ref="I171:P171" si="6">COUNTIF(I10:I165,$G$171)</f>
        <v>0</v>
      </c>
      <c r="J171" s="329">
        <f t="shared" si="6"/>
        <v>3</v>
      </c>
      <c r="K171" s="329">
        <f t="shared" si="6"/>
        <v>1</v>
      </c>
      <c r="L171" s="329">
        <f t="shared" si="6"/>
        <v>0</v>
      </c>
      <c r="M171" s="329">
        <f t="shared" si="6"/>
        <v>2</v>
      </c>
      <c r="N171" s="329">
        <f t="shared" si="6"/>
        <v>1</v>
      </c>
      <c r="O171" s="329">
        <f t="shared" si="6"/>
        <v>4</v>
      </c>
      <c r="P171" s="329">
        <f t="shared" si="6"/>
        <v>1</v>
      </c>
      <c r="Q171" s="11"/>
    </row>
    <row r="172">
      <c r="A172" s="286"/>
      <c r="B172" s="332"/>
      <c r="C172" s="333"/>
      <c r="D172" s="334"/>
      <c r="E172" s="334"/>
      <c r="F172" s="287"/>
      <c r="G172" s="291"/>
      <c r="H172" s="291"/>
      <c r="I172" s="291"/>
      <c r="J172" s="291"/>
      <c r="K172" s="291"/>
      <c r="L172" s="291"/>
      <c r="M172" s="291"/>
      <c r="N172" s="291"/>
      <c r="O172" s="291"/>
      <c r="P172" s="291"/>
      <c r="Q172" s="286"/>
    </row>
  </sheetData>
  <mergeCells count="57">
    <mergeCell ref="B6:B25"/>
    <mergeCell ref="B27:B29"/>
    <mergeCell ref="B152:B154"/>
    <mergeCell ref="B155:B157"/>
    <mergeCell ref="B158:B159"/>
    <mergeCell ref="B160:B161"/>
    <mergeCell ref="A1:A172"/>
    <mergeCell ref="I1:I3"/>
    <mergeCell ref="J1:J3"/>
    <mergeCell ref="K1:K3"/>
    <mergeCell ref="L1:L3"/>
    <mergeCell ref="M1:M3"/>
    <mergeCell ref="N1:N3"/>
    <mergeCell ref="D163:F172"/>
    <mergeCell ref="B68:B70"/>
    <mergeCell ref="B71:B73"/>
    <mergeCell ref="B74:B75"/>
    <mergeCell ref="B76:B77"/>
    <mergeCell ref="B80:B82"/>
    <mergeCell ref="B83:B85"/>
    <mergeCell ref="B86:B87"/>
    <mergeCell ref="B88:B89"/>
    <mergeCell ref="B92:B94"/>
    <mergeCell ref="B95:B97"/>
    <mergeCell ref="B98:B99"/>
    <mergeCell ref="B100:B101"/>
    <mergeCell ref="B104:B106"/>
    <mergeCell ref="B107:B109"/>
    <mergeCell ref="B146:B147"/>
    <mergeCell ref="B148:B149"/>
    <mergeCell ref="B124:B125"/>
    <mergeCell ref="B128:B130"/>
    <mergeCell ref="B131:B133"/>
    <mergeCell ref="B134:B135"/>
    <mergeCell ref="B136:B137"/>
    <mergeCell ref="B140:B142"/>
    <mergeCell ref="B143:B145"/>
    <mergeCell ref="P1:P3"/>
    <mergeCell ref="Q1:Q172"/>
    <mergeCell ref="H165:P166"/>
    <mergeCell ref="B2:H3"/>
    <mergeCell ref="C4:H4"/>
    <mergeCell ref="B32:B36"/>
    <mergeCell ref="B37:B41"/>
    <mergeCell ref="B44:B46"/>
    <mergeCell ref="B47:B49"/>
    <mergeCell ref="B50:B51"/>
    <mergeCell ref="B52:B53"/>
    <mergeCell ref="B56:B58"/>
    <mergeCell ref="B59:B61"/>
    <mergeCell ref="B62:B63"/>
    <mergeCell ref="B64:B65"/>
    <mergeCell ref="B110:B111"/>
    <mergeCell ref="B112:B113"/>
    <mergeCell ref="B116:B118"/>
    <mergeCell ref="B119:B121"/>
    <mergeCell ref="B122:B123"/>
  </mergeCells>
  <conditionalFormatting sqref="I6:P25 I27:P41 I44:P53 I56:P65 I68:P77 I80:P89 I92:P101 I104:P113 I116:P125 I128:P137 I140:P149 I152:P161">
    <cfRule type="cellIs" dxfId="0" priority="1" operator="equal">
      <formula>1</formula>
    </cfRule>
  </conditionalFormatting>
  <conditionalFormatting sqref="I6:P25 I27:P41 I44:P53 I56:P65 I68:P77 I80:P89 I92:P101 I104:P113 I116:P125 I128:P137 I140:P149 I152:P161">
    <cfRule type="cellIs" dxfId="1" priority="2" operator="equal">
      <formula>2</formula>
    </cfRule>
  </conditionalFormatting>
  <conditionalFormatting sqref="I6:P25 I27:P41 I44:P53 I56:P65 I68:P77 I80:P89 I92:P101 I104:P113 I116:P125 I128:P137 I140:P149 I152:P161">
    <cfRule type="cellIs" dxfId="2" priority="3" operator="equal">
      <formula>5</formula>
    </cfRule>
  </conditionalFormatting>
  <conditionalFormatting sqref="I6:P25 I27:P41 I44:P53 I56:P65 I68:P77 I80:P89 I92:P101 I104:P113 I116:P125 I128:P137 I140:P149 I152:P161">
    <cfRule type="cellIs" dxfId="3" priority="4" operator="equal">
      <formula>3</formula>
    </cfRule>
  </conditionalFormatting>
  <conditionalFormatting sqref="I6:P25 I27:P41 I44:P53 I56:P65 I68:P77 I80:P89 I92:P101 I104:P113 I116:P125 I128:P137 I140:P149 I152:P161">
    <cfRule type="cellIs" dxfId="4" priority="5" operator="equal">
      <formula>4</formula>
    </cfRule>
  </conditionalFormatting>
  <conditionalFormatting sqref="A1:A13 Q1 B2:H2 A162 Q162:Q172 A165:A172">
    <cfRule type="notContainsBlanks" dxfId="5" priority="6">
      <formula>LEN(TRIM(A1))&gt;0</formula>
    </cfRule>
  </conditionalFormatting>
  <conditionalFormatting sqref="N156:O156 N159:O159">
    <cfRule type="notContainsBlanks" dxfId="5" priority="7">
      <formula>LEN(TRIM(N156))&gt;0</formula>
    </cfRule>
  </conditionalFormatting>
  <hyperlinks>
    <hyperlink r:id="rId1" ref="C1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  <hyperlink r:id="rId33" ref="H38"/>
    <hyperlink r:id="rId34" ref="H39"/>
    <hyperlink r:id="rId35" ref="H40"/>
    <hyperlink r:id="rId36" ref="H41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4"/>
    <hyperlink r:id="rId88" ref="H105"/>
    <hyperlink r:id="rId89" ref="H106"/>
    <hyperlink r:id="rId90" ref="H107"/>
    <hyperlink r:id="rId91" ref="H108"/>
    <hyperlink r:id="rId92" ref="H109"/>
    <hyperlink r:id="rId93" ref="H110"/>
    <hyperlink r:id="rId94" ref="H111"/>
    <hyperlink r:id="rId95" ref="H112"/>
    <hyperlink r:id="rId96" ref="H113"/>
    <hyperlink r:id="rId97" ref="H116"/>
    <hyperlink r:id="rId98" ref="H117"/>
    <hyperlink r:id="rId99" ref="H118"/>
    <hyperlink r:id="rId100" ref="H119"/>
    <hyperlink r:id="rId101" ref="H120"/>
    <hyperlink r:id="rId102" ref="H121"/>
    <hyperlink r:id="rId103" ref="H122"/>
    <hyperlink r:id="rId104" ref="H123"/>
    <hyperlink r:id="rId105" ref="H124"/>
    <hyperlink r:id="rId106" ref="H125"/>
    <hyperlink r:id="rId107" ref="H128"/>
    <hyperlink r:id="rId108" ref="H129"/>
    <hyperlink r:id="rId109" ref="H130"/>
    <hyperlink r:id="rId110" ref="H131"/>
    <hyperlink r:id="rId111" ref="H132"/>
    <hyperlink r:id="rId112" ref="H133"/>
    <hyperlink r:id="rId113" ref="H134"/>
    <hyperlink r:id="rId114" ref="H135"/>
    <hyperlink r:id="rId115" ref="H136"/>
    <hyperlink r:id="rId116" ref="H137"/>
    <hyperlink r:id="rId117" ref="H140"/>
    <hyperlink r:id="rId118" ref="H141"/>
    <hyperlink r:id="rId119" ref="H142"/>
    <hyperlink r:id="rId120" ref="H143"/>
    <hyperlink r:id="rId121" ref="H144"/>
    <hyperlink r:id="rId122" ref="H145"/>
    <hyperlink r:id="rId123" ref="H146"/>
    <hyperlink r:id="rId124" ref="H147"/>
    <hyperlink r:id="rId125" ref="H148"/>
    <hyperlink r:id="rId126" ref="H149"/>
    <hyperlink r:id="rId127" ref="H152"/>
    <hyperlink r:id="rId128" ref="H153"/>
    <hyperlink r:id="rId129" ref="H154"/>
    <hyperlink r:id="rId130" ref="H155"/>
    <hyperlink r:id="rId131" ref="H156"/>
    <hyperlink r:id="rId132" ref="H157"/>
    <hyperlink r:id="rId133" ref="H158"/>
    <hyperlink r:id="rId134" ref="H159"/>
    <hyperlink r:id="rId135" ref="H160"/>
    <hyperlink r:id="rId136" ref="H161"/>
  </hyperlinks>
  <drawing r:id="rId1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63"/>
    <col customWidth="1" min="3" max="3" width="29.88"/>
    <col customWidth="1" min="17" max="17" width="4.5"/>
  </cols>
  <sheetData>
    <row r="1">
      <c r="A1" s="479"/>
      <c r="B1" s="300"/>
      <c r="C1" s="658" t="s">
        <v>1007</v>
      </c>
      <c r="D1" s="595"/>
      <c r="E1" s="596"/>
      <c r="F1" s="597"/>
      <c r="G1" s="598"/>
      <c r="H1" s="599"/>
      <c r="I1" s="600" t="s">
        <v>427</v>
      </c>
      <c r="J1" s="601" t="s">
        <v>208</v>
      </c>
      <c r="K1" s="601" t="s">
        <v>426</v>
      </c>
      <c r="L1" s="601" t="s">
        <v>2</v>
      </c>
      <c r="M1" s="601" t="s">
        <v>1</v>
      </c>
      <c r="N1" s="600" t="s">
        <v>4</v>
      </c>
      <c r="O1" s="601" t="s">
        <v>3</v>
      </c>
      <c r="P1" s="600" t="s">
        <v>210</v>
      </c>
      <c r="Q1" s="479"/>
    </row>
    <row r="2">
      <c r="A2" s="11"/>
      <c r="B2" s="603"/>
      <c r="C2" s="348"/>
      <c r="D2" s="348"/>
      <c r="E2" s="348"/>
      <c r="F2" s="348"/>
      <c r="G2" s="348"/>
      <c r="H2" s="349"/>
      <c r="I2" s="11"/>
      <c r="J2" s="11"/>
      <c r="K2" s="11"/>
      <c r="L2" s="11"/>
      <c r="M2" s="11"/>
      <c r="N2" s="11"/>
      <c r="O2" s="11"/>
      <c r="P2" s="11"/>
      <c r="Q2" s="11"/>
    </row>
    <row r="3">
      <c r="A3" s="11"/>
      <c r="B3" s="604"/>
      <c r="C3" s="334"/>
      <c r="D3" s="334"/>
      <c r="E3" s="334"/>
      <c r="F3" s="334"/>
      <c r="G3" s="334"/>
      <c r="H3" s="287"/>
      <c r="I3" s="286"/>
      <c r="J3" s="286"/>
      <c r="K3" s="286"/>
      <c r="L3" s="286"/>
      <c r="M3" s="286"/>
      <c r="N3" s="286"/>
      <c r="O3" s="286"/>
      <c r="P3" s="286"/>
      <c r="Q3" s="11"/>
    </row>
    <row r="4">
      <c r="A4" s="11"/>
      <c r="B4" s="605"/>
      <c r="C4" s="122" t="s">
        <v>11</v>
      </c>
      <c r="D4" s="22"/>
      <c r="E4" s="22"/>
      <c r="F4" s="22"/>
      <c r="G4" s="22"/>
      <c r="H4" s="21"/>
      <c r="I4" s="606"/>
      <c r="J4" s="607"/>
      <c r="K4" s="607"/>
      <c r="L4" s="607"/>
      <c r="M4" s="607"/>
      <c r="N4" s="607"/>
      <c r="O4" s="607"/>
      <c r="P4" s="608"/>
      <c r="Q4" s="11"/>
    </row>
    <row r="5">
      <c r="A5" s="11"/>
      <c r="B5" s="609"/>
      <c r="C5" s="136"/>
      <c r="D5" s="610"/>
      <c r="E5" s="84"/>
      <c r="F5" s="85"/>
      <c r="G5" s="85"/>
      <c r="H5" s="659" t="s">
        <v>714</v>
      </c>
      <c r="I5" s="373" t="s">
        <v>427</v>
      </c>
      <c r="J5" s="140" t="s">
        <v>208</v>
      </c>
      <c r="K5" s="140" t="s">
        <v>426</v>
      </c>
      <c r="L5" s="140" t="s">
        <v>2</v>
      </c>
      <c r="M5" s="140" t="s">
        <v>1</v>
      </c>
      <c r="N5" s="140" t="s">
        <v>4</v>
      </c>
      <c r="O5" s="140" t="s">
        <v>3</v>
      </c>
      <c r="P5" s="612" t="s">
        <v>210</v>
      </c>
      <c r="Q5" s="11"/>
    </row>
    <row r="6">
      <c r="A6" s="11"/>
      <c r="B6" s="613">
        <v>1.0</v>
      </c>
      <c r="C6" s="614" t="s">
        <v>1008</v>
      </c>
      <c r="D6" s="547"/>
      <c r="E6" s="184">
        <v>5.0</v>
      </c>
      <c r="F6" s="185">
        <v>6.0</v>
      </c>
      <c r="G6" s="185">
        <v>5.0</v>
      </c>
      <c r="H6" s="660" t="s">
        <v>714</v>
      </c>
      <c r="I6" s="432">
        <v>2.0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651">
        <v>1.0</v>
      </c>
      <c r="P6" s="57">
        <v>1.0</v>
      </c>
      <c r="Q6" s="11"/>
    </row>
    <row r="7">
      <c r="A7" s="11"/>
      <c r="B7" s="353"/>
      <c r="C7" s="580" t="s">
        <v>1009</v>
      </c>
      <c r="D7" s="541"/>
      <c r="E7" s="67">
        <v>2.0</v>
      </c>
      <c r="F7" s="68">
        <v>3.0</v>
      </c>
      <c r="G7" s="68">
        <v>2.0</v>
      </c>
      <c r="H7" s="661" t="s">
        <v>714</v>
      </c>
      <c r="I7" s="434">
        <v>2.0</v>
      </c>
      <c r="J7" s="55">
        <v>1.0</v>
      </c>
      <c r="K7" s="55">
        <v>1.0</v>
      </c>
      <c r="L7" s="55">
        <v>1.0</v>
      </c>
      <c r="M7" s="55">
        <v>1.0</v>
      </c>
      <c r="N7" s="55">
        <v>1.0</v>
      </c>
      <c r="O7" s="651">
        <v>1.0</v>
      </c>
      <c r="P7" s="62">
        <v>2.0</v>
      </c>
      <c r="Q7" s="11"/>
    </row>
    <row r="8">
      <c r="A8" s="11"/>
      <c r="B8" s="353"/>
      <c r="C8" s="580" t="s">
        <v>1010</v>
      </c>
      <c r="D8" s="541" t="s">
        <v>116</v>
      </c>
      <c r="E8" s="67">
        <v>1.0</v>
      </c>
      <c r="F8" s="68">
        <v>2.0</v>
      </c>
      <c r="G8" s="68">
        <v>1.0</v>
      </c>
      <c r="H8" s="661" t="s">
        <v>714</v>
      </c>
      <c r="I8" s="434">
        <v>3.0</v>
      </c>
      <c r="J8" s="55">
        <v>4.0</v>
      </c>
      <c r="K8" s="55">
        <v>2.0</v>
      </c>
      <c r="L8" s="55">
        <v>3.0</v>
      </c>
      <c r="M8" s="55">
        <v>4.0</v>
      </c>
      <c r="N8" s="55">
        <v>4.0</v>
      </c>
      <c r="O8" s="650">
        <v>2.0</v>
      </c>
      <c r="P8" s="62">
        <v>4.0</v>
      </c>
      <c r="Q8" s="11"/>
    </row>
    <row r="9">
      <c r="A9" s="11"/>
      <c r="B9" s="353"/>
      <c r="C9" s="580" t="s">
        <v>1011</v>
      </c>
      <c r="D9" s="541" t="s">
        <v>51</v>
      </c>
      <c r="E9" s="67">
        <v>3.0</v>
      </c>
      <c r="F9" s="68">
        <v>2.0</v>
      </c>
      <c r="G9" s="68">
        <v>2.0</v>
      </c>
      <c r="H9" s="661" t="s">
        <v>714</v>
      </c>
      <c r="I9" s="434">
        <v>5.0</v>
      </c>
      <c r="J9" s="55">
        <v>3.0</v>
      </c>
      <c r="K9" s="55">
        <v>3.0</v>
      </c>
      <c r="L9" s="55">
        <v>2.0</v>
      </c>
      <c r="M9" s="55">
        <v>2.0</v>
      </c>
      <c r="N9" s="55">
        <v>3.0</v>
      </c>
      <c r="O9" s="653">
        <v>3.0</v>
      </c>
      <c r="P9" s="62">
        <v>2.0</v>
      </c>
      <c r="Q9" s="11"/>
    </row>
    <row r="10">
      <c r="A10" s="11"/>
      <c r="B10" s="353"/>
      <c r="C10" s="580" t="s">
        <v>1012</v>
      </c>
      <c r="D10" s="541" t="s">
        <v>22</v>
      </c>
      <c r="E10" s="67">
        <v>2.0</v>
      </c>
      <c r="F10" s="68">
        <v>2.0</v>
      </c>
      <c r="G10" s="68">
        <v>2.0</v>
      </c>
      <c r="H10" s="661" t="s">
        <v>714</v>
      </c>
      <c r="I10" s="434">
        <v>3.0</v>
      </c>
      <c r="J10" s="55">
        <v>2.0</v>
      </c>
      <c r="K10" s="55">
        <v>2.0</v>
      </c>
      <c r="L10" s="55">
        <v>2.0</v>
      </c>
      <c r="M10" s="55">
        <v>3.0</v>
      </c>
      <c r="N10" s="55">
        <v>3.0</v>
      </c>
      <c r="O10" s="651">
        <v>1.0</v>
      </c>
      <c r="P10" s="62">
        <v>3.0</v>
      </c>
      <c r="Q10" s="11"/>
    </row>
    <row r="11">
      <c r="A11" s="11"/>
      <c r="B11" s="353"/>
      <c r="C11" s="580" t="s">
        <v>1013</v>
      </c>
      <c r="D11" s="541"/>
      <c r="E11" s="67">
        <v>5.0</v>
      </c>
      <c r="F11" s="68">
        <v>7.0</v>
      </c>
      <c r="G11" s="68">
        <v>4.0</v>
      </c>
      <c r="H11" s="661" t="s">
        <v>714</v>
      </c>
      <c r="I11" s="434">
        <v>2.0</v>
      </c>
      <c r="J11" s="55">
        <v>1.0</v>
      </c>
      <c r="K11" s="55">
        <v>2.0</v>
      </c>
      <c r="L11" s="55">
        <v>2.0</v>
      </c>
      <c r="M11" s="55">
        <v>1.0</v>
      </c>
      <c r="N11" s="55">
        <v>2.0</v>
      </c>
      <c r="O11" s="653">
        <v>3.0</v>
      </c>
      <c r="P11" s="62">
        <v>2.0</v>
      </c>
      <c r="Q11" s="11"/>
    </row>
    <row r="12">
      <c r="A12" s="11"/>
      <c r="B12" s="353"/>
      <c r="C12" s="580" t="s">
        <v>1014</v>
      </c>
      <c r="D12" s="541"/>
      <c r="E12" s="67">
        <v>3.0</v>
      </c>
      <c r="F12" s="68">
        <v>7.0</v>
      </c>
      <c r="G12" s="68">
        <v>5.0</v>
      </c>
      <c r="H12" s="661" t="s">
        <v>714</v>
      </c>
      <c r="I12" s="434">
        <v>2.0</v>
      </c>
      <c r="J12" s="55">
        <v>2.0</v>
      </c>
      <c r="K12" s="55">
        <v>2.0</v>
      </c>
      <c r="L12" s="55">
        <v>1.0</v>
      </c>
      <c r="M12" s="55">
        <v>1.0</v>
      </c>
      <c r="N12" s="55">
        <v>2.0</v>
      </c>
      <c r="O12" s="653">
        <v>3.0</v>
      </c>
      <c r="P12" s="62">
        <v>3.0</v>
      </c>
      <c r="Q12" s="11"/>
    </row>
    <row r="13">
      <c r="A13" s="11"/>
      <c r="B13" s="353"/>
      <c r="C13" s="580" t="s">
        <v>1015</v>
      </c>
      <c r="D13" s="541"/>
      <c r="E13" s="67">
        <v>5.0</v>
      </c>
      <c r="F13" s="68">
        <v>10.0</v>
      </c>
      <c r="G13" s="68">
        <v>4.0</v>
      </c>
      <c r="H13" s="661" t="s">
        <v>714</v>
      </c>
      <c r="I13" s="434">
        <v>2.0</v>
      </c>
      <c r="J13" s="55">
        <v>1.0</v>
      </c>
      <c r="K13" s="55">
        <v>1.0</v>
      </c>
      <c r="L13" s="55">
        <v>2.0</v>
      </c>
      <c r="M13" s="55">
        <v>1.0</v>
      </c>
      <c r="N13" s="55">
        <v>2.0</v>
      </c>
      <c r="O13" s="651">
        <v>1.0</v>
      </c>
      <c r="P13" s="62">
        <v>2.0</v>
      </c>
      <c r="Q13" s="11"/>
    </row>
    <row r="14">
      <c r="A14" s="11"/>
      <c r="B14" s="353"/>
      <c r="C14" s="580" t="s">
        <v>1016</v>
      </c>
      <c r="D14" s="541"/>
      <c r="E14" s="67">
        <v>3.0</v>
      </c>
      <c r="F14" s="68">
        <v>3.0</v>
      </c>
      <c r="G14" s="68">
        <v>4.0</v>
      </c>
      <c r="H14" s="661" t="s">
        <v>714</v>
      </c>
      <c r="I14" s="434">
        <v>1.0</v>
      </c>
      <c r="J14" s="55">
        <v>1.0</v>
      </c>
      <c r="K14" s="55">
        <v>1.0</v>
      </c>
      <c r="L14" s="55">
        <v>1.0</v>
      </c>
      <c r="M14" s="55">
        <v>1.0</v>
      </c>
      <c r="N14" s="55">
        <v>3.0</v>
      </c>
      <c r="O14" s="651">
        <v>1.0</v>
      </c>
      <c r="P14" s="62">
        <v>2.0</v>
      </c>
      <c r="Q14" s="11"/>
    </row>
    <row r="15">
      <c r="A15" s="11"/>
      <c r="B15" s="353"/>
      <c r="C15" s="616" t="s">
        <v>1017</v>
      </c>
      <c r="D15" s="617"/>
      <c r="E15" s="70">
        <v>3.0</v>
      </c>
      <c r="F15" s="70">
        <v>4.0</v>
      </c>
      <c r="G15" s="70">
        <v>3.0</v>
      </c>
      <c r="H15" s="662" t="s">
        <v>714</v>
      </c>
      <c r="I15" s="434">
        <v>3.0</v>
      </c>
      <c r="J15" s="55">
        <v>1.0</v>
      </c>
      <c r="K15" s="55">
        <v>1.0</v>
      </c>
      <c r="L15" s="55">
        <v>1.0</v>
      </c>
      <c r="M15" s="55">
        <v>1.0</v>
      </c>
      <c r="N15" s="55">
        <v>3.0</v>
      </c>
      <c r="O15" s="653">
        <v>3.0</v>
      </c>
      <c r="P15" s="62">
        <v>3.0</v>
      </c>
      <c r="Q15" s="11"/>
    </row>
    <row r="16">
      <c r="A16" s="11"/>
      <c r="B16" s="353"/>
      <c r="C16" s="619" t="s">
        <v>1018</v>
      </c>
      <c r="D16" s="532" t="s">
        <v>22</v>
      </c>
      <c r="E16" s="50">
        <v>1.0</v>
      </c>
      <c r="F16" s="50">
        <v>3.0</v>
      </c>
      <c r="G16" s="50">
        <v>3.0</v>
      </c>
      <c r="H16" s="663" t="s">
        <v>714</v>
      </c>
      <c r="I16" s="434">
        <v>3.0</v>
      </c>
      <c r="J16" s="55">
        <v>3.0</v>
      </c>
      <c r="K16" s="55">
        <v>3.0</v>
      </c>
      <c r="L16" s="55">
        <v>3.0</v>
      </c>
      <c r="M16" s="55">
        <v>2.0</v>
      </c>
      <c r="N16" s="55">
        <v>2.0</v>
      </c>
      <c r="O16" s="652">
        <v>4.0</v>
      </c>
      <c r="P16" s="62">
        <v>3.0</v>
      </c>
      <c r="Q16" s="11"/>
    </row>
    <row r="17">
      <c r="A17" s="11"/>
      <c r="B17" s="353"/>
      <c r="C17" s="619" t="s">
        <v>1019</v>
      </c>
      <c r="D17" s="541" t="s">
        <v>60</v>
      </c>
      <c r="E17" s="50">
        <v>4.0</v>
      </c>
      <c r="F17" s="50">
        <v>3.0</v>
      </c>
      <c r="G17" s="50">
        <v>3.0</v>
      </c>
      <c r="H17" s="663" t="s">
        <v>714</v>
      </c>
      <c r="I17" s="434">
        <v>2.0</v>
      </c>
      <c r="J17" s="55">
        <v>1.0</v>
      </c>
      <c r="K17" s="55">
        <v>2.0</v>
      </c>
      <c r="L17" s="55">
        <v>1.0</v>
      </c>
      <c r="M17" s="55">
        <v>2.0</v>
      </c>
      <c r="N17" s="55">
        <v>2.0</v>
      </c>
      <c r="O17" s="651">
        <v>1.0</v>
      </c>
      <c r="P17" s="62">
        <v>2.0</v>
      </c>
      <c r="Q17" s="11"/>
    </row>
    <row r="18">
      <c r="A18" s="11"/>
      <c r="B18" s="353"/>
      <c r="C18" s="619" t="s">
        <v>1020</v>
      </c>
      <c r="D18" s="664"/>
      <c r="E18" s="50">
        <v>3.0</v>
      </c>
      <c r="F18" s="50">
        <v>2.0</v>
      </c>
      <c r="G18" s="50">
        <v>3.0</v>
      </c>
      <c r="H18" s="663" t="s">
        <v>714</v>
      </c>
      <c r="I18" s="434">
        <v>1.0</v>
      </c>
      <c r="J18" s="55">
        <v>1.0</v>
      </c>
      <c r="K18" s="55">
        <v>1.0</v>
      </c>
      <c r="L18" s="55">
        <v>1.0</v>
      </c>
      <c r="M18" s="55">
        <v>1.0</v>
      </c>
      <c r="N18" s="55">
        <v>1.0</v>
      </c>
      <c r="O18" s="651">
        <v>1.0</v>
      </c>
      <c r="P18" s="62">
        <v>2.0</v>
      </c>
      <c r="Q18" s="11"/>
    </row>
    <row r="19">
      <c r="A19" s="11"/>
      <c r="B19" s="353"/>
      <c r="C19" s="580" t="s">
        <v>1021</v>
      </c>
      <c r="D19" s="541"/>
      <c r="E19" s="67">
        <v>2.0</v>
      </c>
      <c r="F19" s="68">
        <v>4.0</v>
      </c>
      <c r="G19" s="68">
        <v>3.0</v>
      </c>
      <c r="H19" s="661" t="s">
        <v>714</v>
      </c>
      <c r="I19" s="434">
        <v>3.0</v>
      </c>
      <c r="J19" s="55">
        <v>1.0</v>
      </c>
      <c r="K19" s="55">
        <v>2.0</v>
      </c>
      <c r="L19" s="55">
        <v>2.0</v>
      </c>
      <c r="M19" s="55">
        <v>3.0</v>
      </c>
      <c r="N19" s="55">
        <v>1.0</v>
      </c>
      <c r="O19" s="652">
        <v>4.0</v>
      </c>
      <c r="P19" s="62">
        <v>2.0</v>
      </c>
      <c r="Q19" s="11"/>
    </row>
    <row r="20">
      <c r="A20" s="11"/>
      <c r="B20" s="353"/>
      <c r="C20" s="580" t="s">
        <v>1022</v>
      </c>
      <c r="D20" s="541"/>
      <c r="E20" s="67">
        <v>4.0</v>
      </c>
      <c r="F20" s="68">
        <v>3.0</v>
      </c>
      <c r="G20" s="68">
        <v>3.0</v>
      </c>
      <c r="H20" s="661" t="s">
        <v>714</v>
      </c>
      <c r="I20" s="434">
        <v>2.0</v>
      </c>
      <c r="J20" s="55">
        <v>2.0</v>
      </c>
      <c r="K20" s="55">
        <v>2.0</v>
      </c>
      <c r="L20" s="55">
        <v>3.0</v>
      </c>
      <c r="M20" s="55">
        <v>2.0</v>
      </c>
      <c r="N20" s="55">
        <v>2.0</v>
      </c>
      <c r="O20" s="653">
        <v>3.0</v>
      </c>
      <c r="P20" s="62">
        <v>3.0</v>
      </c>
      <c r="Q20" s="11"/>
    </row>
    <row r="21">
      <c r="A21" s="11"/>
      <c r="B21" s="353"/>
      <c r="C21" s="580" t="s">
        <v>1023</v>
      </c>
      <c r="D21" s="541"/>
      <c r="E21" s="67">
        <v>2.0</v>
      </c>
      <c r="F21" s="68">
        <v>4.0</v>
      </c>
      <c r="G21" s="68">
        <v>3.0</v>
      </c>
      <c r="H21" s="661" t="s">
        <v>714</v>
      </c>
      <c r="I21" s="434">
        <v>1.0</v>
      </c>
      <c r="J21" s="55">
        <v>1.0</v>
      </c>
      <c r="K21" s="55">
        <v>1.0</v>
      </c>
      <c r="L21" s="55">
        <v>1.0</v>
      </c>
      <c r="M21" s="55">
        <v>1.0</v>
      </c>
      <c r="N21" s="55">
        <v>1.0</v>
      </c>
      <c r="O21" s="651">
        <v>1.0</v>
      </c>
      <c r="P21" s="62">
        <v>2.0</v>
      </c>
      <c r="Q21" s="11"/>
    </row>
    <row r="22">
      <c r="A22" s="11"/>
      <c r="B22" s="353"/>
      <c r="C22" s="665" t="s">
        <v>1024</v>
      </c>
      <c r="D22" s="620"/>
      <c r="E22" s="231">
        <v>1.0</v>
      </c>
      <c r="F22" s="231">
        <v>3.0</v>
      </c>
      <c r="G22" s="231">
        <v>2.0</v>
      </c>
      <c r="H22" s="666" t="s">
        <v>714</v>
      </c>
      <c r="I22" s="441">
        <v>2.0</v>
      </c>
      <c r="J22" s="442">
        <v>2.0</v>
      </c>
      <c r="K22" s="442">
        <v>2.0</v>
      </c>
      <c r="L22" s="442">
        <v>1.0</v>
      </c>
      <c r="M22" s="442">
        <v>1.0</v>
      </c>
      <c r="N22" s="442">
        <v>2.0</v>
      </c>
      <c r="O22" s="651">
        <v>1.0</v>
      </c>
      <c r="P22" s="444">
        <v>2.0</v>
      </c>
      <c r="Q22" s="11"/>
    </row>
    <row r="23">
      <c r="A23" s="11"/>
      <c r="B23" s="353"/>
      <c r="C23" s="667" t="s">
        <v>1025</v>
      </c>
      <c r="D23" s="668" t="s">
        <v>22</v>
      </c>
      <c r="E23" s="460">
        <v>2.0</v>
      </c>
      <c r="F23" s="460">
        <v>3.0</v>
      </c>
      <c r="G23" s="460">
        <v>2.0</v>
      </c>
      <c r="H23" s="669" t="s">
        <v>714</v>
      </c>
      <c r="I23" s="457">
        <v>1.0</v>
      </c>
      <c r="J23" s="56">
        <v>1.0</v>
      </c>
      <c r="K23" s="56">
        <v>1.0</v>
      </c>
      <c r="L23" s="56">
        <v>1.0</v>
      </c>
      <c r="M23" s="56">
        <v>1.0</v>
      </c>
      <c r="N23" s="56">
        <v>1.0</v>
      </c>
      <c r="O23" s="651">
        <v>1.0</v>
      </c>
      <c r="P23" s="376">
        <v>1.0</v>
      </c>
      <c r="Q23" s="11"/>
    </row>
    <row r="24">
      <c r="A24" s="11"/>
      <c r="B24" s="353"/>
      <c r="C24" s="665" t="s">
        <v>1026</v>
      </c>
      <c r="D24" s="620" t="s">
        <v>51</v>
      </c>
      <c r="E24" s="231">
        <v>1.0</v>
      </c>
      <c r="F24" s="231">
        <v>3.0</v>
      </c>
      <c r="G24" s="231">
        <v>2.0</v>
      </c>
      <c r="H24" s="666" t="s">
        <v>714</v>
      </c>
      <c r="I24" s="434">
        <v>5.0</v>
      </c>
      <c r="J24" s="55">
        <v>4.0</v>
      </c>
      <c r="K24" s="55">
        <v>4.0</v>
      </c>
      <c r="L24" s="55">
        <v>3.0</v>
      </c>
      <c r="M24" s="55">
        <v>3.0</v>
      </c>
      <c r="N24" s="55">
        <v>3.0</v>
      </c>
      <c r="O24" s="653">
        <v>3.0</v>
      </c>
      <c r="P24" s="62">
        <v>3.0</v>
      </c>
      <c r="Q24" s="11"/>
    </row>
    <row r="25">
      <c r="A25" s="11"/>
      <c r="B25" s="355"/>
      <c r="C25" s="627" t="s">
        <v>1027</v>
      </c>
      <c r="D25" s="621"/>
      <c r="E25" s="439">
        <v>2.0</v>
      </c>
      <c r="F25" s="439">
        <v>4.0</v>
      </c>
      <c r="G25" s="439">
        <v>2.0</v>
      </c>
      <c r="H25" s="670" t="s">
        <v>714</v>
      </c>
      <c r="I25" s="521">
        <v>1.0</v>
      </c>
      <c r="J25" s="76">
        <v>1.0</v>
      </c>
      <c r="K25" s="76">
        <v>1.0</v>
      </c>
      <c r="L25" s="76">
        <v>1.0</v>
      </c>
      <c r="M25" s="76">
        <v>1.0</v>
      </c>
      <c r="N25" s="76">
        <v>1.0</v>
      </c>
      <c r="O25" s="650">
        <v>2.0</v>
      </c>
      <c r="P25" s="77">
        <v>1.0</v>
      </c>
      <c r="Q25" s="11"/>
    </row>
    <row r="26">
      <c r="A26" s="11"/>
      <c r="B26" s="609"/>
      <c r="C26" s="136"/>
      <c r="D26" s="525"/>
      <c r="E26" s="85"/>
      <c r="F26" s="85"/>
      <c r="G26" s="85"/>
      <c r="H26" s="659"/>
      <c r="I26" s="373" t="s">
        <v>427</v>
      </c>
      <c r="J26" s="140" t="s">
        <v>208</v>
      </c>
      <c r="K26" s="140" t="s">
        <v>426</v>
      </c>
      <c r="L26" s="140" t="s">
        <v>2</v>
      </c>
      <c r="M26" s="140" t="s">
        <v>1</v>
      </c>
      <c r="N26" s="140" t="s">
        <v>4</v>
      </c>
      <c r="O26" s="671" t="s">
        <v>3</v>
      </c>
      <c r="P26" s="612" t="s">
        <v>210</v>
      </c>
      <c r="Q26" s="11"/>
    </row>
    <row r="27">
      <c r="A27" s="11"/>
      <c r="B27" s="623" t="s">
        <v>734</v>
      </c>
      <c r="C27" s="614" t="s">
        <v>1028</v>
      </c>
      <c r="D27" s="547"/>
      <c r="E27" s="184">
        <v>3.0</v>
      </c>
      <c r="F27" s="185">
        <v>5.0</v>
      </c>
      <c r="G27" s="185">
        <v>3.0</v>
      </c>
      <c r="H27" s="660" t="s">
        <v>714</v>
      </c>
      <c r="I27" s="432">
        <v>3.0</v>
      </c>
      <c r="J27" s="54">
        <v>4.0</v>
      </c>
      <c r="K27" s="54">
        <v>3.0</v>
      </c>
      <c r="L27" s="426">
        <v>1.0</v>
      </c>
      <c r="M27" s="426">
        <v>3.0</v>
      </c>
      <c r="N27" s="54">
        <v>3.0</v>
      </c>
      <c r="O27" s="672">
        <v>3.0</v>
      </c>
      <c r="P27" s="57">
        <v>4.0</v>
      </c>
      <c r="Q27" s="11"/>
    </row>
    <row r="28">
      <c r="A28" s="11"/>
      <c r="B28" s="353"/>
      <c r="C28" s="580" t="s">
        <v>1029</v>
      </c>
      <c r="D28" s="541"/>
      <c r="E28" s="67">
        <v>3.0</v>
      </c>
      <c r="F28" s="68">
        <v>4.0</v>
      </c>
      <c r="G28" s="68">
        <v>3.0</v>
      </c>
      <c r="H28" s="661" t="s">
        <v>714</v>
      </c>
      <c r="I28" s="434">
        <v>2.0</v>
      </c>
      <c r="J28" s="55">
        <v>2.0</v>
      </c>
      <c r="K28" s="55">
        <v>3.0</v>
      </c>
      <c r="L28" s="428">
        <v>3.0</v>
      </c>
      <c r="M28" s="428">
        <v>1.0</v>
      </c>
      <c r="N28" s="55">
        <v>3.0</v>
      </c>
      <c r="O28" s="673">
        <v>1.0</v>
      </c>
      <c r="P28" s="62">
        <v>3.0</v>
      </c>
      <c r="Q28" s="11"/>
    </row>
    <row r="29" ht="15.75" customHeight="1">
      <c r="A29" s="11"/>
      <c r="B29" s="624"/>
      <c r="C29" s="591" t="s">
        <v>1030</v>
      </c>
      <c r="D29" s="555"/>
      <c r="E29" s="556">
        <v>4.0</v>
      </c>
      <c r="F29" s="557">
        <v>8.0</v>
      </c>
      <c r="G29" s="557">
        <v>6.0</v>
      </c>
      <c r="H29" s="674" t="s">
        <v>714</v>
      </c>
      <c r="I29" s="434">
        <v>1.0</v>
      </c>
      <c r="J29" s="55">
        <v>1.0</v>
      </c>
      <c r="K29" s="55">
        <v>1.0</v>
      </c>
      <c r="L29" s="428">
        <v>1.0</v>
      </c>
      <c r="M29" s="428">
        <v>1.0</v>
      </c>
      <c r="N29" s="55">
        <v>1.0</v>
      </c>
      <c r="O29" s="675">
        <v>2.0</v>
      </c>
      <c r="P29" s="62">
        <v>1.0</v>
      </c>
      <c r="Q29" s="11"/>
    </row>
    <row r="30" ht="15.75" customHeight="1">
      <c r="A30" s="11"/>
      <c r="B30" s="625"/>
      <c r="C30" s="588" t="s">
        <v>1031</v>
      </c>
      <c r="D30" s="550"/>
      <c r="E30" s="231">
        <v>1.0</v>
      </c>
      <c r="F30" s="232">
        <v>1.0</v>
      </c>
      <c r="G30" s="232">
        <v>5.0</v>
      </c>
      <c r="H30" s="676" t="s">
        <v>714</v>
      </c>
      <c r="I30" s="434">
        <v>2.0</v>
      </c>
      <c r="J30" s="55">
        <v>3.0</v>
      </c>
      <c r="K30" s="55">
        <v>2.0</v>
      </c>
      <c r="L30" s="428">
        <v>2.0</v>
      </c>
      <c r="M30" s="428">
        <v>1.0</v>
      </c>
      <c r="N30" s="55">
        <v>3.0</v>
      </c>
      <c r="O30" s="673">
        <v>1.0</v>
      </c>
      <c r="P30" s="62">
        <v>3.0</v>
      </c>
      <c r="Q30" s="11"/>
    </row>
    <row r="31" ht="15.75" customHeight="1">
      <c r="A31" s="11"/>
      <c r="B31" s="625"/>
      <c r="C31" s="588" t="s">
        <v>1032</v>
      </c>
      <c r="D31" s="550" t="s">
        <v>22</v>
      </c>
      <c r="E31" s="231">
        <v>2.0</v>
      </c>
      <c r="F31" s="232">
        <v>4.0</v>
      </c>
      <c r="G31" s="232">
        <v>2.0</v>
      </c>
      <c r="H31" s="676" t="s">
        <v>714</v>
      </c>
      <c r="I31" s="434">
        <v>1.0</v>
      </c>
      <c r="J31" s="55">
        <v>1.0</v>
      </c>
      <c r="K31" s="55">
        <v>1.0</v>
      </c>
      <c r="L31" s="428">
        <v>2.0</v>
      </c>
      <c r="M31" s="428">
        <v>2.0</v>
      </c>
      <c r="N31" s="55">
        <v>2.0</v>
      </c>
      <c r="O31" s="673">
        <v>1.0</v>
      </c>
      <c r="P31" s="62">
        <v>2.0</v>
      </c>
      <c r="Q31" s="11"/>
    </row>
    <row r="32">
      <c r="A32" s="11"/>
      <c r="B32" s="626" t="s">
        <v>740</v>
      </c>
      <c r="C32" s="579" t="s">
        <v>1033</v>
      </c>
      <c r="D32" s="541"/>
      <c r="E32" s="67">
        <v>3.0</v>
      </c>
      <c r="F32" s="68">
        <v>6.0</v>
      </c>
      <c r="G32" s="68">
        <v>4.0</v>
      </c>
      <c r="H32" s="661" t="s">
        <v>714</v>
      </c>
      <c r="I32" s="434">
        <v>1.0</v>
      </c>
      <c r="J32" s="55">
        <v>2.0</v>
      </c>
      <c r="K32" s="55">
        <v>2.0</v>
      </c>
      <c r="L32" s="428">
        <v>2.0</v>
      </c>
      <c r="M32" s="428">
        <v>1.0</v>
      </c>
      <c r="N32" s="55">
        <v>2.0</v>
      </c>
      <c r="O32" s="673">
        <v>1.0</v>
      </c>
      <c r="P32" s="62">
        <v>2.0</v>
      </c>
      <c r="Q32" s="11"/>
    </row>
    <row r="33">
      <c r="A33" s="11"/>
      <c r="B33" s="353"/>
      <c r="C33" s="579" t="s">
        <v>1034</v>
      </c>
      <c r="D33" s="541"/>
      <c r="E33" s="67">
        <v>6.0</v>
      </c>
      <c r="F33" s="68">
        <v>6.0</v>
      </c>
      <c r="G33" s="68">
        <v>8.0</v>
      </c>
      <c r="H33" s="661" t="s">
        <v>714</v>
      </c>
      <c r="I33" s="434">
        <v>5.0</v>
      </c>
      <c r="J33" s="55">
        <v>3.0</v>
      </c>
      <c r="K33" s="55">
        <v>4.0</v>
      </c>
      <c r="L33" s="428">
        <v>2.0</v>
      </c>
      <c r="M33" s="428">
        <v>4.0</v>
      </c>
      <c r="N33" s="55">
        <v>3.0</v>
      </c>
      <c r="O33" s="677">
        <v>4.0</v>
      </c>
      <c r="P33" s="62">
        <v>4.0</v>
      </c>
      <c r="Q33" s="11"/>
    </row>
    <row r="34">
      <c r="A34" s="11"/>
      <c r="B34" s="353"/>
      <c r="C34" s="579" t="s">
        <v>1035</v>
      </c>
      <c r="D34" s="541"/>
      <c r="E34" s="67">
        <v>3.0</v>
      </c>
      <c r="F34" s="68">
        <v>5.0</v>
      </c>
      <c r="G34" s="68">
        <v>5.0</v>
      </c>
      <c r="H34" s="661" t="s">
        <v>714</v>
      </c>
      <c r="I34" s="434">
        <v>1.0</v>
      </c>
      <c r="J34" s="55">
        <v>1.0</v>
      </c>
      <c r="K34" s="55">
        <v>1.0</v>
      </c>
      <c r="L34" s="428">
        <v>1.0</v>
      </c>
      <c r="M34" s="428">
        <v>1.0</v>
      </c>
      <c r="N34" s="55">
        <v>1.0</v>
      </c>
      <c r="O34" s="673">
        <v>1.0</v>
      </c>
      <c r="P34" s="62">
        <v>1.0</v>
      </c>
      <c r="Q34" s="11"/>
    </row>
    <row r="35">
      <c r="A35" s="11"/>
      <c r="B35" s="353"/>
      <c r="C35" s="587" t="s">
        <v>1036</v>
      </c>
      <c r="D35" s="555"/>
      <c r="E35" s="556">
        <v>4.0</v>
      </c>
      <c r="F35" s="557">
        <v>6.0</v>
      </c>
      <c r="G35" s="557">
        <v>4.0</v>
      </c>
      <c r="H35" s="674" t="s">
        <v>714</v>
      </c>
      <c r="I35" s="434">
        <v>2.0</v>
      </c>
      <c r="J35" s="55">
        <v>3.0</v>
      </c>
      <c r="K35" s="55">
        <v>2.0</v>
      </c>
      <c r="L35" s="428">
        <v>1.0</v>
      </c>
      <c r="M35" s="428">
        <v>1.0</v>
      </c>
      <c r="N35" s="55">
        <v>3.0</v>
      </c>
      <c r="O35" s="673">
        <v>1.0</v>
      </c>
      <c r="P35" s="62">
        <v>3.0</v>
      </c>
      <c r="Q35" s="11"/>
    </row>
    <row r="36">
      <c r="A36" s="11"/>
      <c r="B36" s="355"/>
      <c r="C36" s="678" t="s">
        <v>1037</v>
      </c>
      <c r="D36" s="565" t="s">
        <v>60</v>
      </c>
      <c r="E36" s="201">
        <v>5.0</v>
      </c>
      <c r="F36" s="202">
        <v>5.0</v>
      </c>
      <c r="G36" s="202">
        <v>4.0</v>
      </c>
      <c r="H36" s="679" t="s">
        <v>714</v>
      </c>
      <c r="I36" s="434">
        <v>2.0</v>
      </c>
      <c r="J36" s="55">
        <v>1.0</v>
      </c>
      <c r="K36" s="55">
        <v>2.0</v>
      </c>
      <c r="L36" s="428">
        <v>1.0</v>
      </c>
      <c r="M36" s="428">
        <v>2.0</v>
      </c>
      <c r="N36" s="55">
        <v>2.0</v>
      </c>
      <c r="O36" s="672">
        <v>3.0</v>
      </c>
      <c r="P36" s="62">
        <v>2.0</v>
      </c>
      <c r="Q36" s="11"/>
    </row>
    <row r="37">
      <c r="A37" s="11"/>
      <c r="B37" s="628"/>
      <c r="C37" s="579" t="s">
        <v>1038</v>
      </c>
      <c r="D37" s="541"/>
      <c r="E37" s="67">
        <v>3.0</v>
      </c>
      <c r="F37" s="68">
        <v>6.0</v>
      </c>
      <c r="G37" s="68">
        <v>5.0</v>
      </c>
      <c r="H37" s="661" t="s">
        <v>714</v>
      </c>
      <c r="I37" s="434">
        <v>4.0</v>
      </c>
      <c r="J37" s="55">
        <v>3.0</v>
      </c>
      <c r="K37" s="55">
        <v>4.0</v>
      </c>
      <c r="L37" s="428">
        <v>4.0</v>
      </c>
      <c r="M37" s="428">
        <v>3.0</v>
      </c>
      <c r="N37" s="55">
        <v>3.0</v>
      </c>
      <c r="O37" s="672">
        <v>3.0</v>
      </c>
      <c r="P37" s="62">
        <v>2.0</v>
      </c>
      <c r="Q37" s="11"/>
    </row>
    <row r="38">
      <c r="A38" s="11"/>
      <c r="B38" s="353"/>
      <c r="C38" s="579" t="s">
        <v>1039</v>
      </c>
      <c r="D38" s="541"/>
      <c r="E38" s="67">
        <v>1.0</v>
      </c>
      <c r="F38" s="68">
        <v>6.0</v>
      </c>
      <c r="G38" s="68">
        <v>4.0</v>
      </c>
      <c r="H38" s="661" t="s">
        <v>714</v>
      </c>
      <c r="I38" s="434">
        <v>4.0</v>
      </c>
      <c r="J38" s="55">
        <v>4.0</v>
      </c>
      <c r="K38" s="55">
        <v>4.0</v>
      </c>
      <c r="L38" s="428">
        <v>2.0</v>
      </c>
      <c r="M38" s="428">
        <v>4.0</v>
      </c>
      <c r="N38" s="55">
        <v>4.0</v>
      </c>
      <c r="O38" s="675">
        <v>2.0</v>
      </c>
      <c r="P38" s="62">
        <v>3.0</v>
      </c>
      <c r="Q38" s="11"/>
    </row>
    <row r="39">
      <c r="A39" s="11"/>
      <c r="B39" s="353"/>
      <c r="C39" s="579" t="s">
        <v>1040</v>
      </c>
      <c r="D39" s="541"/>
      <c r="E39" s="67">
        <v>3.0</v>
      </c>
      <c r="F39" s="68">
        <v>4.0</v>
      </c>
      <c r="G39" s="68">
        <v>3.0</v>
      </c>
      <c r="H39" s="661" t="s">
        <v>714</v>
      </c>
      <c r="I39" s="434">
        <v>2.0</v>
      </c>
      <c r="J39" s="55">
        <v>5.0</v>
      </c>
      <c r="K39" s="55">
        <v>2.0</v>
      </c>
      <c r="L39" s="428">
        <v>2.0</v>
      </c>
      <c r="M39" s="428">
        <v>1.0</v>
      </c>
      <c r="N39" s="55">
        <v>3.0</v>
      </c>
      <c r="O39" s="673">
        <v>1.0</v>
      </c>
      <c r="P39" s="62">
        <v>2.0</v>
      </c>
      <c r="Q39" s="11"/>
    </row>
    <row r="40">
      <c r="A40" s="11"/>
      <c r="B40" s="353"/>
      <c r="C40" s="579" t="s">
        <v>1041</v>
      </c>
      <c r="D40" s="541"/>
      <c r="E40" s="67">
        <v>3.0</v>
      </c>
      <c r="F40" s="68">
        <v>3.0</v>
      </c>
      <c r="G40" s="68">
        <v>4.0</v>
      </c>
      <c r="H40" s="661" t="s">
        <v>714</v>
      </c>
      <c r="I40" s="434">
        <v>5.0</v>
      </c>
      <c r="J40" s="55">
        <v>4.0</v>
      </c>
      <c r="K40" s="55">
        <v>4.0</v>
      </c>
      <c r="L40" s="428">
        <v>4.0</v>
      </c>
      <c r="M40" s="428">
        <v>4.0</v>
      </c>
      <c r="N40" s="55">
        <v>4.0</v>
      </c>
      <c r="O40" s="680">
        <v>5.0</v>
      </c>
      <c r="P40" s="62">
        <v>4.0</v>
      </c>
      <c r="Q40" s="11"/>
    </row>
    <row r="41">
      <c r="A41" s="11"/>
      <c r="B41" s="355"/>
      <c r="C41" s="579" t="s">
        <v>1042</v>
      </c>
      <c r="D41" s="541"/>
      <c r="E41" s="67">
        <v>5.0</v>
      </c>
      <c r="F41" s="68">
        <v>5.0</v>
      </c>
      <c r="G41" s="68">
        <v>7.0</v>
      </c>
      <c r="H41" s="661" t="s">
        <v>714</v>
      </c>
      <c r="I41" s="441">
        <v>2.0</v>
      </c>
      <c r="J41" s="442">
        <v>1.0</v>
      </c>
      <c r="K41" s="442">
        <v>2.0</v>
      </c>
      <c r="L41" s="589">
        <v>1.0</v>
      </c>
      <c r="M41" s="589">
        <v>1.0</v>
      </c>
      <c r="N41" s="442">
        <v>1.0</v>
      </c>
      <c r="O41" s="673">
        <v>1.0</v>
      </c>
      <c r="P41" s="444">
        <v>2.0</v>
      </c>
      <c r="Q41" s="11"/>
    </row>
    <row r="42">
      <c r="A42" s="11"/>
      <c r="B42" s="605"/>
      <c r="C42" s="195" t="s">
        <v>83</v>
      </c>
      <c r="D42" s="82"/>
      <c r="E42" s="82"/>
      <c r="F42" s="82"/>
      <c r="G42" s="82"/>
      <c r="H42" s="681"/>
      <c r="I42" s="127"/>
      <c r="J42" s="128"/>
      <c r="K42" s="128"/>
      <c r="L42" s="128"/>
      <c r="M42" s="128"/>
      <c r="N42" s="128"/>
      <c r="O42" s="682"/>
      <c r="P42" s="445"/>
      <c r="Q42" s="11"/>
    </row>
    <row r="43">
      <c r="A43" s="11"/>
      <c r="B43" s="609"/>
      <c r="C43" s="136"/>
      <c r="D43" s="525"/>
      <c r="E43" s="85"/>
      <c r="F43" s="85"/>
      <c r="G43" s="85"/>
      <c r="H43" s="683" t="s">
        <v>714</v>
      </c>
      <c r="I43" s="629" t="s">
        <v>427</v>
      </c>
      <c r="J43" s="140" t="s">
        <v>208</v>
      </c>
      <c r="K43" s="140" t="s">
        <v>426</v>
      </c>
      <c r="L43" s="140" t="s">
        <v>2</v>
      </c>
      <c r="M43" s="140" t="s">
        <v>1</v>
      </c>
      <c r="N43" s="140" t="s">
        <v>4</v>
      </c>
      <c r="O43" s="671" t="s">
        <v>3</v>
      </c>
      <c r="P43" s="630" t="s">
        <v>210</v>
      </c>
      <c r="Q43" s="11"/>
    </row>
    <row r="44">
      <c r="A44" s="11"/>
      <c r="B44" s="631" t="s">
        <v>64</v>
      </c>
      <c r="C44" s="580" t="s">
        <v>1043</v>
      </c>
      <c r="D44" s="541" t="s">
        <v>71</v>
      </c>
      <c r="E44" s="67"/>
      <c r="F44" s="68"/>
      <c r="G44" s="68">
        <v>2.0</v>
      </c>
      <c r="H44" s="661" t="s">
        <v>714</v>
      </c>
      <c r="I44" s="432">
        <v>2.0</v>
      </c>
      <c r="J44" s="54">
        <v>1.0</v>
      </c>
      <c r="K44" s="54">
        <v>1.0</v>
      </c>
      <c r="L44" s="54">
        <v>1.0</v>
      </c>
      <c r="M44" s="426">
        <v>1.0</v>
      </c>
      <c r="N44" s="54">
        <v>1.0</v>
      </c>
      <c r="O44" s="675">
        <v>2.0</v>
      </c>
      <c r="P44" s="57">
        <v>2.0</v>
      </c>
      <c r="Q44" s="11"/>
    </row>
    <row r="45">
      <c r="A45" s="11"/>
      <c r="B45" s="353"/>
      <c r="C45" s="580" t="s">
        <v>1044</v>
      </c>
      <c r="D45" s="541" t="s">
        <v>60</v>
      </c>
      <c r="E45" s="67">
        <v>4.0</v>
      </c>
      <c r="F45" s="68">
        <v>5.0</v>
      </c>
      <c r="G45" s="68">
        <v>5.0</v>
      </c>
      <c r="H45" s="661" t="s">
        <v>714</v>
      </c>
      <c r="I45" s="434">
        <v>2.0</v>
      </c>
      <c r="J45" s="55">
        <v>4.0</v>
      </c>
      <c r="K45" s="55">
        <v>3.0</v>
      </c>
      <c r="L45" s="55">
        <v>2.0</v>
      </c>
      <c r="M45" s="428">
        <v>2.0</v>
      </c>
      <c r="N45" s="55">
        <v>3.0</v>
      </c>
      <c r="O45" s="672">
        <v>3.0</v>
      </c>
      <c r="P45" s="62">
        <v>2.0</v>
      </c>
      <c r="Q45" s="11"/>
    </row>
    <row r="46">
      <c r="A46" s="11"/>
      <c r="B46" s="632"/>
      <c r="C46" s="585" t="s">
        <v>1045</v>
      </c>
      <c r="D46" s="550"/>
      <c r="E46" s="231">
        <v>2.0</v>
      </c>
      <c r="F46" s="232">
        <v>6.0</v>
      </c>
      <c r="G46" s="232">
        <v>4.0</v>
      </c>
      <c r="H46" s="676" t="s">
        <v>714</v>
      </c>
      <c r="I46" s="434">
        <v>4.0</v>
      </c>
      <c r="J46" s="55">
        <v>2.0</v>
      </c>
      <c r="K46" s="55">
        <v>2.0</v>
      </c>
      <c r="L46" s="55">
        <v>2.0</v>
      </c>
      <c r="M46" s="428">
        <v>3.0</v>
      </c>
      <c r="N46" s="55">
        <v>3.0</v>
      </c>
      <c r="O46" s="675">
        <v>2.0</v>
      </c>
      <c r="P46" s="62">
        <v>4.0</v>
      </c>
      <c r="Q46" s="11"/>
    </row>
    <row r="47">
      <c r="A47" s="11"/>
      <c r="B47" s="633"/>
      <c r="C47" s="584" t="s">
        <v>1046</v>
      </c>
      <c r="D47" s="547"/>
      <c r="E47" s="250">
        <v>1.0</v>
      </c>
      <c r="F47" s="251">
        <v>3.0</v>
      </c>
      <c r="G47" s="251">
        <v>1.0</v>
      </c>
      <c r="H47" s="660" t="s">
        <v>714</v>
      </c>
      <c r="I47" s="434">
        <v>2.0</v>
      </c>
      <c r="J47" s="55">
        <v>1.0</v>
      </c>
      <c r="K47" s="55">
        <v>2.0</v>
      </c>
      <c r="L47" s="55">
        <v>2.0</v>
      </c>
      <c r="M47" s="428">
        <v>2.0</v>
      </c>
      <c r="N47" s="55">
        <v>2.0</v>
      </c>
      <c r="O47" s="675">
        <v>2.0</v>
      </c>
      <c r="P47" s="62">
        <v>3.0</v>
      </c>
      <c r="Q47" s="11"/>
    </row>
    <row r="48">
      <c r="A48" s="11"/>
      <c r="B48" s="353"/>
      <c r="C48" s="580" t="s">
        <v>1047</v>
      </c>
      <c r="D48" s="541" t="s">
        <v>490</v>
      </c>
      <c r="E48" s="67"/>
      <c r="F48" s="68"/>
      <c r="G48" s="68">
        <v>2.0</v>
      </c>
      <c r="H48" s="661" t="s">
        <v>714</v>
      </c>
      <c r="I48" s="434">
        <v>1.0</v>
      </c>
      <c r="J48" s="55">
        <v>1.0</v>
      </c>
      <c r="K48" s="55">
        <v>1.0</v>
      </c>
      <c r="L48" s="55">
        <v>1.0</v>
      </c>
      <c r="M48" s="428">
        <v>1.0</v>
      </c>
      <c r="N48" s="55">
        <v>1.0</v>
      </c>
      <c r="O48" s="673">
        <v>1.0</v>
      </c>
      <c r="P48" s="62">
        <v>1.0</v>
      </c>
      <c r="Q48" s="11"/>
    </row>
    <row r="49">
      <c r="A49" s="11"/>
      <c r="B49" s="355"/>
      <c r="C49" s="585" t="s">
        <v>1048</v>
      </c>
      <c r="D49" s="550" t="s">
        <v>77</v>
      </c>
      <c r="E49" s="231">
        <v>3.0</v>
      </c>
      <c r="F49" s="232">
        <v>3.0</v>
      </c>
      <c r="G49" s="232">
        <v>4.0</v>
      </c>
      <c r="H49" s="676" t="s">
        <v>714</v>
      </c>
      <c r="I49" s="434">
        <v>4.0</v>
      </c>
      <c r="J49" s="55">
        <v>3.0</v>
      </c>
      <c r="K49" s="55">
        <v>4.0</v>
      </c>
      <c r="L49" s="55">
        <v>5.0</v>
      </c>
      <c r="M49" s="428">
        <v>4.0</v>
      </c>
      <c r="N49" s="55">
        <v>3.0</v>
      </c>
      <c r="O49" s="672">
        <v>3.0</v>
      </c>
      <c r="P49" s="62">
        <v>3.0</v>
      </c>
      <c r="Q49" s="11"/>
    </row>
    <row r="50">
      <c r="A50" s="11"/>
      <c r="B50" s="634"/>
      <c r="C50" s="586" t="s">
        <v>1049</v>
      </c>
      <c r="D50" s="547"/>
      <c r="E50" s="250">
        <v>4.0</v>
      </c>
      <c r="F50" s="251">
        <v>4.0</v>
      </c>
      <c r="G50" s="251">
        <v>5.0</v>
      </c>
      <c r="H50" s="660" t="s">
        <v>714</v>
      </c>
      <c r="I50" s="434">
        <v>4.0</v>
      </c>
      <c r="J50" s="55">
        <v>4.0</v>
      </c>
      <c r="K50" s="55">
        <v>4.0</v>
      </c>
      <c r="L50" s="55">
        <v>4.0</v>
      </c>
      <c r="M50" s="428">
        <v>3.0</v>
      </c>
      <c r="N50" s="55">
        <v>3.0</v>
      </c>
      <c r="O50" s="677">
        <v>4.0</v>
      </c>
      <c r="P50" s="62">
        <v>4.0</v>
      </c>
      <c r="Q50" s="11"/>
    </row>
    <row r="51">
      <c r="A51" s="11"/>
      <c r="B51" s="355"/>
      <c r="C51" s="587" t="s">
        <v>1050</v>
      </c>
      <c r="D51" s="555" t="s">
        <v>71</v>
      </c>
      <c r="E51" s="556"/>
      <c r="F51" s="557"/>
      <c r="G51" s="557">
        <v>4.0</v>
      </c>
      <c r="H51" s="674" t="s">
        <v>714</v>
      </c>
      <c r="I51" s="434">
        <v>3.0</v>
      </c>
      <c r="J51" s="55">
        <v>4.0</v>
      </c>
      <c r="K51" s="55">
        <v>3.0</v>
      </c>
      <c r="L51" s="55">
        <v>3.0</v>
      </c>
      <c r="M51" s="55">
        <v>3.0</v>
      </c>
      <c r="N51" s="55">
        <v>3.0</v>
      </c>
      <c r="O51" s="673">
        <v>1.0</v>
      </c>
      <c r="P51" s="62">
        <v>2.0</v>
      </c>
      <c r="Q51" s="11"/>
    </row>
    <row r="52">
      <c r="A52" s="11"/>
      <c r="B52" s="635"/>
      <c r="C52" s="579" t="s">
        <v>1051</v>
      </c>
      <c r="D52" s="541"/>
      <c r="E52" s="67">
        <v>2.0</v>
      </c>
      <c r="F52" s="68">
        <v>3.0</v>
      </c>
      <c r="G52" s="68">
        <v>3.0</v>
      </c>
      <c r="H52" s="661" t="s">
        <v>714</v>
      </c>
      <c r="I52" s="434">
        <v>2.0</v>
      </c>
      <c r="J52" s="55">
        <v>3.0</v>
      </c>
      <c r="K52" s="55">
        <v>2.0</v>
      </c>
      <c r="L52" s="55">
        <v>2.0</v>
      </c>
      <c r="M52" s="428">
        <v>1.0</v>
      </c>
      <c r="N52" s="55">
        <v>3.0</v>
      </c>
      <c r="O52" s="672">
        <v>3.0</v>
      </c>
      <c r="P52" s="62">
        <v>3.0</v>
      </c>
      <c r="Q52" s="11"/>
    </row>
    <row r="53">
      <c r="A53" s="11"/>
      <c r="B53" s="355"/>
      <c r="C53" s="587" t="s">
        <v>1052</v>
      </c>
      <c r="D53" s="541"/>
      <c r="E53" s="556">
        <v>5.0</v>
      </c>
      <c r="F53" s="557">
        <v>4.0</v>
      </c>
      <c r="G53" s="557">
        <v>7.0</v>
      </c>
      <c r="H53" s="674" t="s">
        <v>714</v>
      </c>
      <c r="I53" s="441">
        <v>4.0</v>
      </c>
      <c r="J53" s="76">
        <v>4.0</v>
      </c>
      <c r="K53" s="76">
        <v>4.0</v>
      </c>
      <c r="L53" s="76">
        <v>1.0</v>
      </c>
      <c r="M53" s="589">
        <v>1.0</v>
      </c>
      <c r="N53" s="76">
        <v>4.0</v>
      </c>
      <c r="O53" s="672">
        <v>3.0</v>
      </c>
      <c r="P53" s="444">
        <v>4.0</v>
      </c>
      <c r="Q53" s="11"/>
    </row>
    <row r="54">
      <c r="A54" s="11"/>
      <c r="B54" s="605"/>
      <c r="C54" s="195" t="s">
        <v>95</v>
      </c>
      <c r="D54" s="82"/>
      <c r="E54" s="82"/>
      <c r="F54" s="82"/>
      <c r="G54" s="82"/>
      <c r="H54" s="681"/>
      <c r="I54" s="127"/>
      <c r="J54" s="561"/>
      <c r="K54" s="561"/>
      <c r="L54" s="561"/>
      <c r="M54" s="561"/>
      <c r="N54" s="561"/>
      <c r="O54" s="682"/>
      <c r="P54" s="445"/>
      <c r="Q54" s="11"/>
    </row>
    <row r="55">
      <c r="A55" s="11"/>
      <c r="B55" s="636"/>
      <c r="C55" s="136"/>
      <c r="D55" s="525"/>
      <c r="E55" s="85"/>
      <c r="F55" s="85"/>
      <c r="G55" s="85"/>
      <c r="H55" s="683" t="s">
        <v>714</v>
      </c>
      <c r="I55" s="629" t="s">
        <v>427</v>
      </c>
      <c r="J55" s="88" t="s">
        <v>208</v>
      </c>
      <c r="K55" s="140" t="s">
        <v>426</v>
      </c>
      <c r="L55" s="140" t="s">
        <v>2</v>
      </c>
      <c r="M55" s="140" t="s">
        <v>1</v>
      </c>
      <c r="N55" s="140" t="s">
        <v>4</v>
      </c>
      <c r="O55" s="671" t="s">
        <v>3</v>
      </c>
      <c r="P55" s="630" t="s">
        <v>210</v>
      </c>
      <c r="Q55" s="11"/>
    </row>
    <row r="56">
      <c r="A56" s="11"/>
      <c r="B56" s="631"/>
      <c r="C56" s="580" t="s">
        <v>1053</v>
      </c>
      <c r="D56" s="541" t="s">
        <v>1054</v>
      </c>
      <c r="E56" s="67"/>
      <c r="F56" s="68"/>
      <c r="G56" s="68">
        <v>1.0</v>
      </c>
      <c r="H56" s="661" t="s">
        <v>714</v>
      </c>
      <c r="I56" s="432">
        <v>3.0</v>
      </c>
      <c r="J56" s="54">
        <v>3.0</v>
      </c>
      <c r="K56" s="54">
        <v>3.0</v>
      </c>
      <c r="L56" s="54">
        <v>3.0</v>
      </c>
      <c r="M56" s="426">
        <v>4.0</v>
      </c>
      <c r="N56" s="54">
        <v>3.0</v>
      </c>
      <c r="O56" s="672">
        <v>3.0</v>
      </c>
      <c r="P56" s="57">
        <v>2.0</v>
      </c>
      <c r="Q56" s="11"/>
    </row>
    <row r="57">
      <c r="A57" s="11"/>
      <c r="B57" s="353"/>
      <c r="C57" s="580" t="s">
        <v>1055</v>
      </c>
      <c r="D57" s="541" t="s">
        <v>1056</v>
      </c>
      <c r="E57" s="67"/>
      <c r="F57" s="68"/>
      <c r="G57" s="68">
        <v>2.0</v>
      </c>
      <c r="H57" s="661" t="s">
        <v>714</v>
      </c>
      <c r="I57" s="434">
        <v>1.0</v>
      </c>
      <c r="J57" s="55">
        <v>1.0</v>
      </c>
      <c r="K57" s="55">
        <v>1.0</v>
      </c>
      <c r="L57" s="55">
        <v>1.0</v>
      </c>
      <c r="M57" s="428">
        <v>1.0</v>
      </c>
      <c r="N57" s="55">
        <v>1.0</v>
      </c>
      <c r="O57" s="672">
        <v>3.0</v>
      </c>
      <c r="P57" s="62">
        <v>2.0</v>
      </c>
      <c r="Q57" s="11"/>
    </row>
    <row r="58">
      <c r="A58" s="11"/>
      <c r="B58" s="355"/>
      <c r="C58" s="590" t="s">
        <v>1057</v>
      </c>
      <c r="D58" s="565"/>
      <c r="E58" s="201">
        <v>3.0</v>
      </c>
      <c r="F58" s="202">
        <v>3.0</v>
      </c>
      <c r="G58" s="202">
        <v>3.0</v>
      </c>
      <c r="H58" s="679" t="s">
        <v>714</v>
      </c>
      <c r="I58" s="434">
        <v>3.0</v>
      </c>
      <c r="J58" s="55">
        <v>2.0</v>
      </c>
      <c r="K58" s="55">
        <v>2.0</v>
      </c>
      <c r="L58" s="55">
        <v>2.0</v>
      </c>
      <c r="M58" s="428">
        <v>3.0</v>
      </c>
      <c r="N58" s="55">
        <v>2.0</v>
      </c>
      <c r="O58" s="677">
        <v>4.0</v>
      </c>
      <c r="P58" s="62">
        <v>2.0</v>
      </c>
      <c r="Q58" s="11"/>
    </row>
    <row r="59">
      <c r="A59" s="11"/>
      <c r="B59" s="637"/>
      <c r="C59" s="580" t="s">
        <v>1058</v>
      </c>
      <c r="D59" s="541" t="s">
        <v>1054</v>
      </c>
      <c r="E59" s="67"/>
      <c r="F59" s="68"/>
      <c r="G59" s="68">
        <v>4.0</v>
      </c>
      <c r="H59" s="661" t="s">
        <v>714</v>
      </c>
      <c r="I59" s="434">
        <v>1.0</v>
      </c>
      <c r="J59" s="55">
        <v>1.0</v>
      </c>
      <c r="K59" s="55">
        <v>1.0</v>
      </c>
      <c r="L59" s="55">
        <v>2.0</v>
      </c>
      <c r="M59" s="428">
        <v>2.0</v>
      </c>
      <c r="N59" s="55">
        <v>3.0</v>
      </c>
      <c r="O59" s="675">
        <v>2.0</v>
      </c>
      <c r="P59" s="62">
        <v>2.0</v>
      </c>
      <c r="Q59" s="11"/>
    </row>
    <row r="60">
      <c r="A60" s="11"/>
      <c r="B60" s="353"/>
      <c r="C60" s="580" t="s">
        <v>1059</v>
      </c>
      <c r="D60" s="541"/>
      <c r="E60" s="67">
        <v>3.0</v>
      </c>
      <c r="F60" s="68">
        <v>3.0</v>
      </c>
      <c r="G60" s="68">
        <v>3.0</v>
      </c>
      <c r="H60" s="661" t="s">
        <v>714</v>
      </c>
      <c r="I60" s="434">
        <v>4.0</v>
      </c>
      <c r="J60" s="55">
        <v>1.0</v>
      </c>
      <c r="K60" s="55">
        <v>2.0</v>
      </c>
      <c r="L60" s="55">
        <v>2.0</v>
      </c>
      <c r="M60" s="428">
        <v>1.0</v>
      </c>
      <c r="N60" s="55">
        <v>2.0</v>
      </c>
      <c r="O60" s="675">
        <v>2.0</v>
      </c>
      <c r="P60" s="62">
        <v>2.0</v>
      </c>
      <c r="Q60" s="11"/>
    </row>
    <row r="61">
      <c r="A61" s="11"/>
      <c r="B61" s="355"/>
      <c r="C61" s="591" t="s">
        <v>1060</v>
      </c>
      <c r="D61" s="555"/>
      <c r="E61" s="556">
        <v>1.0</v>
      </c>
      <c r="F61" s="557">
        <v>3.0</v>
      </c>
      <c r="G61" s="557">
        <v>2.0</v>
      </c>
      <c r="H61" s="674" t="s">
        <v>714</v>
      </c>
      <c r="I61" s="434">
        <v>1.0</v>
      </c>
      <c r="J61" s="55">
        <v>1.0</v>
      </c>
      <c r="K61" s="55">
        <v>1.0</v>
      </c>
      <c r="L61" s="55">
        <v>1.0</v>
      </c>
      <c r="M61" s="428">
        <v>1.0</v>
      </c>
      <c r="N61" s="55">
        <v>1.0</v>
      </c>
      <c r="O61" s="673">
        <v>1.0</v>
      </c>
      <c r="P61" s="62">
        <v>1.0</v>
      </c>
      <c r="Q61" s="11"/>
    </row>
    <row r="62">
      <c r="A62" s="11"/>
      <c r="B62" s="634"/>
      <c r="C62" s="579" t="s">
        <v>1061</v>
      </c>
      <c r="D62" s="541" t="s">
        <v>1062</v>
      </c>
      <c r="E62" s="67"/>
      <c r="F62" s="68"/>
      <c r="G62" s="68">
        <v>1.0</v>
      </c>
      <c r="H62" s="661" t="s">
        <v>714</v>
      </c>
      <c r="I62" s="434">
        <v>2.0</v>
      </c>
      <c r="J62" s="55">
        <v>1.0</v>
      </c>
      <c r="K62" s="55">
        <v>1.0</v>
      </c>
      <c r="L62" s="55">
        <v>2.0</v>
      </c>
      <c r="M62" s="428">
        <v>2.0</v>
      </c>
      <c r="N62" s="55">
        <v>2.0</v>
      </c>
      <c r="O62" s="673">
        <v>1.0</v>
      </c>
      <c r="P62" s="62">
        <v>2.0</v>
      </c>
      <c r="Q62" s="11"/>
    </row>
    <row r="63">
      <c r="A63" s="11"/>
      <c r="B63" s="355"/>
      <c r="C63" s="587" t="s">
        <v>1063</v>
      </c>
      <c r="D63" s="555"/>
      <c r="E63" s="556">
        <v>6.0</v>
      </c>
      <c r="F63" s="557">
        <v>6.0</v>
      </c>
      <c r="G63" s="557">
        <v>6.0</v>
      </c>
      <c r="H63" s="674" t="s">
        <v>714</v>
      </c>
      <c r="I63" s="434">
        <v>2.0</v>
      </c>
      <c r="J63" s="55">
        <v>1.0</v>
      </c>
      <c r="K63" s="55">
        <v>1.0</v>
      </c>
      <c r="L63" s="55">
        <v>2.0</v>
      </c>
      <c r="M63" s="428">
        <v>1.0</v>
      </c>
      <c r="N63" s="55">
        <v>2.0</v>
      </c>
      <c r="O63" s="675">
        <v>2.0</v>
      </c>
      <c r="P63" s="62">
        <v>2.0</v>
      </c>
      <c r="Q63" s="11"/>
    </row>
    <row r="64">
      <c r="A64" s="11"/>
      <c r="B64" s="635"/>
      <c r="C64" s="579" t="s">
        <v>1064</v>
      </c>
      <c r="D64" s="541"/>
      <c r="E64" s="67">
        <v>1.0</v>
      </c>
      <c r="F64" s="68">
        <v>3.0</v>
      </c>
      <c r="G64" s="68">
        <v>3.0</v>
      </c>
      <c r="H64" s="661" t="s">
        <v>714</v>
      </c>
      <c r="I64" s="434">
        <v>3.0</v>
      </c>
      <c r="J64" s="55">
        <v>4.0</v>
      </c>
      <c r="K64" s="55">
        <v>4.0</v>
      </c>
      <c r="L64" s="55">
        <v>4.0</v>
      </c>
      <c r="M64" s="428">
        <v>4.0</v>
      </c>
      <c r="N64" s="55">
        <v>4.0</v>
      </c>
      <c r="O64" s="677">
        <v>4.0</v>
      </c>
      <c r="P64" s="62">
        <v>3.0</v>
      </c>
      <c r="Q64" s="11"/>
    </row>
    <row r="65">
      <c r="A65" s="11"/>
      <c r="B65" s="355"/>
      <c r="C65" s="587" t="s">
        <v>1065</v>
      </c>
      <c r="D65" s="555"/>
      <c r="E65" s="556">
        <v>5.0</v>
      </c>
      <c r="F65" s="557">
        <v>5.0</v>
      </c>
      <c r="G65" s="557">
        <v>5.0</v>
      </c>
      <c r="H65" s="674" t="s">
        <v>714</v>
      </c>
      <c r="I65" s="441">
        <v>1.0</v>
      </c>
      <c r="J65" s="442">
        <v>1.0</v>
      </c>
      <c r="K65" s="442">
        <v>1.0</v>
      </c>
      <c r="L65" s="442">
        <v>1.0</v>
      </c>
      <c r="M65" s="589">
        <v>1.0</v>
      </c>
      <c r="N65" s="442">
        <v>1.0</v>
      </c>
      <c r="O65" s="673">
        <v>1.0</v>
      </c>
      <c r="P65" s="444">
        <v>2.0</v>
      </c>
      <c r="Q65" s="11"/>
    </row>
    <row r="66">
      <c r="A66" s="11"/>
      <c r="B66" s="605"/>
      <c r="C66" s="195" t="s">
        <v>109</v>
      </c>
      <c r="D66" s="82"/>
      <c r="E66" s="82"/>
      <c r="F66" s="82"/>
      <c r="G66" s="82"/>
      <c r="H66" s="681"/>
      <c r="I66" s="127"/>
      <c r="J66" s="128"/>
      <c r="K66" s="128"/>
      <c r="L66" s="128"/>
      <c r="M66" s="128"/>
      <c r="N66" s="128"/>
      <c r="O66" s="682"/>
      <c r="P66" s="445"/>
      <c r="Q66" s="11"/>
    </row>
    <row r="67">
      <c r="A67" s="11"/>
      <c r="B67" s="636"/>
      <c r="C67" s="136"/>
      <c r="D67" s="525"/>
      <c r="E67" s="85"/>
      <c r="F67" s="85"/>
      <c r="G67" s="85"/>
      <c r="H67" s="683" t="s">
        <v>714</v>
      </c>
      <c r="I67" s="629" t="s">
        <v>427</v>
      </c>
      <c r="J67" s="140" t="s">
        <v>208</v>
      </c>
      <c r="K67" s="140" t="s">
        <v>426</v>
      </c>
      <c r="L67" s="140" t="s">
        <v>2</v>
      </c>
      <c r="M67" s="140" t="s">
        <v>1</v>
      </c>
      <c r="N67" s="140" t="s">
        <v>4</v>
      </c>
      <c r="O67" s="671" t="s">
        <v>3</v>
      </c>
      <c r="P67" s="630" t="s">
        <v>210</v>
      </c>
      <c r="Q67" s="11"/>
    </row>
    <row r="68">
      <c r="A68" s="11"/>
      <c r="B68" s="631"/>
      <c r="C68" s="580" t="s">
        <v>1066</v>
      </c>
      <c r="D68" s="565" t="s">
        <v>51</v>
      </c>
      <c r="E68" s="67">
        <v>3.0</v>
      </c>
      <c r="F68" s="68">
        <v>2.0</v>
      </c>
      <c r="G68" s="68">
        <v>2.0</v>
      </c>
      <c r="H68" s="661" t="s">
        <v>714</v>
      </c>
      <c r="I68" s="432">
        <v>5.0</v>
      </c>
      <c r="J68" s="54">
        <v>4.0</v>
      </c>
      <c r="K68" s="54">
        <v>4.0</v>
      </c>
      <c r="L68" s="54">
        <v>2.0</v>
      </c>
      <c r="M68" s="426">
        <v>2.0</v>
      </c>
      <c r="N68" s="54">
        <v>4.0</v>
      </c>
      <c r="O68" s="677">
        <v>4.0</v>
      </c>
      <c r="P68" s="57">
        <v>3.0</v>
      </c>
      <c r="Q68" s="11"/>
    </row>
    <row r="69">
      <c r="A69" s="11"/>
      <c r="B69" s="353"/>
      <c r="C69" s="580" t="s">
        <v>1067</v>
      </c>
      <c r="D69" s="541" t="s">
        <v>116</v>
      </c>
      <c r="E69" s="67">
        <v>2.0</v>
      </c>
      <c r="F69" s="68">
        <v>5.0</v>
      </c>
      <c r="G69" s="68">
        <v>3.0</v>
      </c>
      <c r="H69" s="661" t="s">
        <v>714</v>
      </c>
      <c r="I69" s="434">
        <v>2.0</v>
      </c>
      <c r="J69" s="55">
        <v>2.0</v>
      </c>
      <c r="K69" s="55">
        <v>2.0</v>
      </c>
      <c r="L69" s="55">
        <v>3.0</v>
      </c>
      <c r="M69" s="428">
        <v>2.0</v>
      </c>
      <c r="N69" s="55">
        <v>3.0</v>
      </c>
      <c r="O69" s="675">
        <v>2.0</v>
      </c>
      <c r="P69" s="62">
        <v>4.0</v>
      </c>
      <c r="Q69" s="11"/>
    </row>
    <row r="70">
      <c r="A70" s="11"/>
      <c r="B70" s="355"/>
      <c r="C70" s="590" t="s">
        <v>1068</v>
      </c>
      <c r="D70" s="565" t="s">
        <v>51</v>
      </c>
      <c r="E70" s="201">
        <v>1.0</v>
      </c>
      <c r="F70" s="202">
        <v>2.0</v>
      </c>
      <c r="G70" s="202">
        <v>1.0</v>
      </c>
      <c r="H70" s="679" t="s">
        <v>714</v>
      </c>
      <c r="I70" s="434">
        <v>5.0</v>
      </c>
      <c r="J70" s="55">
        <v>4.0</v>
      </c>
      <c r="K70" s="55">
        <v>4.0</v>
      </c>
      <c r="L70" s="55">
        <v>3.0</v>
      </c>
      <c r="M70" s="428">
        <v>3.0</v>
      </c>
      <c r="N70" s="55">
        <v>4.0</v>
      </c>
      <c r="O70" s="680">
        <v>5.0</v>
      </c>
      <c r="P70" s="62">
        <v>4.0</v>
      </c>
      <c r="Q70" s="11"/>
    </row>
    <row r="71">
      <c r="A71" s="11"/>
      <c r="B71" s="637"/>
      <c r="C71" s="580" t="s">
        <v>1069</v>
      </c>
      <c r="D71" s="541" t="s">
        <v>71</v>
      </c>
      <c r="E71" s="67"/>
      <c r="F71" s="68"/>
      <c r="G71" s="68">
        <v>3.0</v>
      </c>
      <c r="H71" s="661" t="s">
        <v>714</v>
      </c>
      <c r="I71" s="434">
        <v>5.0</v>
      </c>
      <c r="J71" s="55">
        <v>4.0</v>
      </c>
      <c r="K71" s="55">
        <v>4.0</v>
      </c>
      <c r="L71" s="55">
        <v>2.0</v>
      </c>
      <c r="M71" s="428">
        <v>2.0</v>
      </c>
      <c r="N71" s="55">
        <v>4.0</v>
      </c>
      <c r="O71" s="677">
        <v>4.0</v>
      </c>
      <c r="P71" s="62">
        <v>4.0</v>
      </c>
      <c r="Q71" s="11"/>
    </row>
    <row r="72">
      <c r="A72" s="11"/>
      <c r="B72" s="353"/>
      <c r="C72" s="580" t="s">
        <v>1070</v>
      </c>
      <c r="D72" s="541"/>
      <c r="E72" s="67">
        <v>1.0</v>
      </c>
      <c r="F72" s="68">
        <v>3.0</v>
      </c>
      <c r="G72" s="68">
        <v>2.0</v>
      </c>
      <c r="H72" s="661" t="s">
        <v>714</v>
      </c>
      <c r="I72" s="434">
        <v>2.0</v>
      </c>
      <c r="J72" s="55">
        <v>2.0</v>
      </c>
      <c r="K72" s="55">
        <v>1.0</v>
      </c>
      <c r="L72" s="55">
        <v>2.0</v>
      </c>
      <c r="M72" s="428">
        <v>1.0</v>
      </c>
      <c r="N72" s="55">
        <v>2.0</v>
      </c>
      <c r="O72" s="673">
        <v>1.0</v>
      </c>
      <c r="P72" s="62">
        <v>2.0</v>
      </c>
      <c r="Q72" s="11"/>
    </row>
    <row r="73">
      <c r="A73" s="11"/>
      <c r="B73" s="355"/>
      <c r="C73" s="591" t="s">
        <v>1071</v>
      </c>
      <c r="D73" s="555" t="s">
        <v>116</v>
      </c>
      <c r="E73" s="556">
        <v>2.0</v>
      </c>
      <c r="F73" s="557">
        <v>6.0</v>
      </c>
      <c r="G73" s="557">
        <v>4.0</v>
      </c>
      <c r="H73" s="674" t="s">
        <v>714</v>
      </c>
      <c r="I73" s="434">
        <v>2.0</v>
      </c>
      <c r="J73" s="55">
        <v>1.0</v>
      </c>
      <c r="K73" s="55">
        <v>2.0</v>
      </c>
      <c r="L73" s="55">
        <v>4.0</v>
      </c>
      <c r="M73" s="428">
        <v>3.0</v>
      </c>
      <c r="N73" s="55">
        <v>2.0</v>
      </c>
      <c r="O73" s="675">
        <v>2.0</v>
      </c>
      <c r="P73" s="62">
        <v>2.0</v>
      </c>
      <c r="Q73" s="11"/>
    </row>
    <row r="74">
      <c r="A74" s="11"/>
      <c r="B74" s="634"/>
      <c r="C74" s="579" t="s">
        <v>1072</v>
      </c>
      <c r="D74" s="541" t="s">
        <v>1073</v>
      </c>
      <c r="E74" s="67"/>
      <c r="F74" s="68"/>
      <c r="G74" s="68">
        <v>2.0</v>
      </c>
      <c r="H74" s="661" t="s">
        <v>714</v>
      </c>
      <c r="I74" s="434">
        <v>3.0</v>
      </c>
      <c r="J74" s="55">
        <v>3.0</v>
      </c>
      <c r="K74" s="55">
        <v>2.0</v>
      </c>
      <c r="L74" s="55">
        <v>2.0</v>
      </c>
      <c r="M74" s="428">
        <v>3.0</v>
      </c>
      <c r="N74" s="55">
        <v>3.0</v>
      </c>
      <c r="O74" s="672">
        <v>3.0</v>
      </c>
      <c r="P74" s="62">
        <v>3.0</v>
      </c>
      <c r="Q74" s="11"/>
    </row>
    <row r="75">
      <c r="A75" s="11"/>
      <c r="B75" s="355"/>
      <c r="C75" s="587" t="s">
        <v>1074</v>
      </c>
      <c r="D75" s="555" t="s">
        <v>116</v>
      </c>
      <c r="E75" s="556">
        <v>4.0</v>
      </c>
      <c r="F75" s="557">
        <v>5.0</v>
      </c>
      <c r="G75" s="557">
        <v>5.0</v>
      </c>
      <c r="H75" s="674" t="s">
        <v>714</v>
      </c>
      <c r="I75" s="434">
        <v>3.0</v>
      </c>
      <c r="J75" s="55">
        <v>3.0</v>
      </c>
      <c r="K75" s="55">
        <v>4.0</v>
      </c>
      <c r="L75" s="55">
        <v>4.0</v>
      </c>
      <c r="M75" s="428">
        <v>4.0</v>
      </c>
      <c r="N75" s="55">
        <v>3.0</v>
      </c>
      <c r="O75" s="672">
        <v>3.0</v>
      </c>
      <c r="P75" s="62">
        <v>4.0</v>
      </c>
      <c r="Q75" s="11"/>
    </row>
    <row r="76">
      <c r="A76" s="11"/>
      <c r="B76" s="635"/>
      <c r="C76" s="579" t="s">
        <v>1075</v>
      </c>
      <c r="D76" s="541"/>
      <c r="E76" s="67">
        <v>2.0</v>
      </c>
      <c r="F76" s="68">
        <v>3.0</v>
      </c>
      <c r="G76" s="68">
        <v>2.0</v>
      </c>
      <c r="H76" s="661" t="s">
        <v>714</v>
      </c>
      <c r="I76" s="434">
        <v>5.0</v>
      </c>
      <c r="J76" s="55">
        <v>4.0</v>
      </c>
      <c r="K76" s="55">
        <v>5.0</v>
      </c>
      <c r="L76" s="55">
        <v>2.0</v>
      </c>
      <c r="M76" s="428">
        <v>2.0</v>
      </c>
      <c r="N76" s="55">
        <v>4.0</v>
      </c>
      <c r="O76" s="680">
        <v>5.0</v>
      </c>
      <c r="P76" s="62">
        <v>5.0</v>
      </c>
      <c r="Q76" s="11"/>
    </row>
    <row r="77">
      <c r="A77" s="11"/>
      <c r="B77" s="355"/>
      <c r="C77" s="587" t="s">
        <v>1076</v>
      </c>
      <c r="D77" s="555"/>
      <c r="E77" s="556">
        <v>5.0</v>
      </c>
      <c r="F77" s="557">
        <v>4.0</v>
      </c>
      <c r="G77" s="557">
        <v>4.0</v>
      </c>
      <c r="H77" s="674" t="s">
        <v>714</v>
      </c>
      <c r="I77" s="441">
        <v>3.0</v>
      </c>
      <c r="J77" s="442">
        <v>3.0</v>
      </c>
      <c r="K77" s="442">
        <v>3.0</v>
      </c>
      <c r="L77" s="442">
        <v>2.0</v>
      </c>
      <c r="M77" s="589">
        <v>1.0</v>
      </c>
      <c r="N77" s="442">
        <v>3.0</v>
      </c>
      <c r="O77" s="677">
        <v>4.0</v>
      </c>
      <c r="P77" s="444">
        <v>4.0</v>
      </c>
      <c r="Q77" s="11"/>
    </row>
    <row r="78">
      <c r="A78" s="11"/>
      <c r="B78" s="605"/>
      <c r="C78" s="195" t="s">
        <v>123</v>
      </c>
      <c r="D78" s="82"/>
      <c r="E78" s="82"/>
      <c r="F78" s="82"/>
      <c r="G78" s="82"/>
      <c r="H78" s="681"/>
      <c r="I78" s="127"/>
      <c r="J78" s="128"/>
      <c r="K78" s="128"/>
      <c r="L78" s="128"/>
      <c r="M78" s="128"/>
      <c r="N78" s="128"/>
      <c r="O78" s="682"/>
      <c r="P78" s="445"/>
      <c r="Q78" s="11"/>
    </row>
    <row r="79">
      <c r="A79" s="11"/>
      <c r="B79" s="636"/>
      <c r="C79" s="136"/>
      <c r="D79" s="525"/>
      <c r="E79" s="85"/>
      <c r="F79" s="85"/>
      <c r="G79" s="85"/>
      <c r="H79" s="683" t="s">
        <v>714</v>
      </c>
      <c r="I79" s="629" t="s">
        <v>427</v>
      </c>
      <c r="J79" s="140" t="s">
        <v>208</v>
      </c>
      <c r="K79" s="140" t="s">
        <v>426</v>
      </c>
      <c r="L79" s="140" t="s">
        <v>2</v>
      </c>
      <c r="M79" s="140" t="s">
        <v>1</v>
      </c>
      <c r="N79" s="140" t="s">
        <v>4</v>
      </c>
      <c r="O79" s="671" t="s">
        <v>3</v>
      </c>
      <c r="P79" s="630" t="s">
        <v>210</v>
      </c>
      <c r="Q79" s="11"/>
    </row>
    <row r="80">
      <c r="A80" s="11"/>
      <c r="B80" s="631"/>
      <c r="C80" s="580" t="s">
        <v>1077</v>
      </c>
      <c r="D80" s="541" t="s">
        <v>71</v>
      </c>
      <c r="E80" s="67"/>
      <c r="F80" s="68"/>
      <c r="G80" s="68">
        <v>2.0</v>
      </c>
      <c r="H80" s="661" t="s">
        <v>714</v>
      </c>
      <c r="I80" s="432">
        <v>4.0</v>
      </c>
      <c r="J80" s="54">
        <v>4.0</v>
      </c>
      <c r="K80" s="54">
        <v>4.0</v>
      </c>
      <c r="L80" s="54">
        <v>4.0</v>
      </c>
      <c r="M80" s="426">
        <v>4.0</v>
      </c>
      <c r="N80" s="54">
        <v>3.0</v>
      </c>
      <c r="O80" s="672">
        <v>3.0</v>
      </c>
      <c r="P80" s="57">
        <v>4.0</v>
      </c>
      <c r="Q80" s="11"/>
    </row>
    <row r="81">
      <c r="A81" s="11"/>
      <c r="B81" s="353"/>
      <c r="C81" s="580" t="s">
        <v>1078</v>
      </c>
      <c r="D81" s="541" t="s">
        <v>1073</v>
      </c>
      <c r="E81" s="67"/>
      <c r="F81" s="68"/>
      <c r="G81" s="68">
        <v>2.0</v>
      </c>
      <c r="H81" s="661" t="s">
        <v>714</v>
      </c>
      <c r="I81" s="434">
        <v>2.0</v>
      </c>
      <c r="J81" s="55">
        <v>1.0</v>
      </c>
      <c r="K81" s="55">
        <v>2.0</v>
      </c>
      <c r="L81" s="55">
        <v>2.0</v>
      </c>
      <c r="M81" s="428">
        <v>1.0</v>
      </c>
      <c r="N81" s="55">
        <v>2.0</v>
      </c>
      <c r="O81" s="675">
        <v>2.0</v>
      </c>
      <c r="P81" s="62">
        <v>2.0</v>
      </c>
      <c r="Q81" s="11"/>
    </row>
    <row r="82">
      <c r="A82" s="11"/>
      <c r="B82" s="355"/>
      <c r="C82" s="590" t="s">
        <v>1079</v>
      </c>
      <c r="D82" s="565" t="s">
        <v>20</v>
      </c>
      <c r="E82" s="201">
        <v>1.0</v>
      </c>
      <c r="F82" s="202">
        <v>4.0</v>
      </c>
      <c r="G82" s="202">
        <v>2.0</v>
      </c>
      <c r="H82" s="679" t="s">
        <v>714</v>
      </c>
      <c r="I82" s="434">
        <v>3.0</v>
      </c>
      <c r="J82" s="55">
        <v>5.0</v>
      </c>
      <c r="K82" s="55">
        <v>4.0</v>
      </c>
      <c r="L82" s="55">
        <v>4.0</v>
      </c>
      <c r="M82" s="428">
        <v>4.0</v>
      </c>
      <c r="N82" s="55">
        <v>2.0</v>
      </c>
      <c r="O82" s="677">
        <v>4.0</v>
      </c>
      <c r="P82" s="62">
        <v>3.0</v>
      </c>
      <c r="Q82" s="11"/>
    </row>
    <row r="83">
      <c r="A83" s="11"/>
      <c r="B83" s="637"/>
      <c r="C83" s="580" t="s">
        <v>1080</v>
      </c>
      <c r="D83" s="541" t="s">
        <v>1073</v>
      </c>
      <c r="E83" s="67"/>
      <c r="F83" s="68"/>
      <c r="G83" s="68">
        <v>1.0</v>
      </c>
      <c r="H83" s="661" t="s">
        <v>714</v>
      </c>
      <c r="I83" s="434">
        <v>2.0</v>
      </c>
      <c r="J83" s="55">
        <v>1.0</v>
      </c>
      <c r="K83" s="55">
        <v>1.0</v>
      </c>
      <c r="L83" s="55">
        <v>2.0</v>
      </c>
      <c r="M83" s="428">
        <v>1.0</v>
      </c>
      <c r="N83" s="55">
        <v>2.0</v>
      </c>
      <c r="O83" s="673">
        <v>1.0</v>
      </c>
      <c r="P83" s="62">
        <v>2.0</v>
      </c>
      <c r="Q83" s="11"/>
    </row>
    <row r="84">
      <c r="A84" s="11"/>
      <c r="B84" s="353"/>
      <c r="C84" s="580" t="s">
        <v>1081</v>
      </c>
      <c r="D84" s="541"/>
      <c r="E84" s="67">
        <v>4.0</v>
      </c>
      <c r="F84" s="68">
        <v>4.0</v>
      </c>
      <c r="G84" s="68">
        <v>4.0</v>
      </c>
      <c r="H84" s="661" t="s">
        <v>714</v>
      </c>
      <c r="I84" s="434">
        <v>3.0</v>
      </c>
      <c r="J84" s="55">
        <v>2.0</v>
      </c>
      <c r="K84" s="55">
        <v>3.0</v>
      </c>
      <c r="L84" s="55">
        <v>2.0</v>
      </c>
      <c r="M84" s="428">
        <v>3.0</v>
      </c>
      <c r="N84" s="55">
        <v>3.0</v>
      </c>
      <c r="O84" s="675">
        <v>2.0</v>
      </c>
      <c r="P84" s="62">
        <v>3.0</v>
      </c>
      <c r="Q84" s="11"/>
    </row>
    <row r="85">
      <c r="A85" s="11"/>
      <c r="B85" s="355"/>
      <c r="C85" s="591" t="s">
        <v>1082</v>
      </c>
      <c r="D85" s="555"/>
      <c r="E85" s="556">
        <v>3.0</v>
      </c>
      <c r="F85" s="557">
        <v>2.0</v>
      </c>
      <c r="G85" s="557">
        <v>3.0</v>
      </c>
      <c r="H85" s="674" t="s">
        <v>714</v>
      </c>
      <c r="I85" s="434">
        <v>3.0</v>
      </c>
      <c r="J85" s="55">
        <v>4.0</v>
      </c>
      <c r="K85" s="55">
        <v>4.0</v>
      </c>
      <c r="L85" s="55">
        <v>2.0</v>
      </c>
      <c r="M85" s="428">
        <v>2.0</v>
      </c>
      <c r="N85" s="55">
        <v>3.0</v>
      </c>
      <c r="O85" s="675">
        <v>2.0</v>
      </c>
      <c r="P85" s="62">
        <v>3.0</v>
      </c>
      <c r="Q85" s="11"/>
    </row>
    <row r="86">
      <c r="A86" s="11"/>
      <c r="B86" s="634"/>
      <c r="C86" s="579" t="s">
        <v>1083</v>
      </c>
      <c r="D86" s="541" t="s">
        <v>77</v>
      </c>
      <c r="E86" s="67">
        <v>2.0</v>
      </c>
      <c r="F86" s="68">
        <v>2.0</v>
      </c>
      <c r="G86" s="68">
        <v>3.0</v>
      </c>
      <c r="H86" s="661" t="s">
        <v>714</v>
      </c>
      <c r="I86" s="434">
        <v>3.0</v>
      </c>
      <c r="J86" s="55">
        <v>2.0</v>
      </c>
      <c r="K86" s="55">
        <v>2.0</v>
      </c>
      <c r="L86" s="55">
        <v>2.0</v>
      </c>
      <c r="M86" s="428">
        <v>1.0</v>
      </c>
      <c r="N86" s="55">
        <v>3.0</v>
      </c>
      <c r="O86" s="677">
        <v>4.0</v>
      </c>
      <c r="P86" s="62">
        <v>3.0</v>
      </c>
      <c r="Q86" s="11"/>
    </row>
    <row r="87">
      <c r="A87" s="11"/>
      <c r="B87" s="355"/>
      <c r="C87" s="587" t="s">
        <v>1084</v>
      </c>
      <c r="D87" s="555" t="s">
        <v>71</v>
      </c>
      <c r="E87" s="556"/>
      <c r="F87" s="557"/>
      <c r="G87" s="557">
        <v>1.0</v>
      </c>
      <c r="H87" s="674" t="s">
        <v>714</v>
      </c>
      <c r="I87" s="434">
        <v>2.0</v>
      </c>
      <c r="J87" s="55">
        <v>1.0</v>
      </c>
      <c r="K87" s="55">
        <v>1.0</v>
      </c>
      <c r="L87" s="55">
        <v>2.0</v>
      </c>
      <c r="M87" s="428">
        <v>1.0</v>
      </c>
      <c r="N87" s="55">
        <v>1.0</v>
      </c>
      <c r="O87" s="673">
        <v>1.0</v>
      </c>
      <c r="P87" s="62">
        <v>4.0</v>
      </c>
      <c r="Q87" s="11"/>
    </row>
    <row r="88">
      <c r="A88" s="11"/>
      <c r="B88" s="635"/>
      <c r="C88" s="579" t="s">
        <v>1085</v>
      </c>
      <c r="D88" s="541"/>
      <c r="E88" s="67">
        <v>3.0</v>
      </c>
      <c r="F88" s="68">
        <v>3.0</v>
      </c>
      <c r="G88" s="68">
        <v>4.0</v>
      </c>
      <c r="H88" s="661" t="s">
        <v>714</v>
      </c>
      <c r="I88" s="434">
        <v>5.0</v>
      </c>
      <c r="J88" s="55">
        <v>5.0</v>
      </c>
      <c r="K88" s="55">
        <v>5.0</v>
      </c>
      <c r="L88" s="55">
        <v>5.0</v>
      </c>
      <c r="M88" s="428">
        <v>5.0</v>
      </c>
      <c r="N88" s="55">
        <v>5.0</v>
      </c>
      <c r="O88" s="680">
        <v>5.0</v>
      </c>
      <c r="P88" s="62">
        <v>5.0</v>
      </c>
      <c r="Q88" s="11"/>
    </row>
    <row r="89">
      <c r="A89" s="11"/>
      <c r="B89" s="355"/>
      <c r="C89" s="587" t="s">
        <v>1086</v>
      </c>
      <c r="D89" s="555"/>
      <c r="E89" s="556">
        <v>3.0</v>
      </c>
      <c r="F89" s="557">
        <v>2.0</v>
      </c>
      <c r="G89" s="557">
        <v>4.0</v>
      </c>
      <c r="H89" s="674" t="s">
        <v>714</v>
      </c>
      <c r="I89" s="441">
        <v>3.0</v>
      </c>
      <c r="J89" s="442">
        <v>1.0</v>
      </c>
      <c r="K89" s="442">
        <v>2.0</v>
      </c>
      <c r="L89" s="442">
        <v>2.0</v>
      </c>
      <c r="M89" s="589">
        <v>1.0</v>
      </c>
      <c r="N89" s="442">
        <v>3.0</v>
      </c>
      <c r="O89" s="677">
        <v>4.0</v>
      </c>
      <c r="P89" s="444">
        <v>3.0</v>
      </c>
      <c r="Q89" s="11"/>
    </row>
    <row r="90">
      <c r="A90" s="11"/>
      <c r="B90" s="605"/>
      <c r="C90" s="195" t="s">
        <v>135</v>
      </c>
      <c r="D90" s="82"/>
      <c r="E90" s="82"/>
      <c r="F90" s="82"/>
      <c r="G90" s="82"/>
      <c r="H90" s="681"/>
      <c r="I90" s="127"/>
      <c r="J90" s="128"/>
      <c r="K90" s="128"/>
      <c r="L90" s="128"/>
      <c r="M90" s="128"/>
      <c r="N90" s="128"/>
      <c r="O90" s="682"/>
      <c r="P90" s="445"/>
      <c r="Q90" s="11"/>
    </row>
    <row r="91">
      <c r="A91" s="11"/>
      <c r="B91" s="636"/>
      <c r="C91" s="136"/>
      <c r="D91" s="525"/>
      <c r="E91" s="85"/>
      <c r="F91" s="85"/>
      <c r="G91" s="85"/>
      <c r="H91" s="683" t="s">
        <v>714</v>
      </c>
      <c r="I91" s="638" t="s">
        <v>427</v>
      </c>
      <c r="J91" s="140" t="s">
        <v>208</v>
      </c>
      <c r="K91" s="140" t="s">
        <v>426</v>
      </c>
      <c r="L91" s="140" t="s">
        <v>2</v>
      </c>
      <c r="M91" s="140" t="s">
        <v>1</v>
      </c>
      <c r="N91" s="140" t="s">
        <v>4</v>
      </c>
      <c r="O91" s="671" t="s">
        <v>3</v>
      </c>
      <c r="P91" s="630" t="s">
        <v>210</v>
      </c>
      <c r="Q91" s="11"/>
    </row>
    <row r="92">
      <c r="A92" s="11"/>
      <c r="B92" s="631"/>
      <c r="C92" s="580" t="s">
        <v>1087</v>
      </c>
      <c r="D92" s="541" t="s">
        <v>71</v>
      </c>
      <c r="E92" s="67"/>
      <c r="F92" s="68"/>
      <c r="G92" s="68">
        <v>4.0</v>
      </c>
      <c r="H92" s="661" t="s">
        <v>714</v>
      </c>
      <c r="I92" s="457">
        <v>2.0</v>
      </c>
      <c r="J92" s="56">
        <v>2.0</v>
      </c>
      <c r="K92" s="56">
        <v>2.0</v>
      </c>
      <c r="L92" s="56">
        <v>1.0</v>
      </c>
      <c r="M92" s="426">
        <v>2.0</v>
      </c>
      <c r="N92" s="56">
        <v>3.0</v>
      </c>
      <c r="O92" s="675">
        <v>2.0</v>
      </c>
      <c r="P92" s="458">
        <v>3.0</v>
      </c>
      <c r="Q92" s="11"/>
    </row>
    <row r="93">
      <c r="A93" s="11"/>
      <c r="B93" s="353"/>
      <c r="C93" s="580" t="s">
        <v>1088</v>
      </c>
      <c r="D93" s="541" t="s">
        <v>1073</v>
      </c>
      <c r="E93" s="67"/>
      <c r="F93" s="68"/>
      <c r="G93" s="68">
        <v>2.0</v>
      </c>
      <c r="H93" s="661" t="s">
        <v>714</v>
      </c>
      <c r="I93" s="434">
        <v>3.0</v>
      </c>
      <c r="J93" s="55">
        <v>3.0</v>
      </c>
      <c r="K93" s="55">
        <v>3.0</v>
      </c>
      <c r="L93" s="55">
        <v>3.0</v>
      </c>
      <c r="M93" s="428">
        <v>3.0</v>
      </c>
      <c r="N93" s="55">
        <v>3.0</v>
      </c>
      <c r="O93" s="672">
        <v>3.0</v>
      </c>
      <c r="P93" s="62">
        <v>3.0</v>
      </c>
      <c r="Q93" s="11"/>
    </row>
    <row r="94">
      <c r="A94" s="11"/>
      <c r="B94" s="632"/>
      <c r="C94" s="591" t="s">
        <v>1089</v>
      </c>
      <c r="D94" s="555" t="s">
        <v>22</v>
      </c>
      <c r="E94" s="556">
        <v>3.0</v>
      </c>
      <c r="F94" s="557">
        <v>5.0</v>
      </c>
      <c r="G94" s="557">
        <v>4.0</v>
      </c>
      <c r="H94" s="674" t="s">
        <v>714</v>
      </c>
      <c r="I94" s="434">
        <v>3.0</v>
      </c>
      <c r="J94" s="55">
        <v>2.0</v>
      </c>
      <c r="K94" s="55">
        <v>2.0</v>
      </c>
      <c r="L94" s="55">
        <v>2.0</v>
      </c>
      <c r="M94" s="428">
        <v>1.0</v>
      </c>
      <c r="N94" s="55">
        <v>2.0</v>
      </c>
      <c r="O94" s="672">
        <v>3.0</v>
      </c>
      <c r="P94" s="62">
        <v>2.0</v>
      </c>
      <c r="Q94" s="11"/>
    </row>
    <row r="95">
      <c r="A95" s="11"/>
      <c r="B95" s="639"/>
      <c r="C95" s="580" t="s">
        <v>1090</v>
      </c>
      <c r="D95" s="541"/>
      <c r="E95" s="67">
        <v>2.0</v>
      </c>
      <c r="F95" s="68">
        <v>3.0</v>
      </c>
      <c r="G95" s="68">
        <v>2.0</v>
      </c>
      <c r="H95" s="661" t="s">
        <v>714</v>
      </c>
      <c r="I95" s="434">
        <v>3.0</v>
      </c>
      <c r="J95" s="55">
        <v>4.0</v>
      </c>
      <c r="K95" s="55">
        <v>3.0</v>
      </c>
      <c r="L95" s="55">
        <v>4.0</v>
      </c>
      <c r="M95" s="428">
        <v>1.0</v>
      </c>
      <c r="N95" s="55">
        <v>3.0</v>
      </c>
      <c r="O95" s="672">
        <v>3.0</v>
      </c>
      <c r="P95" s="62">
        <v>2.0</v>
      </c>
      <c r="Q95" s="11"/>
    </row>
    <row r="96">
      <c r="A96" s="11"/>
      <c r="B96" s="353"/>
      <c r="C96" s="580" t="s">
        <v>1091</v>
      </c>
      <c r="D96" s="541" t="s">
        <v>1073</v>
      </c>
      <c r="E96" s="67"/>
      <c r="F96" s="68"/>
      <c r="G96" s="68">
        <v>2.0</v>
      </c>
      <c r="H96" s="661" t="s">
        <v>714</v>
      </c>
      <c r="I96" s="434">
        <v>2.0</v>
      </c>
      <c r="J96" s="55">
        <v>1.0</v>
      </c>
      <c r="K96" s="55">
        <v>2.0</v>
      </c>
      <c r="L96" s="55">
        <v>2.0</v>
      </c>
      <c r="M96" s="428">
        <v>1.0</v>
      </c>
      <c r="N96" s="55">
        <v>2.0</v>
      </c>
      <c r="O96" s="675">
        <v>2.0</v>
      </c>
      <c r="P96" s="62">
        <v>2.0</v>
      </c>
      <c r="Q96" s="11"/>
    </row>
    <row r="97">
      <c r="A97" s="11"/>
      <c r="B97" s="355"/>
      <c r="C97" s="591" t="s">
        <v>1092</v>
      </c>
      <c r="D97" s="555" t="s">
        <v>1073</v>
      </c>
      <c r="E97" s="556"/>
      <c r="F97" s="557"/>
      <c r="G97" s="557">
        <v>2.0</v>
      </c>
      <c r="H97" s="674" t="s">
        <v>714</v>
      </c>
      <c r="I97" s="434">
        <v>2.0</v>
      </c>
      <c r="J97" s="55">
        <v>2.0</v>
      </c>
      <c r="K97" s="55">
        <v>2.0</v>
      </c>
      <c r="L97" s="55">
        <v>2.0</v>
      </c>
      <c r="M97" s="428">
        <v>2.0</v>
      </c>
      <c r="N97" s="55">
        <v>3.0</v>
      </c>
      <c r="O97" s="673">
        <v>1.0</v>
      </c>
      <c r="P97" s="62">
        <v>3.0</v>
      </c>
      <c r="Q97" s="11"/>
    </row>
    <row r="98">
      <c r="A98" s="11"/>
      <c r="B98" s="634"/>
      <c r="C98" s="579" t="s">
        <v>1093</v>
      </c>
      <c r="D98" s="541" t="s">
        <v>22</v>
      </c>
      <c r="E98" s="67">
        <v>7.0</v>
      </c>
      <c r="F98" s="68">
        <v>6.0</v>
      </c>
      <c r="G98" s="68">
        <v>7.0</v>
      </c>
      <c r="H98" s="661" t="s">
        <v>714</v>
      </c>
      <c r="I98" s="434">
        <v>4.0</v>
      </c>
      <c r="J98" s="55">
        <v>3.0</v>
      </c>
      <c r="K98" s="55">
        <v>4.0</v>
      </c>
      <c r="L98" s="55">
        <v>3.0</v>
      </c>
      <c r="M98" s="428">
        <v>3.0</v>
      </c>
      <c r="N98" s="55">
        <v>3.0</v>
      </c>
      <c r="O98" s="672">
        <v>3.0</v>
      </c>
      <c r="P98" s="62">
        <v>4.0</v>
      </c>
      <c r="Q98" s="11"/>
    </row>
    <row r="99">
      <c r="A99" s="11"/>
      <c r="B99" s="355"/>
      <c r="C99" s="587" t="s">
        <v>1094</v>
      </c>
      <c r="D99" s="555" t="s">
        <v>1095</v>
      </c>
      <c r="E99" s="556"/>
      <c r="F99" s="557"/>
      <c r="G99" s="557">
        <v>7.0</v>
      </c>
      <c r="H99" s="674" t="s">
        <v>714</v>
      </c>
      <c r="I99" s="434">
        <v>1.0</v>
      </c>
      <c r="J99" s="55">
        <v>5.0</v>
      </c>
      <c r="K99" s="55">
        <v>2.0</v>
      </c>
      <c r="L99" s="55">
        <v>1.0</v>
      </c>
      <c r="M99" s="428">
        <v>1.0</v>
      </c>
      <c r="N99" s="55">
        <v>2.0</v>
      </c>
      <c r="O99" s="675">
        <v>2.0</v>
      </c>
      <c r="P99" s="62">
        <v>2.0</v>
      </c>
      <c r="Q99" s="11"/>
    </row>
    <row r="100">
      <c r="A100" s="11"/>
      <c r="B100" s="635"/>
      <c r="C100" s="579" t="s">
        <v>1096</v>
      </c>
      <c r="D100" s="541"/>
      <c r="E100" s="67">
        <v>3.0</v>
      </c>
      <c r="F100" s="68">
        <v>4.0</v>
      </c>
      <c r="G100" s="68">
        <v>4.0</v>
      </c>
      <c r="H100" s="661" t="s">
        <v>714</v>
      </c>
      <c r="I100" s="434">
        <v>2.0</v>
      </c>
      <c r="J100" s="55">
        <v>1.0</v>
      </c>
      <c r="K100" s="55">
        <v>2.0</v>
      </c>
      <c r="L100" s="55">
        <v>1.0</v>
      </c>
      <c r="M100" s="428">
        <v>1.0</v>
      </c>
      <c r="N100" s="55">
        <v>2.0</v>
      </c>
      <c r="O100" s="675">
        <v>2.0</v>
      </c>
      <c r="P100" s="62">
        <v>2.0</v>
      </c>
      <c r="Q100" s="11"/>
    </row>
    <row r="101">
      <c r="A101" s="11"/>
      <c r="B101" s="355"/>
      <c r="C101" s="587" t="s">
        <v>1097</v>
      </c>
      <c r="D101" s="555"/>
      <c r="E101" s="556">
        <v>2.0</v>
      </c>
      <c r="F101" s="557">
        <v>4.0</v>
      </c>
      <c r="G101" s="557">
        <v>3.0</v>
      </c>
      <c r="H101" s="674" t="s">
        <v>714</v>
      </c>
      <c r="I101" s="441">
        <v>3.0</v>
      </c>
      <c r="J101" s="442">
        <v>4.0</v>
      </c>
      <c r="K101" s="442">
        <v>4.0</v>
      </c>
      <c r="L101" s="442">
        <v>4.0</v>
      </c>
      <c r="M101" s="589">
        <v>4.0</v>
      </c>
      <c r="N101" s="442">
        <v>4.0</v>
      </c>
      <c r="O101" s="680">
        <v>5.0</v>
      </c>
      <c r="P101" s="444">
        <v>4.0</v>
      </c>
      <c r="Q101" s="11"/>
    </row>
    <row r="102">
      <c r="A102" s="11"/>
      <c r="B102" s="605"/>
      <c r="C102" s="195" t="s">
        <v>147</v>
      </c>
      <c r="D102" s="82"/>
      <c r="E102" s="82"/>
      <c r="F102" s="82"/>
      <c r="G102" s="82"/>
      <c r="H102" s="681"/>
      <c r="I102" s="127"/>
      <c r="J102" s="128"/>
      <c r="K102" s="128"/>
      <c r="L102" s="128"/>
      <c r="M102" s="128"/>
      <c r="N102" s="128"/>
      <c r="O102" s="682"/>
      <c r="P102" s="445"/>
      <c r="Q102" s="11"/>
    </row>
    <row r="103">
      <c r="A103" s="11"/>
      <c r="B103" s="636"/>
      <c r="C103" s="136"/>
      <c r="D103" s="525"/>
      <c r="E103" s="85"/>
      <c r="F103" s="85"/>
      <c r="G103" s="85"/>
      <c r="H103" s="683" t="s">
        <v>714</v>
      </c>
      <c r="I103" s="629" t="s">
        <v>427</v>
      </c>
      <c r="J103" s="140" t="s">
        <v>208</v>
      </c>
      <c r="K103" s="140" t="s">
        <v>426</v>
      </c>
      <c r="L103" s="140" t="s">
        <v>2</v>
      </c>
      <c r="M103" s="140" t="s">
        <v>1</v>
      </c>
      <c r="N103" s="140" t="s">
        <v>4</v>
      </c>
      <c r="O103" s="671" t="s">
        <v>3</v>
      </c>
      <c r="P103" s="630" t="s">
        <v>210</v>
      </c>
      <c r="Q103" s="11"/>
    </row>
    <row r="104">
      <c r="A104" s="11"/>
      <c r="B104" s="631"/>
      <c r="C104" s="580" t="s">
        <v>1098</v>
      </c>
      <c r="D104" s="541" t="s">
        <v>71</v>
      </c>
      <c r="E104" s="67"/>
      <c r="F104" s="68"/>
      <c r="G104" s="68">
        <v>1.0</v>
      </c>
      <c r="H104" s="661" t="s">
        <v>714</v>
      </c>
      <c r="I104" s="432">
        <v>3.0</v>
      </c>
      <c r="J104" s="54">
        <v>2.0</v>
      </c>
      <c r="K104" s="54">
        <v>2.0</v>
      </c>
      <c r="L104" s="54">
        <v>2.0</v>
      </c>
      <c r="M104" s="426">
        <v>4.0</v>
      </c>
      <c r="N104" s="54">
        <v>2.0</v>
      </c>
      <c r="O104" s="672">
        <v>3.0</v>
      </c>
      <c r="P104" s="57">
        <v>2.0</v>
      </c>
      <c r="Q104" s="11"/>
    </row>
    <row r="105">
      <c r="A105" s="11"/>
      <c r="B105" s="353"/>
      <c r="C105" s="580" t="s">
        <v>1099</v>
      </c>
      <c r="D105" s="541" t="s">
        <v>22</v>
      </c>
      <c r="E105" s="67">
        <v>3.0</v>
      </c>
      <c r="F105" s="68">
        <v>3.0</v>
      </c>
      <c r="G105" s="68">
        <v>3.0</v>
      </c>
      <c r="H105" s="661" t="s">
        <v>714</v>
      </c>
      <c r="I105" s="434">
        <v>2.0</v>
      </c>
      <c r="J105" s="55">
        <v>3.0</v>
      </c>
      <c r="K105" s="55">
        <v>3.0</v>
      </c>
      <c r="L105" s="55">
        <v>2.0</v>
      </c>
      <c r="M105" s="428">
        <v>2.0</v>
      </c>
      <c r="N105" s="55">
        <v>3.0</v>
      </c>
      <c r="O105" s="677">
        <v>4.0</v>
      </c>
      <c r="P105" s="62">
        <v>3.0</v>
      </c>
      <c r="Q105" s="11"/>
    </row>
    <row r="106">
      <c r="A106" s="11"/>
      <c r="B106" s="355"/>
      <c r="C106" s="590" t="s">
        <v>1100</v>
      </c>
      <c r="D106" s="565" t="s">
        <v>71</v>
      </c>
      <c r="E106" s="201"/>
      <c r="F106" s="202"/>
      <c r="G106" s="202">
        <v>4.0</v>
      </c>
      <c r="H106" s="679" t="s">
        <v>714</v>
      </c>
      <c r="I106" s="434">
        <v>3.0</v>
      </c>
      <c r="J106" s="55">
        <v>1.0</v>
      </c>
      <c r="K106" s="55">
        <v>2.0</v>
      </c>
      <c r="L106" s="55">
        <v>2.0</v>
      </c>
      <c r="M106" s="428">
        <v>1.0</v>
      </c>
      <c r="N106" s="55">
        <v>2.0</v>
      </c>
      <c r="O106" s="675">
        <v>2.0</v>
      </c>
      <c r="P106" s="62">
        <v>2.0</v>
      </c>
      <c r="Q106" s="11"/>
    </row>
    <row r="107">
      <c r="A107" s="11"/>
      <c r="B107" s="637"/>
      <c r="C107" s="580" t="s">
        <v>1101</v>
      </c>
      <c r="D107" s="541" t="s">
        <v>71</v>
      </c>
      <c r="E107" s="67"/>
      <c r="F107" s="68"/>
      <c r="G107" s="68">
        <v>2.0</v>
      </c>
      <c r="H107" s="661" t="s">
        <v>714</v>
      </c>
      <c r="I107" s="434">
        <v>3.0</v>
      </c>
      <c r="J107" s="55">
        <v>4.0</v>
      </c>
      <c r="K107" s="55">
        <v>2.0</v>
      </c>
      <c r="L107" s="55">
        <v>2.0</v>
      </c>
      <c r="M107" s="428">
        <v>3.0</v>
      </c>
      <c r="N107" s="55">
        <v>3.0</v>
      </c>
      <c r="O107" s="672">
        <v>3.0</v>
      </c>
      <c r="P107" s="62">
        <v>2.0</v>
      </c>
      <c r="Q107" s="11"/>
    </row>
    <row r="108">
      <c r="A108" s="11"/>
      <c r="B108" s="353"/>
      <c r="C108" s="580" t="s">
        <v>1102</v>
      </c>
      <c r="D108" s="541" t="s">
        <v>22</v>
      </c>
      <c r="E108" s="67"/>
      <c r="F108" s="68"/>
      <c r="G108" s="68"/>
      <c r="H108" s="661" t="s">
        <v>714</v>
      </c>
      <c r="I108" s="434">
        <v>4.0</v>
      </c>
      <c r="J108" s="55">
        <v>4.0</v>
      </c>
      <c r="K108" s="55">
        <v>4.0</v>
      </c>
      <c r="L108" s="55">
        <v>4.0</v>
      </c>
      <c r="M108" s="428">
        <v>3.0</v>
      </c>
      <c r="N108" s="55">
        <v>4.0</v>
      </c>
      <c r="O108" s="677">
        <v>4.0</v>
      </c>
      <c r="P108" s="62">
        <v>4.0</v>
      </c>
      <c r="Q108" s="11"/>
    </row>
    <row r="109">
      <c r="A109" s="11"/>
      <c r="B109" s="355"/>
      <c r="C109" s="591" t="s">
        <v>1103</v>
      </c>
      <c r="D109" s="555"/>
      <c r="E109" s="556">
        <v>1.0</v>
      </c>
      <c r="F109" s="557">
        <v>3.0</v>
      </c>
      <c r="G109" s="557">
        <v>2.0</v>
      </c>
      <c r="H109" s="674" t="s">
        <v>714</v>
      </c>
      <c r="I109" s="434">
        <v>1.0</v>
      </c>
      <c r="J109" s="55">
        <v>1.0</v>
      </c>
      <c r="K109" s="55">
        <v>1.0</v>
      </c>
      <c r="L109" s="55">
        <v>1.0</v>
      </c>
      <c r="M109" s="428">
        <v>1.0</v>
      </c>
      <c r="N109" s="55">
        <v>1.0</v>
      </c>
      <c r="O109" s="673">
        <v>1.0</v>
      </c>
      <c r="P109" s="62">
        <v>2.0</v>
      </c>
      <c r="Q109" s="11"/>
    </row>
    <row r="110">
      <c r="A110" s="11"/>
      <c r="B110" s="634"/>
      <c r="C110" s="579" t="s">
        <v>1104</v>
      </c>
      <c r="D110" s="541"/>
      <c r="E110" s="67">
        <v>2.0</v>
      </c>
      <c r="F110" s="68">
        <v>3.0</v>
      </c>
      <c r="G110" s="68">
        <v>2.0</v>
      </c>
      <c r="H110" s="661" t="s">
        <v>714</v>
      </c>
      <c r="I110" s="434">
        <v>2.0</v>
      </c>
      <c r="J110" s="55">
        <v>1.0</v>
      </c>
      <c r="K110" s="55">
        <v>2.0</v>
      </c>
      <c r="L110" s="55">
        <v>4.0</v>
      </c>
      <c r="M110" s="428">
        <v>3.0</v>
      </c>
      <c r="N110" s="55">
        <v>1.0</v>
      </c>
      <c r="O110" s="672">
        <v>3.0</v>
      </c>
      <c r="P110" s="62">
        <v>2.0</v>
      </c>
      <c r="Q110" s="11"/>
    </row>
    <row r="111">
      <c r="A111" s="11"/>
      <c r="B111" s="355"/>
      <c r="C111" s="587" t="s">
        <v>1105</v>
      </c>
      <c r="D111" s="555"/>
      <c r="E111" s="556">
        <v>3.0</v>
      </c>
      <c r="F111" s="557">
        <v>4.0</v>
      </c>
      <c r="G111" s="557">
        <v>4.0</v>
      </c>
      <c r="H111" s="674" t="s">
        <v>714</v>
      </c>
      <c r="I111" s="434">
        <v>2.0</v>
      </c>
      <c r="J111" s="55">
        <v>2.0</v>
      </c>
      <c r="K111" s="55">
        <v>2.0</v>
      </c>
      <c r="L111" s="55">
        <v>2.0</v>
      </c>
      <c r="M111" s="428">
        <v>2.0</v>
      </c>
      <c r="N111" s="55">
        <v>2.0</v>
      </c>
      <c r="O111" s="677">
        <v>4.0</v>
      </c>
      <c r="P111" s="62">
        <v>2.0</v>
      </c>
      <c r="Q111" s="11"/>
    </row>
    <row r="112">
      <c r="A112" s="11"/>
      <c r="B112" s="635"/>
      <c r="C112" s="579" t="s">
        <v>1106</v>
      </c>
      <c r="D112" s="541"/>
      <c r="E112" s="67">
        <v>2.0</v>
      </c>
      <c r="F112" s="68">
        <v>5.0</v>
      </c>
      <c r="G112" s="68">
        <v>3.0</v>
      </c>
      <c r="H112" s="661" t="s">
        <v>714</v>
      </c>
      <c r="I112" s="434">
        <v>3.0</v>
      </c>
      <c r="J112" s="55">
        <v>4.0</v>
      </c>
      <c r="K112" s="55">
        <v>4.0</v>
      </c>
      <c r="L112" s="55">
        <v>4.0</v>
      </c>
      <c r="M112" s="428">
        <v>4.0</v>
      </c>
      <c r="N112" s="55">
        <v>4.0</v>
      </c>
      <c r="O112" s="672">
        <v>3.0</v>
      </c>
      <c r="P112" s="62">
        <v>4.0</v>
      </c>
      <c r="Q112" s="11"/>
    </row>
    <row r="113">
      <c r="A113" s="11"/>
      <c r="B113" s="355"/>
      <c r="C113" s="587" t="s">
        <v>1107</v>
      </c>
      <c r="D113" s="555"/>
      <c r="E113" s="556">
        <v>3.0</v>
      </c>
      <c r="F113" s="557">
        <v>5.0</v>
      </c>
      <c r="G113" s="557">
        <v>5.0</v>
      </c>
      <c r="H113" s="674" t="s">
        <v>714</v>
      </c>
      <c r="I113" s="441">
        <v>4.0</v>
      </c>
      <c r="J113" s="442">
        <v>3.0</v>
      </c>
      <c r="K113" s="442">
        <v>4.0</v>
      </c>
      <c r="L113" s="442">
        <v>4.0</v>
      </c>
      <c r="M113" s="589">
        <v>4.0</v>
      </c>
      <c r="N113" s="442">
        <v>4.0</v>
      </c>
      <c r="O113" s="677">
        <v>4.0</v>
      </c>
      <c r="P113" s="444">
        <v>4.0</v>
      </c>
      <c r="Q113" s="11"/>
    </row>
    <row r="114">
      <c r="A114" s="11"/>
      <c r="B114" s="605"/>
      <c r="C114" s="195" t="s">
        <v>158</v>
      </c>
      <c r="D114" s="82"/>
      <c r="E114" s="82"/>
      <c r="F114" s="82"/>
      <c r="G114" s="82"/>
      <c r="H114" s="681"/>
      <c r="I114" s="127"/>
      <c r="J114" s="128"/>
      <c r="K114" s="128"/>
      <c r="L114" s="128"/>
      <c r="M114" s="128"/>
      <c r="N114" s="128"/>
      <c r="O114" s="682"/>
      <c r="P114" s="445"/>
      <c r="Q114" s="11"/>
    </row>
    <row r="115">
      <c r="A115" s="11"/>
      <c r="B115" s="636"/>
      <c r="C115" s="136"/>
      <c r="D115" s="525"/>
      <c r="E115" s="85"/>
      <c r="F115" s="85"/>
      <c r="G115" s="85"/>
      <c r="H115" s="683" t="s">
        <v>714</v>
      </c>
      <c r="I115" s="638" t="s">
        <v>427</v>
      </c>
      <c r="J115" s="140" t="s">
        <v>208</v>
      </c>
      <c r="K115" s="140" t="s">
        <v>426</v>
      </c>
      <c r="L115" s="140" t="s">
        <v>2</v>
      </c>
      <c r="M115" s="140" t="s">
        <v>1</v>
      </c>
      <c r="N115" s="140" t="s">
        <v>4</v>
      </c>
      <c r="O115" s="671" t="s">
        <v>3</v>
      </c>
      <c r="P115" s="630" t="s">
        <v>210</v>
      </c>
      <c r="Q115" s="11"/>
    </row>
    <row r="116">
      <c r="A116" s="11"/>
      <c r="B116" s="631"/>
      <c r="C116" s="580" t="s">
        <v>1108</v>
      </c>
      <c r="D116" s="541" t="s">
        <v>1109</v>
      </c>
      <c r="E116" s="67"/>
      <c r="F116" s="68"/>
      <c r="G116" s="68">
        <v>0.0</v>
      </c>
      <c r="H116" s="661" t="s">
        <v>714</v>
      </c>
      <c r="I116" s="457">
        <v>2.0</v>
      </c>
      <c r="J116" s="56">
        <v>3.0</v>
      </c>
      <c r="K116" s="56">
        <v>1.0</v>
      </c>
      <c r="L116" s="56">
        <v>1.0</v>
      </c>
      <c r="M116" s="426">
        <v>1.0</v>
      </c>
      <c r="N116" s="56">
        <v>1.0</v>
      </c>
      <c r="O116" s="673">
        <v>1.0</v>
      </c>
      <c r="P116" s="458">
        <v>1.0</v>
      </c>
      <c r="Q116" s="11"/>
    </row>
    <row r="117">
      <c r="A117" s="11"/>
      <c r="B117" s="353"/>
      <c r="C117" s="580" t="s">
        <v>1110</v>
      </c>
      <c r="D117" s="541" t="s">
        <v>1054</v>
      </c>
      <c r="E117" s="67"/>
      <c r="F117" s="68"/>
      <c r="G117" s="68">
        <v>3.0</v>
      </c>
      <c r="H117" s="661" t="s">
        <v>714</v>
      </c>
      <c r="I117" s="434">
        <v>3.0</v>
      </c>
      <c r="J117" s="55">
        <v>1.0</v>
      </c>
      <c r="K117" s="55">
        <v>1.0</v>
      </c>
      <c r="L117" s="55">
        <v>2.0</v>
      </c>
      <c r="M117" s="428">
        <v>2.0</v>
      </c>
      <c r="N117" s="55">
        <v>1.0</v>
      </c>
      <c r="O117" s="675">
        <v>2.0</v>
      </c>
      <c r="P117" s="62">
        <v>2.0</v>
      </c>
      <c r="Q117" s="11"/>
    </row>
    <row r="118">
      <c r="A118" s="11"/>
      <c r="B118" s="632"/>
      <c r="C118" s="591" t="s">
        <v>1111</v>
      </c>
      <c r="D118" s="555" t="s">
        <v>1109</v>
      </c>
      <c r="E118" s="556"/>
      <c r="F118" s="557"/>
      <c r="G118" s="557">
        <v>8.0</v>
      </c>
      <c r="H118" s="674" t="s">
        <v>714</v>
      </c>
      <c r="I118" s="434">
        <v>1.0</v>
      </c>
      <c r="J118" s="55">
        <v>1.0</v>
      </c>
      <c r="K118" s="55">
        <v>1.0</v>
      </c>
      <c r="L118" s="55">
        <v>2.0</v>
      </c>
      <c r="M118" s="428">
        <v>1.0</v>
      </c>
      <c r="N118" s="55">
        <v>2.0</v>
      </c>
      <c r="O118" s="675">
        <v>2.0</v>
      </c>
      <c r="P118" s="62">
        <v>2.0</v>
      </c>
      <c r="Q118" s="11"/>
    </row>
    <row r="119">
      <c r="A119" s="11"/>
      <c r="B119" s="639"/>
      <c r="C119" s="580" t="s">
        <v>1112</v>
      </c>
      <c r="D119" s="541" t="s">
        <v>116</v>
      </c>
      <c r="E119" s="67">
        <v>6.0</v>
      </c>
      <c r="F119" s="68">
        <v>6.0</v>
      </c>
      <c r="G119" s="68">
        <v>6.0</v>
      </c>
      <c r="H119" s="661" t="s">
        <v>714</v>
      </c>
      <c r="I119" s="434">
        <v>4.0</v>
      </c>
      <c r="J119" s="55">
        <v>4.0</v>
      </c>
      <c r="K119" s="55">
        <v>4.0</v>
      </c>
      <c r="L119" s="55">
        <v>3.0</v>
      </c>
      <c r="M119" s="428">
        <v>2.0</v>
      </c>
      <c r="N119" s="55">
        <v>3.0</v>
      </c>
      <c r="O119" s="675">
        <v>2.0</v>
      </c>
      <c r="P119" s="62">
        <v>3.0</v>
      </c>
      <c r="Q119" s="11"/>
    </row>
    <row r="120">
      <c r="A120" s="11"/>
      <c r="B120" s="353"/>
      <c r="C120" s="580" t="s">
        <v>1113</v>
      </c>
      <c r="D120" s="541"/>
      <c r="E120" s="67">
        <v>1.0</v>
      </c>
      <c r="F120" s="68">
        <v>3.0</v>
      </c>
      <c r="G120" s="68">
        <v>2.0</v>
      </c>
      <c r="H120" s="661" t="s">
        <v>714</v>
      </c>
      <c r="I120" s="434">
        <v>1.0</v>
      </c>
      <c r="J120" s="55">
        <v>1.0</v>
      </c>
      <c r="K120" s="55">
        <v>1.0</v>
      </c>
      <c r="L120" s="55">
        <v>1.0</v>
      </c>
      <c r="M120" s="428">
        <v>1.0</v>
      </c>
      <c r="N120" s="55">
        <v>1.0</v>
      </c>
      <c r="O120" s="673">
        <v>1.0</v>
      </c>
      <c r="P120" s="62">
        <v>1.0</v>
      </c>
      <c r="Q120" s="11"/>
    </row>
    <row r="121">
      <c r="A121" s="11"/>
      <c r="B121" s="355"/>
      <c r="C121" s="591" t="s">
        <v>1114</v>
      </c>
      <c r="D121" s="555"/>
      <c r="E121" s="556">
        <v>3.0</v>
      </c>
      <c r="F121" s="557">
        <v>4.0</v>
      </c>
      <c r="G121" s="557">
        <v>3.0</v>
      </c>
      <c r="H121" s="674" t="s">
        <v>714</v>
      </c>
      <c r="I121" s="434">
        <v>2.0</v>
      </c>
      <c r="J121" s="55">
        <v>3.0</v>
      </c>
      <c r="K121" s="55">
        <v>3.0</v>
      </c>
      <c r="L121" s="55">
        <v>3.0</v>
      </c>
      <c r="M121" s="428">
        <v>3.0</v>
      </c>
      <c r="N121" s="55">
        <v>3.0</v>
      </c>
      <c r="O121" s="672">
        <v>3.0</v>
      </c>
      <c r="P121" s="62">
        <v>2.0</v>
      </c>
      <c r="Q121" s="11"/>
    </row>
    <row r="122">
      <c r="A122" s="11"/>
      <c r="B122" s="634"/>
      <c r="C122" s="579" t="s">
        <v>1115</v>
      </c>
      <c r="D122" s="541"/>
      <c r="E122" s="67">
        <v>5.0</v>
      </c>
      <c r="F122" s="68">
        <v>5.0</v>
      </c>
      <c r="G122" s="68">
        <v>5.0</v>
      </c>
      <c r="H122" s="661" t="s">
        <v>714</v>
      </c>
      <c r="I122" s="434">
        <v>1.0</v>
      </c>
      <c r="J122" s="55">
        <v>1.0</v>
      </c>
      <c r="K122" s="55">
        <v>2.0</v>
      </c>
      <c r="L122" s="55">
        <v>2.0</v>
      </c>
      <c r="M122" s="428">
        <v>1.0</v>
      </c>
      <c r="N122" s="55">
        <v>2.0</v>
      </c>
      <c r="O122" s="680">
        <v>5.0</v>
      </c>
      <c r="P122" s="62">
        <v>2.0</v>
      </c>
      <c r="Q122" s="11"/>
    </row>
    <row r="123">
      <c r="A123" s="11"/>
      <c r="B123" s="355"/>
      <c r="C123" s="587" t="s">
        <v>1116</v>
      </c>
      <c r="D123" s="555" t="s">
        <v>1109</v>
      </c>
      <c r="E123" s="556"/>
      <c r="F123" s="557"/>
      <c r="G123" s="557">
        <v>2.0</v>
      </c>
      <c r="H123" s="674" t="s">
        <v>714</v>
      </c>
      <c r="I123" s="434">
        <v>4.0</v>
      </c>
      <c r="J123" s="55">
        <v>2.0</v>
      </c>
      <c r="K123" s="55">
        <v>2.0</v>
      </c>
      <c r="L123" s="55">
        <v>2.0</v>
      </c>
      <c r="M123" s="428">
        <v>2.0</v>
      </c>
      <c r="N123" s="55">
        <v>2.0</v>
      </c>
      <c r="O123" s="673">
        <v>1.0</v>
      </c>
      <c r="P123" s="62">
        <v>3.0</v>
      </c>
      <c r="Q123" s="11"/>
    </row>
    <row r="124">
      <c r="A124" s="11"/>
      <c r="B124" s="635"/>
      <c r="C124" s="579" t="s">
        <v>1117</v>
      </c>
      <c r="D124" s="541"/>
      <c r="E124" s="67">
        <v>4.0</v>
      </c>
      <c r="F124" s="68">
        <v>4.0</v>
      </c>
      <c r="G124" s="68">
        <v>4.0</v>
      </c>
      <c r="H124" s="661" t="s">
        <v>714</v>
      </c>
      <c r="I124" s="434">
        <v>5.0</v>
      </c>
      <c r="J124" s="55">
        <v>5.0</v>
      </c>
      <c r="K124" s="55">
        <v>4.0</v>
      </c>
      <c r="L124" s="55">
        <v>4.0</v>
      </c>
      <c r="M124" s="428">
        <v>5.0</v>
      </c>
      <c r="N124" s="55">
        <v>5.0</v>
      </c>
      <c r="O124" s="677">
        <v>4.0</v>
      </c>
      <c r="P124" s="62">
        <v>4.0</v>
      </c>
      <c r="Q124" s="11"/>
    </row>
    <row r="125">
      <c r="A125" s="11"/>
      <c r="B125" s="355"/>
      <c r="C125" s="587" t="s">
        <v>1118</v>
      </c>
      <c r="D125" s="555"/>
      <c r="E125" s="556">
        <v>1.0</v>
      </c>
      <c r="F125" s="557">
        <v>1.0</v>
      </c>
      <c r="G125" s="557">
        <v>2.0</v>
      </c>
      <c r="H125" s="674" t="s">
        <v>714</v>
      </c>
      <c r="I125" s="441">
        <v>4.0</v>
      </c>
      <c r="J125" s="442">
        <v>1.0</v>
      </c>
      <c r="K125" s="442">
        <v>2.0</v>
      </c>
      <c r="L125" s="442">
        <v>4.0</v>
      </c>
      <c r="M125" s="589">
        <v>1.0</v>
      </c>
      <c r="N125" s="442">
        <v>3.0</v>
      </c>
      <c r="O125" s="677">
        <v>4.0</v>
      </c>
      <c r="P125" s="444">
        <v>4.0</v>
      </c>
      <c r="Q125" s="11"/>
    </row>
    <row r="126">
      <c r="A126" s="11"/>
      <c r="B126" s="605"/>
      <c r="C126" s="195" t="s">
        <v>170</v>
      </c>
      <c r="D126" s="82"/>
      <c r="E126" s="82"/>
      <c r="F126" s="82"/>
      <c r="G126" s="82"/>
      <c r="H126" s="681"/>
      <c r="I126" s="127"/>
      <c r="J126" s="128"/>
      <c r="K126" s="128"/>
      <c r="L126" s="128"/>
      <c r="M126" s="128"/>
      <c r="N126" s="128"/>
      <c r="O126" s="682"/>
      <c r="P126" s="445"/>
      <c r="Q126" s="11"/>
    </row>
    <row r="127">
      <c r="A127" s="11"/>
      <c r="B127" s="636"/>
      <c r="C127" s="136"/>
      <c r="D127" s="525"/>
      <c r="E127" s="85"/>
      <c r="F127" s="85"/>
      <c r="G127" s="85"/>
      <c r="H127" s="683" t="s">
        <v>714</v>
      </c>
      <c r="I127" s="638" t="s">
        <v>427</v>
      </c>
      <c r="J127" s="140" t="s">
        <v>208</v>
      </c>
      <c r="K127" s="140" t="s">
        <v>426</v>
      </c>
      <c r="L127" s="140" t="s">
        <v>2</v>
      </c>
      <c r="M127" s="140" t="s">
        <v>1</v>
      </c>
      <c r="N127" s="140" t="s">
        <v>4</v>
      </c>
      <c r="O127" s="671" t="s">
        <v>3</v>
      </c>
      <c r="P127" s="630" t="s">
        <v>210</v>
      </c>
      <c r="Q127" s="11"/>
    </row>
    <row r="128">
      <c r="A128" s="11"/>
      <c r="B128" s="631"/>
      <c r="C128" s="580" t="s">
        <v>1119</v>
      </c>
      <c r="D128" s="541" t="s">
        <v>1095</v>
      </c>
      <c r="E128" s="67"/>
      <c r="F128" s="68"/>
      <c r="G128" s="68">
        <v>2.0</v>
      </c>
      <c r="H128" s="661" t="s">
        <v>714</v>
      </c>
      <c r="I128" s="457">
        <v>3.0</v>
      </c>
      <c r="J128" s="56">
        <v>3.0</v>
      </c>
      <c r="K128" s="56">
        <v>3.0</v>
      </c>
      <c r="L128" s="56">
        <v>4.0</v>
      </c>
      <c r="M128" s="426">
        <v>4.0</v>
      </c>
      <c r="N128" s="56">
        <v>3.0</v>
      </c>
      <c r="O128" s="677">
        <v>4.0</v>
      </c>
      <c r="P128" s="458">
        <v>3.0</v>
      </c>
      <c r="Q128" s="11"/>
    </row>
    <row r="129">
      <c r="A129" s="11"/>
      <c r="B129" s="353"/>
      <c r="C129" s="580" t="s">
        <v>1120</v>
      </c>
      <c r="D129" s="541" t="s">
        <v>490</v>
      </c>
      <c r="E129" s="67"/>
      <c r="F129" s="68"/>
      <c r="G129" s="68">
        <v>4.0</v>
      </c>
      <c r="H129" s="661" t="s">
        <v>714</v>
      </c>
      <c r="I129" s="434">
        <v>3.0</v>
      </c>
      <c r="J129" s="55">
        <v>4.0</v>
      </c>
      <c r="K129" s="55">
        <v>4.0</v>
      </c>
      <c r="L129" s="55">
        <v>4.0</v>
      </c>
      <c r="M129" s="428">
        <v>5.0</v>
      </c>
      <c r="N129" s="55">
        <v>4.0</v>
      </c>
      <c r="O129" s="677">
        <v>4.0</v>
      </c>
      <c r="P129" s="62">
        <v>3.0</v>
      </c>
      <c r="Q129" s="11"/>
    </row>
    <row r="130">
      <c r="A130" s="11"/>
      <c r="B130" s="632"/>
      <c r="C130" s="580" t="s">
        <v>1121</v>
      </c>
      <c r="D130" s="541" t="s">
        <v>1122</v>
      </c>
      <c r="E130" s="67"/>
      <c r="F130" s="68"/>
      <c r="G130" s="68">
        <v>3.0</v>
      </c>
      <c r="H130" s="661" t="s">
        <v>714</v>
      </c>
      <c r="I130" s="434">
        <v>3.0</v>
      </c>
      <c r="J130" s="55">
        <v>2.0</v>
      </c>
      <c r="K130" s="55">
        <v>2.0</v>
      </c>
      <c r="L130" s="55">
        <v>2.0</v>
      </c>
      <c r="M130" s="428">
        <v>1.0</v>
      </c>
      <c r="N130" s="55">
        <v>2.0</v>
      </c>
      <c r="O130" s="675">
        <v>2.0</v>
      </c>
      <c r="P130" s="62">
        <v>3.0</v>
      </c>
      <c r="Q130" s="11"/>
    </row>
    <row r="131">
      <c r="A131" s="11"/>
      <c r="B131" s="639"/>
      <c r="C131" s="580" t="s">
        <v>1123</v>
      </c>
      <c r="D131" s="541" t="s">
        <v>1122</v>
      </c>
      <c r="E131" s="67"/>
      <c r="F131" s="68"/>
      <c r="G131" s="68">
        <v>0.0</v>
      </c>
      <c r="H131" s="661" t="s">
        <v>714</v>
      </c>
      <c r="I131" s="434">
        <v>4.0</v>
      </c>
      <c r="J131" s="55">
        <v>3.0</v>
      </c>
      <c r="K131" s="55">
        <v>3.0</v>
      </c>
      <c r="L131" s="55">
        <v>3.0</v>
      </c>
      <c r="M131" s="428">
        <v>4.0</v>
      </c>
      <c r="N131" s="55">
        <v>3.0</v>
      </c>
      <c r="O131" s="672">
        <v>3.0</v>
      </c>
      <c r="P131" s="62">
        <v>2.0</v>
      </c>
      <c r="Q131" s="11"/>
    </row>
    <row r="132">
      <c r="A132" s="11"/>
      <c r="B132" s="353"/>
      <c r="C132" s="580" t="s">
        <v>1124</v>
      </c>
      <c r="D132" s="541"/>
      <c r="E132" s="67">
        <v>3.0</v>
      </c>
      <c r="F132" s="68">
        <v>5.0</v>
      </c>
      <c r="G132" s="68">
        <v>4.0</v>
      </c>
      <c r="H132" s="661" t="s">
        <v>714</v>
      </c>
      <c r="I132" s="434">
        <v>2.0</v>
      </c>
      <c r="J132" s="55">
        <v>3.0</v>
      </c>
      <c r="K132" s="55">
        <v>2.0</v>
      </c>
      <c r="L132" s="55">
        <v>3.0</v>
      </c>
      <c r="M132" s="428">
        <v>1.0</v>
      </c>
      <c r="N132" s="55">
        <v>2.0</v>
      </c>
      <c r="O132" s="677">
        <v>4.0</v>
      </c>
      <c r="P132" s="62">
        <v>3.0</v>
      </c>
      <c r="Q132" s="11"/>
    </row>
    <row r="133">
      <c r="A133" s="11"/>
      <c r="B133" s="355"/>
      <c r="C133" s="591" t="s">
        <v>1125</v>
      </c>
      <c r="D133" s="555"/>
      <c r="E133" s="556">
        <v>3.0</v>
      </c>
      <c r="F133" s="557">
        <v>4.0</v>
      </c>
      <c r="G133" s="557">
        <v>3.0</v>
      </c>
      <c r="H133" s="674" t="s">
        <v>714</v>
      </c>
      <c r="I133" s="434">
        <v>2.0</v>
      </c>
      <c r="J133" s="55">
        <v>1.0</v>
      </c>
      <c r="K133" s="55">
        <v>2.0</v>
      </c>
      <c r="L133" s="55">
        <v>2.0</v>
      </c>
      <c r="M133" s="428">
        <v>1.0</v>
      </c>
      <c r="N133" s="55">
        <v>1.0</v>
      </c>
      <c r="O133" s="675">
        <v>2.0</v>
      </c>
      <c r="P133" s="62">
        <v>2.0</v>
      </c>
      <c r="Q133" s="11"/>
    </row>
    <row r="134">
      <c r="A134" s="11"/>
      <c r="B134" s="634"/>
      <c r="C134" s="579" t="s">
        <v>1126</v>
      </c>
      <c r="D134" s="541" t="s">
        <v>1062</v>
      </c>
      <c r="E134" s="67"/>
      <c r="F134" s="68"/>
      <c r="G134" s="68">
        <v>2.0</v>
      </c>
      <c r="H134" s="661" t="s">
        <v>714</v>
      </c>
      <c r="I134" s="434">
        <v>2.0</v>
      </c>
      <c r="J134" s="55">
        <v>2.0</v>
      </c>
      <c r="K134" s="55">
        <v>2.0</v>
      </c>
      <c r="L134" s="55">
        <v>3.0</v>
      </c>
      <c r="M134" s="428">
        <v>1.0</v>
      </c>
      <c r="N134" s="55">
        <v>2.0</v>
      </c>
      <c r="O134" s="677">
        <v>4.0</v>
      </c>
      <c r="P134" s="62">
        <v>2.0</v>
      </c>
      <c r="Q134" s="11"/>
    </row>
    <row r="135">
      <c r="A135" s="11"/>
      <c r="B135" s="355"/>
      <c r="C135" s="587" t="s">
        <v>1127</v>
      </c>
      <c r="D135" s="555" t="s">
        <v>116</v>
      </c>
      <c r="E135" s="556">
        <v>4.0</v>
      </c>
      <c r="F135" s="557">
        <v>3.0</v>
      </c>
      <c r="G135" s="557">
        <v>3.0</v>
      </c>
      <c r="H135" s="674" t="s">
        <v>714</v>
      </c>
      <c r="I135" s="434">
        <v>2.0</v>
      </c>
      <c r="J135" s="55">
        <v>1.0</v>
      </c>
      <c r="K135" s="55">
        <v>2.0</v>
      </c>
      <c r="L135" s="55">
        <v>2.0</v>
      </c>
      <c r="M135" s="428">
        <v>1.0</v>
      </c>
      <c r="N135" s="55">
        <v>2.0</v>
      </c>
      <c r="O135" s="675">
        <v>2.0</v>
      </c>
      <c r="P135" s="62">
        <v>2.0</v>
      </c>
      <c r="Q135" s="11"/>
    </row>
    <row r="136">
      <c r="A136" s="11"/>
      <c r="B136" s="635"/>
      <c r="C136" s="579" t="s">
        <v>1128</v>
      </c>
      <c r="D136" s="541"/>
      <c r="E136" s="67">
        <v>3.0</v>
      </c>
      <c r="F136" s="68">
        <v>3.0</v>
      </c>
      <c r="G136" s="68">
        <v>4.0</v>
      </c>
      <c r="H136" s="661" t="s">
        <v>714</v>
      </c>
      <c r="I136" s="434">
        <v>5.0</v>
      </c>
      <c r="J136" s="55">
        <v>4.0</v>
      </c>
      <c r="K136" s="55">
        <v>4.0</v>
      </c>
      <c r="L136" s="55">
        <v>4.0</v>
      </c>
      <c r="M136" s="428">
        <v>4.0</v>
      </c>
      <c r="N136" s="55">
        <v>4.0</v>
      </c>
      <c r="O136" s="677">
        <v>4.0</v>
      </c>
      <c r="P136" s="62">
        <v>4.0</v>
      </c>
      <c r="Q136" s="11"/>
    </row>
    <row r="137">
      <c r="A137" s="11"/>
      <c r="B137" s="355"/>
      <c r="C137" s="587" t="s">
        <v>1129</v>
      </c>
      <c r="D137" s="555"/>
      <c r="E137" s="556">
        <v>10.0</v>
      </c>
      <c r="F137" s="557">
        <v>10.0</v>
      </c>
      <c r="G137" s="557">
        <v>10.0</v>
      </c>
      <c r="H137" s="674" t="s">
        <v>714</v>
      </c>
      <c r="I137" s="441">
        <v>2.0</v>
      </c>
      <c r="J137" s="442">
        <v>3.0</v>
      </c>
      <c r="K137" s="442">
        <v>2.0</v>
      </c>
      <c r="L137" s="442">
        <v>2.0</v>
      </c>
      <c r="M137" s="589">
        <v>1.0</v>
      </c>
      <c r="N137" s="442">
        <v>2.0</v>
      </c>
      <c r="O137" s="672">
        <v>3.0</v>
      </c>
      <c r="P137" s="444">
        <v>2.0</v>
      </c>
      <c r="Q137" s="11"/>
    </row>
    <row r="138">
      <c r="A138" s="11"/>
      <c r="B138" s="605"/>
      <c r="C138" s="195" t="s">
        <v>182</v>
      </c>
      <c r="D138" s="82"/>
      <c r="E138" s="82"/>
      <c r="F138" s="82"/>
      <c r="G138" s="82"/>
      <c r="H138" s="681"/>
      <c r="I138" s="127"/>
      <c r="J138" s="128"/>
      <c r="K138" s="128"/>
      <c r="L138" s="128"/>
      <c r="M138" s="128"/>
      <c r="N138" s="128"/>
      <c r="O138" s="682"/>
      <c r="P138" s="445"/>
      <c r="Q138" s="11"/>
    </row>
    <row r="139">
      <c r="A139" s="11"/>
      <c r="B139" s="636"/>
      <c r="C139" s="136"/>
      <c r="D139" s="525"/>
      <c r="E139" s="85"/>
      <c r="F139" s="85"/>
      <c r="G139" s="85"/>
      <c r="H139" s="683" t="s">
        <v>714</v>
      </c>
      <c r="I139" s="638" t="s">
        <v>427</v>
      </c>
      <c r="J139" s="140" t="s">
        <v>208</v>
      </c>
      <c r="K139" s="140" t="s">
        <v>426</v>
      </c>
      <c r="L139" s="140" t="s">
        <v>2</v>
      </c>
      <c r="M139" s="140" t="s">
        <v>1</v>
      </c>
      <c r="N139" s="140" t="s">
        <v>4</v>
      </c>
      <c r="O139" s="671" t="s">
        <v>3</v>
      </c>
      <c r="P139" s="630" t="s">
        <v>210</v>
      </c>
      <c r="Q139" s="11"/>
    </row>
    <row r="140">
      <c r="A140" s="11"/>
      <c r="B140" s="631"/>
      <c r="C140" s="580" t="s">
        <v>1130</v>
      </c>
      <c r="D140" s="541" t="s">
        <v>1131</v>
      </c>
      <c r="E140" s="67"/>
      <c r="F140" s="68"/>
      <c r="G140" s="68">
        <v>4.0</v>
      </c>
      <c r="H140" s="661" t="s">
        <v>714</v>
      </c>
      <c r="I140" s="457">
        <v>3.0</v>
      </c>
      <c r="J140" s="56">
        <v>1.0</v>
      </c>
      <c r="K140" s="56">
        <v>2.0</v>
      </c>
      <c r="L140" s="56">
        <v>2.0</v>
      </c>
      <c r="M140" s="426">
        <v>1.0</v>
      </c>
      <c r="N140" s="56">
        <v>3.0</v>
      </c>
      <c r="O140" s="672">
        <v>3.0</v>
      </c>
      <c r="P140" s="458">
        <v>4.0</v>
      </c>
      <c r="Q140" s="11"/>
    </row>
    <row r="141">
      <c r="A141" s="11"/>
      <c r="B141" s="353"/>
      <c r="C141" s="580" t="s">
        <v>1132</v>
      </c>
      <c r="D141" s="541"/>
      <c r="E141" s="67">
        <v>1.0</v>
      </c>
      <c r="F141" s="68">
        <v>1.0</v>
      </c>
      <c r="G141" s="68">
        <v>1.0</v>
      </c>
      <c r="H141" s="661" t="s">
        <v>714</v>
      </c>
      <c r="I141" s="434">
        <v>5.0</v>
      </c>
      <c r="J141" s="55">
        <v>5.0</v>
      </c>
      <c r="K141" s="55">
        <v>4.0</v>
      </c>
      <c r="L141" s="55">
        <v>4.0</v>
      </c>
      <c r="M141" s="428">
        <v>5.0</v>
      </c>
      <c r="N141" s="55">
        <v>4.0</v>
      </c>
      <c r="O141" s="680">
        <v>5.0</v>
      </c>
      <c r="P141" s="62">
        <v>4.0</v>
      </c>
      <c r="Q141" s="11"/>
    </row>
    <row r="142">
      <c r="A142" s="11"/>
      <c r="B142" s="632"/>
      <c r="C142" s="591" t="s">
        <v>1133</v>
      </c>
      <c r="D142" s="555" t="s">
        <v>71</v>
      </c>
      <c r="E142" s="556"/>
      <c r="F142" s="557"/>
      <c r="G142" s="557">
        <v>1.0</v>
      </c>
      <c r="H142" s="674" t="s">
        <v>714</v>
      </c>
      <c r="I142" s="434">
        <v>4.0</v>
      </c>
      <c r="J142" s="55">
        <v>3.0</v>
      </c>
      <c r="K142" s="55">
        <v>3.0</v>
      </c>
      <c r="L142" s="55">
        <v>2.0</v>
      </c>
      <c r="M142" s="428">
        <v>1.0</v>
      </c>
      <c r="N142" s="55">
        <v>2.0</v>
      </c>
      <c r="O142" s="675">
        <v>2.0</v>
      </c>
      <c r="P142" s="62">
        <v>2.0</v>
      </c>
      <c r="Q142" s="11"/>
    </row>
    <row r="143">
      <c r="A143" s="11"/>
      <c r="B143" s="639"/>
      <c r="C143" s="580" t="s">
        <v>1134</v>
      </c>
      <c r="D143" s="541" t="s">
        <v>77</v>
      </c>
      <c r="E143" s="67">
        <v>1.0</v>
      </c>
      <c r="F143" s="68">
        <v>3.0</v>
      </c>
      <c r="G143" s="68">
        <v>2.0</v>
      </c>
      <c r="H143" s="661" t="s">
        <v>714</v>
      </c>
      <c r="I143" s="434">
        <v>5.0</v>
      </c>
      <c r="J143" s="55">
        <v>4.0</v>
      </c>
      <c r="K143" s="55">
        <v>4.0</v>
      </c>
      <c r="L143" s="55">
        <v>5.0</v>
      </c>
      <c r="M143" s="428">
        <v>4.0</v>
      </c>
      <c r="N143" s="55">
        <v>4.0</v>
      </c>
      <c r="O143" s="677">
        <v>4.0</v>
      </c>
      <c r="P143" s="62">
        <v>4.0</v>
      </c>
      <c r="Q143" s="11"/>
    </row>
    <row r="144">
      <c r="A144" s="11"/>
      <c r="B144" s="353"/>
      <c r="C144" s="580" t="s">
        <v>1135</v>
      </c>
      <c r="D144" s="541"/>
      <c r="E144" s="67">
        <v>3.0</v>
      </c>
      <c r="F144" s="68">
        <v>4.0</v>
      </c>
      <c r="G144" s="68">
        <v>3.0</v>
      </c>
      <c r="H144" s="661" t="s">
        <v>714</v>
      </c>
      <c r="I144" s="434">
        <v>4.0</v>
      </c>
      <c r="J144" s="55">
        <v>4.0</v>
      </c>
      <c r="K144" s="55">
        <v>4.0</v>
      </c>
      <c r="L144" s="55">
        <v>4.0</v>
      </c>
      <c r="M144" s="428">
        <v>2.0</v>
      </c>
      <c r="N144" s="55">
        <v>3.0</v>
      </c>
      <c r="O144" s="672">
        <v>3.0</v>
      </c>
      <c r="P144" s="62">
        <v>3.0</v>
      </c>
      <c r="Q144" s="11"/>
    </row>
    <row r="145">
      <c r="A145" s="11"/>
      <c r="B145" s="355"/>
      <c r="C145" s="591" t="s">
        <v>1136</v>
      </c>
      <c r="D145" s="555"/>
      <c r="E145" s="556">
        <v>1.0</v>
      </c>
      <c r="F145" s="557">
        <v>3.0</v>
      </c>
      <c r="G145" s="557">
        <v>2.0</v>
      </c>
      <c r="H145" s="674" t="s">
        <v>714</v>
      </c>
      <c r="I145" s="434">
        <v>5.0</v>
      </c>
      <c r="J145" s="55">
        <v>1.0</v>
      </c>
      <c r="K145" s="55">
        <v>1.0</v>
      </c>
      <c r="L145" s="55">
        <v>1.0</v>
      </c>
      <c r="M145" s="428">
        <v>1.0</v>
      </c>
      <c r="N145" s="55">
        <v>1.0</v>
      </c>
      <c r="O145" s="673">
        <v>1.0</v>
      </c>
      <c r="P145" s="62">
        <v>1.0</v>
      </c>
      <c r="Q145" s="11"/>
    </row>
    <row r="146">
      <c r="A146" s="11"/>
      <c r="B146" s="634"/>
      <c r="C146" s="579" t="s">
        <v>1137</v>
      </c>
      <c r="D146" s="541" t="s">
        <v>1131</v>
      </c>
      <c r="E146" s="67"/>
      <c r="F146" s="68"/>
      <c r="G146" s="68">
        <v>1.0</v>
      </c>
      <c r="H146" s="661" t="s">
        <v>714</v>
      </c>
      <c r="I146" s="434">
        <v>4.0</v>
      </c>
      <c r="J146" s="55">
        <v>4.0</v>
      </c>
      <c r="K146" s="55">
        <v>4.0</v>
      </c>
      <c r="L146" s="55">
        <v>3.0</v>
      </c>
      <c r="M146" s="428">
        <v>1.0</v>
      </c>
      <c r="N146" s="55">
        <v>3.0</v>
      </c>
      <c r="O146" s="675">
        <v>2.0</v>
      </c>
      <c r="P146" s="62">
        <v>3.0</v>
      </c>
      <c r="Q146" s="11"/>
    </row>
    <row r="147">
      <c r="A147" s="11"/>
      <c r="B147" s="355"/>
      <c r="C147" s="587" t="s">
        <v>1138</v>
      </c>
      <c r="D147" s="555"/>
      <c r="E147" s="556">
        <v>3.0</v>
      </c>
      <c r="F147" s="557">
        <v>5.0</v>
      </c>
      <c r="G147" s="557">
        <v>4.0</v>
      </c>
      <c r="H147" s="674" t="s">
        <v>714</v>
      </c>
      <c r="I147" s="434">
        <v>2.0</v>
      </c>
      <c r="J147" s="55">
        <v>2.0</v>
      </c>
      <c r="K147" s="55">
        <v>3.0</v>
      </c>
      <c r="L147" s="55">
        <v>2.0</v>
      </c>
      <c r="M147" s="428">
        <v>3.0</v>
      </c>
      <c r="N147" s="55">
        <v>3.0</v>
      </c>
      <c r="O147" s="675">
        <v>2.0</v>
      </c>
      <c r="P147" s="62">
        <v>2.0</v>
      </c>
      <c r="Q147" s="11"/>
    </row>
    <row r="148">
      <c r="A148" s="11"/>
      <c r="B148" s="635"/>
      <c r="C148" s="579" t="s">
        <v>1139</v>
      </c>
      <c r="D148" s="541"/>
      <c r="E148" s="67">
        <v>4.0</v>
      </c>
      <c r="F148" s="68">
        <v>3.0</v>
      </c>
      <c r="G148" s="68">
        <v>4.0</v>
      </c>
      <c r="H148" s="661" t="s">
        <v>714</v>
      </c>
      <c r="I148" s="434">
        <v>5.0</v>
      </c>
      <c r="J148" s="55">
        <v>4.0</v>
      </c>
      <c r="K148" s="55">
        <v>4.0</v>
      </c>
      <c r="L148" s="55">
        <v>4.0</v>
      </c>
      <c r="M148" s="428">
        <v>5.0</v>
      </c>
      <c r="N148" s="55">
        <v>4.0</v>
      </c>
      <c r="O148" s="680">
        <v>5.0</v>
      </c>
      <c r="P148" s="62">
        <v>4.0</v>
      </c>
      <c r="Q148" s="11"/>
    </row>
    <row r="149">
      <c r="A149" s="11"/>
      <c r="B149" s="355"/>
      <c r="C149" s="587" t="s">
        <v>1140</v>
      </c>
      <c r="D149" s="555"/>
      <c r="E149" s="556">
        <v>4.0</v>
      </c>
      <c r="F149" s="557">
        <v>4.0</v>
      </c>
      <c r="G149" s="557">
        <v>5.0</v>
      </c>
      <c r="H149" s="674" t="s">
        <v>714</v>
      </c>
      <c r="I149" s="441">
        <v>3.0</v>
      </c>
      <c r="J149" s="442">
        <v>4.0</v>
      </c>
      <c r="K149" s="442">
        <v>4.0</v>
      </c>
      <c r="L149" s="442">
        <v>4.0</v>
      </c>
      <c r="M149" s="589">
        <v>2.0</v>
      </c>
      <c r="N149" s="442">
        <v>4.0</v>
      </c>
      <c r="O149" s="672">
        <v>3.0</v>
      </c>
      <c r="P149" s="444">
        <v>4.0</v>
      </c>
      <c r="Q149" s="11"/>
    </row>
    <row r="150">
      <c r="A150" s="11"/>
      <c r="B150" s="605"/>
      <c r="C150" s="195" t="s">
        <v>193</v>
      </c>
      <c r="D150" s="82"/>
      <c r="E150" s="82"/>
      <c r="F150" s="82"/>
      <c r="G150" s="82"/>
      <c r="H150" s="681"/>
      <c r="I150" s="127"/>
      <c r="J150" s="128"/>
      <c r="K150" s="128"/>
      <c r="L150" s="128"/>
      <c r="M150" s="128"/>
      <c r="N150" s="128"/>
      <c r="O150" s="682"/>
      <c r="P150" s="445"/>
      <c r="Q150" s="11"/>
    </row>
    <row r="151">
      <c r="A151" s="11"/>
      <c r="B151" s="609"/>
      <c r="C151" s="136"/>
      <c r="D151" s="525"/>
      <c r="E151" s="85"/>
      <c r="F151" s="85"/>
      <c r="G151" s="85"/>
      <c r="H151" s="683" t="s">
        <v>714</v>
      </c>
      <c r="I151" s="638" t="s">
        <v>427</v>
      </c>
      <c r="J151" s="140" t="s">
        <v>208</v>
      </c>
      <c r="K151" s="140" t="s">
        <v>426</v>
      </c>
      <c r="L151" s="140" t="s">
        <v>2</v>
      </c>
      <c r="M151" s="140" t="s">
        <v>1</v>
      </c>
      <c r="N151" s="140" t="s">
        <v>4</v>
      </c>
      <c r="O151" s="671" t="s">
        <v>3</v>
      </c>
      <c r="P151" s="630" t="s">
        <v>210</v>
      </c>
      <c r="Q151" s="11"/>
    </row>
    <row r="152">
      <c r="A152" s="11"/>
      <c r="B152" s="640"/>
      <c r="C152" s="580" t="s">
        <v>1141</v>
      </c>
      <c r="D152" s="541" t="s">
        <v>1056</v>
      </c>
      <c r="E152" s="67"/>
      <c r="F152" s="68"/>
      <c r="G152" s="68">
        <v>1.0</v>
      </c>
      <c r="H152" s="661" t="s">
        <v>714</v>
      </c>
      <c r="I152" s="457">
        <v>2.0</v>
      </c>
      <c r="J152" s="56">
        <v>3.0</v>
      </c>
      <c r="K152" s="56">
        <v>3.0</v>
      </c>
      <c r="L152" s="56">
        <v>4.0</v>
      </c>
      <c r="M152" s="426">
        <v>3.0</v>
      </c>
      <c r="N152" s="56">
        <v>3.0</v>
      </c>
      <c r="O152" s="673">
        <v>1.0</v>
      </c>
      <c r="P152" s="458">
        <v>4.0</v>
      </c>
      <c r="Q152" s="11"/>
    </row>
    <row r="153">
      <c r="A153" s="11"/>
      <c r="B153" s="353"/>
      <c r="C153" s="580" t="s">
        <v>1142</v>
      </c>
      <c r="D153" s="541" t="s">
        <v>71</v>
      </c>
      <c r="E153" s="67"/>
      <c r="F153" s="68"/>
      <c r="G153" s="68">
        <v>3.0</v>
      </c>
      <c r="H153" s="661" t="s">
        <v>714</v>
      </c>
      <c r="I153" s="434">
        <v>1.0</v>
      </c>
      <c r="J153" s="55">
        <v>1.0</v>
      </c>
      <c r="K153" s="55">
        <v>2.0</v>
      </c>
      <c r="L153" s="55">
        <v>2.0</v>
      </c>
      <c r="M153" s="428">
        <v>1.0</v>
      </c>
      <c r="N153" s="55">
        <v>1.0</v>
      </c>
      <c r="O153" s="673">
        <v>1.0</v>
      </c>
      <c r="P153" s="62">
        <v>2.0</v>
      </c>
      <c r="Q153" s="11"/>
    </row>
    <row r="154">
      <c r="A154" s="11"/>
      <c r="B154" s="353"/>
      <c r="C154" s="580" t="s">
        <v>1143</v>
      </c>
      <c r="D154" s="541" t="s">
        <v>22</v>
      </c>
      <c r="E154" s="67">
        <v>2.0</v>
      </c>
      <c r="F154" s="68">
        <v>2.0</v>
      </c>
      <c r="G154" s="68">
        <v>2.0</v>
      </c>
      <c r="H154" s="661" t="s">
        <v>714</v>
      </c>
      <c r="I154" s="434">
        <v>2.0</v>
      </c>
      <c r="J154" s="55">
        <v>1.0</v>
      </c>
      <c r="K154" s="55">
        <v>2.0</v>
      </c>
      <c r="L154" s="55">
        <v>1.0</v>
      </c>
      <c r="M154" s="55">
        <v>1.0</v>
      </c>
      <c r="N154" s="55">
        <v>2.0</v>
      </c>
      <c r="O154" s="680">
        <v>5.0</v>
      </c>
      <c r="P154" s="62">
        <v>2.0</v>
      </c>
      <c r="Q154" s="11"/>
    </row>
    <row r="155">
      <c r="A155" s="11"/>
      <c r="B155" s="641"/>
      <c r="C155" s="579" t="s">
        <v>1144</v>
      </c>
      <c r="D155" s="541" t="s">
        <v>1054</v>
      </c>
      <c r="E155" s="67"/>
      <c r="F155" s="68"/>
      <c r="G155" s="68">
        <v>0.0</v>
      </c>
      <c r="H155" s="661" t="s">
        <v>714</v>
      </c>
      <c r="I155" s="434">
        <v>2.0</v>
      </c>
      <c r="J155" s="55">
        <v>1.0</v>
      </c>
      <c r="K155" s="55">
        <v>1.0</v>
      </c>
      <c r="L155" s="55">
        <v>1.0</v>
      </c>
      <c r="M155" s="55">
        <v>1.0</v>
      </c>
      <c r="N155" s="55">
        <v>2.0</v>
      </c>
      <c r="O155" s="673">
        <v>1.0</v>
      </c>
      <c r="P155" s="62">
        <v>2.0</v>
      </c>
      <c r="Q155" s="11"/>
    </row>
    <row r="156">
      <c r="A156" s="11"/>
      <c r="B156" s="353"/>
      <c r="C156" s="580" t="s">
        <v>1145</v>
      </c>
      <c r="D156" s="541"/>
      <c r="E156" s="67">
        <v>3.0</v>
      </c>
      <c r="F156" s="68">
        <v>3.0</v>
      </c>
      <c r="G156" s="68">
        <v>3.0</v>
      </c>
      <c r="H156" s="661" t="s">
        <v>714</v>
      </c>
      <c r="I156" s="434">
        <v>2.0</v>
      </c>
      <c r="J156" s="55">
        <v>1.0</v>
      </c>
      <c r="K156" s="55">
        <v>2.0</v>
      </c>
      <c r="L156" s="55">
        <v>1.0</v>
      </c>
      <c r="M156" s="55">
        <v>1.0</v>
      </c>
      <c r="N156" s="55">
        <v>2.0</v>
      </c>
      <c r="O156" s="680">
        <v>5.0</v>
      </c>
      <c r="P156" s="62">
        <v>2.0</v>
      </c>
      <c r="Q156" s="11"/>
    </row>
    <row r="157">
      <c r="A157" s="11"/>
      <c r="B157" s="353"/>
      <c r="C157" s="591" t="s">
        <v>1146</v>
      </c>
      <c r="D157" s="555" t="s">
        <v>77</v>
      </c>
      <c r="E157" s="556">
        <v>1.0</v>
      </c>
      <c r="F157" s="557">
        <v>2.0</v>
      </c>
      <c r="G157" s="557">
        <v>1.0</v>
      </c>
      <c r="H157" s="674" t="s">
        <v>714</v>
      </c>
      <c r="I157" s="434">
        <v>2.0</v>
      </c>
      <c r="J157" s="55">
        <v>2.0</v>
      </c>
      <c r="K157" s="55">
        <v>2.0</v>
      </c>
      <c r="L157" s="55">
        <v>1.0</v>
      </c>
      <c r="M157" s="55">
        <v>1.0</v>
      </c>
      <c r="N157" s="55">
        <v>2.0</v>
      </c>
      <c r="O157" s="680">
        <v>5.0</v>
      </c>
      <c r="P157" s="62">
        <v>1.0</v>
      </c>
      <c r="Q157" s="11"/>
    </row>
    <row r="158">
      <c r="A158" s="11"/>
      <c r="B158" s="634"/>
      <c r="C158" s="579" t="s">
        <v>1147</v>
      </c>
      <c r="D158" s="541"/>
      <c r="E158" s="67">
        <v>4.0</v>
      </c>
      <c r="F158" s="68">
        <v>4.0</v>
      </c>
      <c r="G158" s="68">
        <v>4.0</v>
      </c>
      <c r="H158" s="661" t="s">
        <v>714</v>
      </c>
      <c r="I158" s="434">
        <v>2.0</v>
      </c>
      <c r="J158" s="55">
        <v>1.0</v>
      </c>
      <c r="K158" s="55">
        <v>2.0</v>
      </c>
      <c r="L158" s="55">
        <v>1.0</v>
      </c>
      <c r="M158" s="55">
        <v>1.0</v>
      </c>
      <c r="N158" s="55">
        <v>1.0</v>
      </c>
      <c r="O158" s="677">
        <v>4.0</v>
      </c>
      <c r="P158" s="62">
        <v>2.0</v>
      </c>
      <c r="Q158" s="11"/>
    </row>
    <row r="159">
      <c r="A159" s="11"/>
      <c r="B159" s="355"/>
      <c r="C159" s="579" t="s">
        <v>1148</v>
      </c>
      <c r="D159" s="541" t="s">
        <v>1056</v>
      </c>
      <c r="E159" s="67"/>
      <c r="F159" s="68"/>
      <c r="G159" s="68">
        <v>2.0</v>
      </c>
      <c r="H159" s="661" t="s">
        <v>714</v>
      </c>
      <c r="I159" s="434">
        <v>3.0</v>
      </c>
      <c r="J159" s="55">
        <v>3.0</v>
      </c>
      <c r="K159" s="55">
        <v>3.0</v>
      </c>
      <c r="L159" s="55">
        <v>1.0</v>
      </c>
      <c r="M159" s="55">
        <v>4.0</v>
      </c>
      <c r="N159" s="55">
        <v>4.0</v>
      </c>
      <c r="O159" s="673">
        <v>1.0</v>
      </c>
      <c r="P159" s="62">
        <v>2.0</v>
      </c>
      <c r="Q159" s="11"/>
    </row>
    <row r="160">
      <c r="A160" s="11"/>
      <c r="B160" s="635"/>
      <c r="C160" s="579" t="s">
        <v>1149</v>
      </c>
      <c r="D160" s="541"/>
      <c r="E160" s="67">
        <v>3.0</v>
      </c>
      <c r="F160" s="68">
        <v>6.0</v>
      </c>
      <c r="G160" s="68">
        <v>7.0</v>
      </c>
      <c r="H160" s="684" t="s">
        <v>714</v>
      </c>
      <c r="I160" s="685">
        <v>4.0</v>
      </c>
      <c r="J160" s="55">
        <v>3.0</v>
      </c>
      <c r="K160" s="55">
        <v>3.0</v>
      </c>
      <c r="L160" s="55">
        <v>1.0</v>
      </c>
      <c r="M160" s="55">
        <v>1.0</v>
      </c>
      <c r="N160" s="55">
        <v>2.0</v>
      </c>
      <c r="O160" s="677">
        <v>4.0</v>
      </c>
      <c r="P160" s="62">
        <v>3.0</v>
      </c>
      <c r="Q160" s="11"/>
    </row>
    <row r="161">
      <c r="A161" s="11"/>
      <c r="B161" s="355"/>
      <c r="C161" s="587" t="s">
        <v>1150</v>
      </c>
      <c r="D161" s="555"/>
      <c r="E161" s="556">
        <v>3.0</v>
      </c>
      <c r="F161" s="557">
        <v>4.0</v>
      </c>
      <c r="G161" s="557">
        <v>3.0</v>
      </c>
      <c r="H161" s="686" t="s">
        <v>714</v>
      </c>
      <c r="I161" s="687">
        <v>1.0</v>
      </c>
      <c r="J161" s="643">
        <v>2.0</v>
      </c>
      <c r="K161" s="643">
        <v>2.0</v>
      </c>
      <c r="L161" s="643">
        <v>2.0</v>
      </c>
      <c r="M161" s="644">
        <v>1.0</v>
      </c>
      <c r="N161" s="643">
        <v>3.0</v>
      </c>
      <c r="O161" s="672">
        <v>3.0</v>
      </c>
      <c r="P161" s="645">
        <v>3.0</v>
      </c>
      <c r="Q161" s="11"/>
    </row>
    <row r="162">
      <c r="A162" s="11"/>
      <c r="B162" s="332"/>
      <c r="C162" s="333"/>
      <c r="D162" s="333"/>
      <c r="E162" s="333"/>
      <c r="F162" s="333"/>
      <c r="G162" s="333"/>
      <c r="H162" s="333"/>
      <c r="I162" s="295"/>
      <c r="J162" s="295"/>
      <c r="K162" s="295"/>
      <c r="L162" s="295"/>
      <c r="M162" s="295"/>
      <c r="N162" s="295"/>
      <c r="O162" s="295"/>
      <c r="P162" s="295"/>
      <c r="Q162" s="11"/>
    </row>
    <row r="163">
      <c r="A163" s="11"/>
      <c r="B163" s="300"/>
      <c r="C163" s="301"/>
      <c r="D163" s="344"/>
      <c r="F163" s="17"/>
      <c r="G163" s="304"/>
      <c r="H163" s="646"/>
      <c r="I163" s="88" t="s">
        <v>427</v>
      </c>
      <c r="J163" s="140" t="s">
        <v>208</v>
      </c>
      <c r="K163" s="140" t="s">
        <v>426</v>
      </c>
      <c r="L163" s="140" t="s">
        <v>2</v>
      </c>
      <c r="M163" s="140" t="s">
        <v>1</v>
      </c>
      <c r="N163" s="88" t="s">
        <v>4</v>
      </c>
      <c r="O163" s="140" t="s">
        <v>3</v>
      </c>
      <c r="P163" s="647" t="s">
        <v>210</v>
      </c>
      <c r="Q163" s="11"/>
    </row>
    <row r="164">
      <c r="A164" s="11"/>
      <c r="B164" s="307"/>
      <c r="C164" s="307"/>
      <c r="F164" s="17"/>
      <c r="G164" s="648"/>
      <c r="H164" s="316" t="s">
        <v>204</v>
      </c>
      <c r="I164" s="311">
        <f>AVERAGE(I6:I21,I27:I41,I44:I53,I56:I65,I68:I77,I80:I89,I92:I101,I104:I113,I116:I125,I128:I137,I140:I149,I152:I161)</f>
        <v>2.717557252</v>
      </c>
      <c r="J164" s="311">
        <f>AVERAGE(J6:J21,J27:J41,J44:J53,J56:J65,J68:J77,J80:J89,J92:J101,J104:J113,J117:J125,J128:J137,J140:J149,J152:J161)</f>
        <v>2.384615385</v>
      </c>
      <c r="K164" s="311">
        <f t="shared" ref="K164:P164" si="1">AVERAGE(K6:K21,K27:K41,K44:K53,K56:K65,K68:K77,K80:K89,K92:K101,K104:K113,K116:K125,K128:K137,K140:K149,K152:K161)</f>
        <v>2.442748092</v>
      </c>
      <c r="L164" s="311">
        <f t="shared" si="1"/>
        <v>2.297709924</v>
      </c>
      <c r="M164" s="311">
        <f t="shared" si="1"/>
        <v>2.076335878</v>
      </c>
      <c r="N164" s="311">
        <f t="shared" si="1"/>
        <v>2.526717557</v>
      </c>
      <c r="O164" s="311">
        <f t="shared" si="1"/>
        <v>2.633587786</v>
      </c>
      <c r="P164" s="649">
        <f t="shared" si="1"/>
        <v>2.664122137</v>
      </c>
      <c r="Q164" s="11"/>
    </row>
    <row r="165">
      <c r="A165" s="11"/>
      <c r="B165" s="313"/>
      <c r="C165" s="313"/>
      <c r="F165" s="17"/>
      <c r="G165" s="314"/>
      <c r="H165" s="318"/>
      <c r="P165" s="17"/>
      <c r="Q165" s="11"/>
    </row>
    <row r="166">
      <c r="A166" s="11"/>
      <c r="B166" s="300"/>
      <c r="C166" s="301"/>
      <c r="F166" s="17"/>
      <c r="G166" s="316" t="s">
        <v>206</v>
      </c>
      <c r="P166" s="17"/>
      <c r="Q166" s="11"/>
    </row>
    <row r="167">
      <c r="A167" s="11"/>
      <c r="B167" s="322"/>
      <c r="C167" s="323"/>
      <c r="F167" s="17"/>
      <c r="G167" s="316">
        <v>1.0</v>
      </c>
      <c r="H167" s="475"/>
      <c r="I167" s="316">
        <f t="shared" ref="I167:P167" si="2">COUNTIF(I6:I161,$G$167)</f>
        <v>21</v>
      </c>
      <c r="J167" s="316">
        <f t="shared" si="2"/>
        <v>51</v>
      </c>
      <c r="K167" s="316">
        <f t="shared" si="2"/>
        <v>30</v>
      </c>
      <c r="L167" s="316">
        <f t="shared" si="2"/>
        <v>37</v>
      </c>
      <c r="M167" s="316">
        <f t="shared" si="2"/>
        <v>66</v>
      </c>
      <c r="N167" s="316">
        <f t="shared" si="2"/>
        <v>25</v>
      </c>
      <c r="O167" s="316">
        <f t="shared" si="2"/>
        <v>36</v>
      </c>
      <c r="P167" s="688">
        <f t="shared" si="2"/>
        <v>11</v>
      </c>
      <c r="Q167" s="11"/>
    </row>
    <row r="168">
      <c r="A168" s="11"/>
      <c r="B168" s="328"/>
      <c r="C168" s="323"/>
      <c r="F168" s="17"/>
      <c r="G168" s="316">
        <v>2.0</v>
      </c>
      <c r="H168" s="475"/>
      <c r="I168" s="316">
        <f t="shared" ref="I168:P168" si="3">COUNTIF(I7:I162,$G$168)</f>
        <v>46</v>
      </c>
      <c r="J168" s="316">
        <f t="shared" si="3"/>
        <v>23</v>
      </c>
      <c r="K168" s="316">
        <f t="shared" si="3"/>
        <v>52</v>
      </c>
      <c r="L168" s="316">
        <f t="shared" si="3"/>
        <v>54</v>
      </c>
      <c r="M168" s="316">
        <f t="shared" si="3"/>
        <v>24</v>
      </c>
      <c r="N168" s="316">
        <f t="shared" si="3"/>
        <v>41</v>
      </c>
      <c r="O168" s="316">
        <f t="shared" si="3"/>
        <v>29</v>
      </c>
      <c r="P168" s="688">
        <f t="shared" si="3"/>
        <v>59</v>
      </c>
      <c r="Q168" s="11"/>
    </row>
    <row r="169">
      <c r="A169" s="11"/>
      <c r="B169" s="328"/>
      <c r="C169" s="323"/>
      <c r="F169" s="17"/>
      <c r="G169" s="329">
        <v>3.0</v>
      </c>
      <c r="H169" s="478"/>
      <c r="I169" s="329">
        <f t="shared" ref="I169:P169" si="4">COUNTIF(I8:I163,$G$169)</f>
        <v>33</v>
      </c>
      <c r="J169" s="329">
        <f t="shared" si="4"/>
        <v>26</v>
      </c>
      <c r="K169" s="329">
        <f t="shared" si="4"/>
        <v>20</v>
      </c>
      <c r="L169" s="329">
        <f t="shared" si="4"/>
        <v>17</v>
      </c>
      <c r="M169" s="329">
        <f t="shared" si="4"/>
        <v>21</v>
      </c>
      <c r="N169" s="329">
        <f t="shared" si="4"/>
        <v>47</v>
      </c>
      <c r="O169" s="329">
        <f t="shared" si="4"/>
        <v>33</v>
      </c>
      <c r="P169" s="689">
        <f t="shared" si="4"/>
        <v>35</v>
      </c>
      <c r="Q169" s="11"/>
    </row>
    <row r="170">
      <c r="A170" s="11"/>
      <c r="B170" s="328"/>
      <c r="C170" s="323"/>
      <c r="F170" s="17"/>
      <c r="G170" s="316">
        <v>4.0</v>
      </c>
      <c r="H170" s="475"/>
      <c r="I170" s="316">
        <f t="shared" ref="I170:P170" si="5">COUNTIF(I9:I164,$G$170)</f>
        <v>19</v>
      </c>
      <c r="J170" s="316">
        <f t="shared" si="5"/>
        <v>28</v>
      </c>
      <c r="K170" s="316">
        <f t="shared" si="5"/>
        <v>31</v>
      </c>
      <c r="L170" s="316">
        <f t="shared" si="5"/>
        <v>24</v>
      </c>
      <c r="M170" s="316">
        <f t="shared" si="5"/>
        <v>18</v>
      </c>
      <c r="N170" s="316">
        <f t="shared" si="5"/>
        <v>19</v>
      </c>
      <c r="O170" s="316">
        <f t="shared" si="5"/>
        <v>26</v>
      </c>
      <c r="P170" s="688">
        <f t="shared" si="5"/>
        <v>27</v>
      </c>
      <c r="Q170" s="11"/>
    </row>
    <row r="171">
      <c r="A171" s="11"/>
      <c r="B171" s="328"/>
      <c r="C171" s="323"/>
      <c r="F171" s="17"/>
      <c r="G171" s="329">
        <v>5.0</v>
      </c>
      <c r="H171" s="478"/>
      <c r="I171" s="329">
        <f t="shared" ref="I171:P171" si="6">COUNTIF(I10:I165,$G$171)</f>
        <v>14</v>
      </c>
      <c r="J171" s="329">
        <f t="shared" si="6"/>
        <v>6</v>
      </c>
      <c r="K171" s="329">
        <f t="shared" si="6"/>
        <v>2</v>
      </c>
      <c r="L171" s="329">
        <f t="shared" si="6"/>
        <v>3</v>
      </c>
      <c r="M171" s="329">
        <f t="shared" si="6"/>
        <v>5</v>
      </c>
      <c r="N171" s="329">
        <f t="shared" si="6"/>
        <v>2</v>
      </c>
      <c r="O171" s="329">
        <f t="shared" si="6"/>
        <v>11</v>
      </c>
      <c r="P171" s="689">
        <f t="shared" si="6"/>
        <v>2</v>
      </c>
      <c r="Q171" s="11"/>
    </row>
    <row r="172">
      <c r="A172" s="286"/>
      <c r="B172" s="332"/>
      <c r="C172" s="333"/>
      <c r="D172" s="334"/>
      <c r="E172" s="334"/>
      <c r="F172" s="287"/>
      <c r="G172" s="291"/>
      <c r="H172" s="291"/>
      <c r="I172" s="291"/>
      <c r="J172" s="291"/>
      <c r="K172" s="291"/>
      <c r="L172" s="291"/>
      <c r="M172" s="291"/>
      <c r="N172" s="291"/>
      <c r="O172" s="291"/>
      <c r="P172" s="291"/>
      <c r="Q172" s="286"/>
    </row>
  </sheetData>
  <mergeCells count="68">
    <mergeCell ref="C42:H42"/>
    <mergeCell ref="B44:B46"/>
    <mergeCell ref="B62:B63"/>
    <mergeCell ref="B64:B65"/>
    <mergeCell ref="C66:H66"/>
    <mergeCell ref="B68:B70"/>
    <mergeCell ref="B71:B73"/>
    <mergeCell ref="B74:B75"/>
    <mergeCell ref="B76:B77"/>
    <mergeCell ref="C78:H78"/>
    <mergeCell ref="B80:B82"/>
    <mergeCell ref="B83:B85"/>
    <mergeCell ref="B86:B87"/>
    <mergeCell ref="B88:B89"/>
    <mergeCell ref="B124:B125"/>
    <mergeCell ref="C126:H126"/>
    <mergeCell ref="B107:B109"/>
    <mergeCell ref="B110:B111"/>
    <mergeCell ref="B112:B113"/>
    <mergeCell ref="C114:H114"/>
    <mergeCell ref="B116:B118"/>
    <mergeCell ref="B119:B121"/>
    <mergeCell ref="B122:B123"/>
    <mergeCell ref="O1:O3"/>
    <mergeCell ref="P1:P3"/>
    <mergeCell ref="Q1:Q172"/>
    <mergeCell ref="B2:H3"/>
    <mergeCell ref="C4:H4"/>
    <mergeCell ref="B6:B25"/>
    <mergeCell ref="B27:B29"/>
    <mergeCell ref="B32:B36"/>
    <mergeCell ref="B37:B41"/>
    <mergeCell ref="B47:B49"/>
    <mergeCell ref="B50:B51"/>
    <mergeCell ref="B52:B53"/>
    <mergeCell ref="C54:H54"/>
    <mergeCell ref="D163:F172"/>
    <mergeCell ref="H165:P166"/>
    <mergeCell ref="B56:B58"/>
    <mergeCell ref="B59:B61"/>
    <mergeCell ref="B95:B97"/>
    <mergeCell ref="B98:B99"/>
    <mergeCell ref="B100:B101"/>
    <mergeCell ref="C102:H102"/>
    <mergeCell ref="B104:B106"/>
    <mergeCell ref="C138:H138"/>
    <mergeCell ref="B140:B142"/>
    <mergeCell ref="A1:A172"/>
    <mergeCell ref="I1:I3"/>
    <mergeCell ref="J1:J3"/>
    <mergeCell ref="K1:K3"/>
    <mergeCell ref="L1:L3"/>
    <mergeCell ref="M1:M3"/>
    <mergeCell ref="N1:N3"/>
    <mergeCell ref="C90:H90"/>
    <mergeCell ref="B92:B94"/>
    <mergeCell ref="B128:B130"/>
    <mergeCell ref="B131:B133"/>
    <mergeCell ref="B134:B135"/>
    <mergeCell ref="B136:B137"/>
    <mergeCell ref="B143:B145"/>
    <mergeCell ref="B146:B147"/>
    <mergeCell ref="B148:B149"/>
    <mergeCell ref="C150:H150"/>
    <mergeCell ref="B152:B154"/>
    <mergeCell ref="B155:B157"/>
    <mergeCell ref="B158:B159"/>
    <mergeCell ref="B160:B161"/>
  </mergeCells>
  <conditionalFormatting sqref="I6:P25 I27:P41 I44:P53 I56:P65 I68:P77 I80:P89 I92:P101 I104:P113 I116:P125 I128:P137 I140:P149 I152:P161">
    <cfRule type="cellIs" dxfId="0" priority="1" operator="equal">
      <formula>1</formula>
    </cfRule>
  </conditionalFormatting>
  <conditionalFormatting sqref="I6:P25 I27:P41 I44:P53 I56:P65 I68:P77 I80:P89 I92:P101 I104:P113 I116:P125 I128:P137 I140:P149 I152:P161">
    <cfRule type="cellIs" dxfId="1" priority="2" operator="equal">
      <formula>2</formula>
    </cfRule>
  </conditionalFormatting>
  <conditionalFormatting sqref="I6:P25 I27:P41 I44:P53 I56:P65 I68:P77 I80:P89 I92:P101 I104:P113 I116:P125 I128:P137 I140:P149 I152:P161">
    <cfRule type="cellIs" dxfId="2" priority="3" operator="equal">
      <formula>5</formula>
    </cfRule>
  </conditionalFormatting>
  <conditionalFormatting sqref="I6:P25 I27:P41 I44:P53 I56:P65 I68:P77 I80:P89 I92:P101 I104:P113 I116:P125 I128:P137 I140:P149 I152:P161">
    <cfRule type="cellIs" dxfId="3" priority="4" operator="equal">
      <formula>3</formula>
    </cfRule>
  </conditionalFormatting>
  <conditionalFormatting sqref="I6:P25 I27:P41 I44:P53 I56:P65 I68:P77 I80:P89 I92:P101 I104:P113 I116:P125 I128:P137 I140:P149 I152:P161">
    <cfRule type="cellIs" dxfId="4" priority="5" operator="equal">
      <formula>4</formula>
    </cfRule>
  </conditionalFormatting>
  <conditionalFormatting sqref="A1:A13 Q1 B2:H2 A162 Q162:Q172 A165:A172">
    <cfRule type="notContainsBlanks" dxfId="5" priority="6">
      <formula>LEN(TRIM(A1))&gt;0</formula>
    </cfRule>
  </conditionalFormatting>
  <conditionalFormatting sqref="N156 N159">
    <cfRule type="notContainsBlanks" dxfId="5" priority="7">
      <formula>LEN(TRIM(N156))&gt;0</formula>
    </cfRule>
  </conditionalFormatting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4"/>
    <hyperlink r:id="rId37" ref="H45"/>
    <hyperlink r:id="rId38" ref="H46"/>
    <hyperlink r:id="rId39" ref="H47"/>
    <hyperlink r:id="rId40" ref="H48"/>
    <hyperlink r:id="rId41" ref="H49"/>
    <hyperlink r:id="rId42" ref="H50"/>
    <hyperlink r:id="rId43" ref="H51"/>
    <hyperlink r:id="rId44" ref="H52"/>
    <hyperlink r:id="rId45" ref="H53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  <hyperlink r:id="rId55" ref="H65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89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6"/>
    <hyperlink r:id="rId97" ref="H117"/>
    <hyperlink r:id="rId98" ref="H118"/>
    <hyperlink r:id="rId99" ref="H119"/>
    <hyperlink r:id="rId100" ref="H120"/>
    <hyperlink r:id="rId101" ref="H121"/>
    <hyperlink r:id="rId102" ref="H122"/>
    <hyperlink r:id="rId103" ref="H123"/>
    <hyperlink r:id="rId104" ref="H124"/>
    <hyperlink r:id="rId105" ref="H125"/>
    <hyperlink r:id="rId106" ref="H128"/>
    <hyperlink r:id="rId107" ref="H129"/>
    <hyperlink r:id="rId108" ref="H130"/>
    <hyperlink r:id="rId109" ref="H131"/>
    <hyperlink r:id="rId110" ref="H132"/>
    <hyperlink r:id="rId111" ref="H133"/>
    <hyperlink r:id="rId112" ref="H134"/>
    <hyperlink r:id="rId113" ref="H135"/>
    <hyperlink r:id="rId114" ref="H136"/>
    <hyperlink r:id="rId115" ref="H137"/>
    <hyperlink r:id="rId116" ref="H140"/>
    <hyperlink r:id="rId117" ref="H141"/>
    <hyperlink r:id="rId118" ref="H142"/>
    <hyperlink r:id="rId119" ref="H143"/>
    <hyperlink r:id="rId120" ref="H144"/>
    <hyperlink r:id="rId121" ref="H145"/>
    <hyperlink r:id="rId122" ref="H146"/>
    <hyperlink r:id="rId123" ref="H147"/>
    <hyperlink r:id="rId124" ref="H148"/>
    <hyperlink r:id="rId125" ref="H149"/>
    <hyperlink r:id="rId126" ref="H152"/>
    <hyperlink r:id="rId127" ref="H153"/>
    <hyperlink r:id="rId128" ref="H154"/>
    <hyperlink r:id="rId129" ref="H155"/>
    <hyperlink r:id="rId130" ref="H156"/>
    <hyperlink r:id="rId131" ref="H157"/>
    <hyperlink r:id="rId132" ref="H158"/>
    <hyperlink r:id="rId133" ref="H159"/>
    <hyperlink r:id="rId134" ref="H160"/>
    <hyperlink r:id="rId135" ref="H161"/>
  </hyperlinks>
  <drawing r:id="rId13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25.13"/>
    <col customWidth="1" min="4" max="4" width="6.63"/>
    <col customWidth="1" min="5" max="5" width="10.88"/>
    <col customWidth="1" min="6" max="8" width="6.38"/>
    <col customWidth="1" min="9" max="9" width="7.63"/>
    <col customWidth="1" min="10" max="10" width="0.75"/>
    <col customWidth="1" min="11" max="11" width="0.5"/>
    <col customWidth="1" min="12" max="14" width="0.38"/>
    <col customWidth="1" min="15" max="15" width="25.75"/>
    <col customWidth="1" min="16" max="16" width="46.88"/>
    <col customWidth="1" min="17" max="18" width="0.38"/>
  </cols>
  <sheetData>
    <row r="1">
      <c r="A1" s="332"/>
      <c r="B1" s="300"/>
      <c r="C1" s="690" t="s">
        <v>1151</v>
      </c>
      <c r="D1" s="691" t="s">
        <v>1152</v>
      </c>
      <c r="E1" s="595"/>
      <c r="F1" s="596"/>
      <c r="G1" s="597"/>
      <c r="H1" s="598"/>
      <c r="I1" s="599"/>
      <c r="J1" s="600" t="s">
        <v>427</v>
      </c>
      <c r="K1" s="601" t="s">
        <v>208</v>
      </c>
      <c r="L1" s="601" t="s">
        <v>426</v>
      </c>
      <c r="M1" s="601" t="s">
        <v>2</v>
      </c>
      <c r="N1" s="601" t="s">
        <v>1</v>
      </c>
      <c r="O1" s="600" t="s">
        <v>4</v>
      </c>
      <c r="P1" s="601" t="s">
        <v>3</v>
      </c>
      <c r="Q1" s="600" t="s">
        <v>210</v>
      </c>
      <c r="R1" s="332"/>
    </row>
    <row r="2">
      <c r="A2" s="332"/>
      <c r="B2" s="332"/>
      <c r="C2" s="332"/>
      <c r="D2" s="332"/>
      <c r="E2" s="332"/>
      <c r="F2" s="332"/>
      <c r="G2" s="332"/>
      <c r="H2" s="332"/>
      <c r="I2" s="332"/>
      <c r="J2" s="11"/>
      <c r="K2" s="11"/>
      <c r="L2" s="11"/>
      <c r="M2" s="11"/>
      <c r="N2" s="11"/>
      <c r="O2" s="11"/>
      <c r="P2" s="11"/>
      <c r="Q2" s="11"/>
      <c r="R2" s="692"/>
    </row>
    <row r="3" ht="11.25" customHeight="1">
      <c r="A3" s="332"/>
      <c r="B3" s="693"/>
      <c r="C3" s="692"/>
      <c r="D3" s="694"/>
      <c r="E3" s="695"/>
      <c r="F3" s="692"/>
      <c r="G3" s="696"/>
      <c r="H3" s="696"/>
      <c r="I3" s="693"/>
      <c r="J3" s="286"/>
      <c r="K3" s="286"/>
      <c r="L3" s="286"/>
      <c r="M3" s="286"/>
      <c r="N3" s="286"/>
      <c r="O3" s="286"/>
      <c r="P3" s="286"/>
      <c r="Q3" s="286"/>
      <c r="R3" s="697"/>
    </row>
    <row r="4">
      <c r="A4" s="332"/>
      <c r="B4" s="605"/>
      <c r="C4" s="122" t="s">
        <v>11</v>
      </c>
      <c r="D4" s="22"/>
      <c r="E4" s="22"/>
      <c r="F4" s="22"/>
      <c r="G4" s="22"/>
      <c r="H4" s="22"/>
      <c r="I4" s="23"/>
      <c r="J4" s="607"/>
      <c r="K4" s="607"/>
      <c r="L4" s="607"/>
      <c r="M4" s="607"/>
      <c r="N4" s="607"/>
      <c r="O4" s="607"/>
      <c r="P4" s="607"/>
      <c r="Q4" s="607"/>
      <c r="R4" s="698"/>
    </row>
    <row r="5">
      <c r="A5" s="332"/>
      <c r="B5" s="609"/>
      <c r="C5" s="136"/>
      <c r="D5" s="699"/>
      <c r="E5" s="525"/>
      <c r="F5" s="85"/>
      <c r="G5" s="85"/>
      <c r="H5" s="85"/>
      <c r="I5" s="700"/>
      <c r="J5" s="701" t="s">
        <v>427</v>
      </c>
      <c r="K5" s="702" t="s">
        <v>208</v>
      </c>
      <c r="L5" s="702" t="s">
        <v>426</v>
      </c>
      <c r="M5" s="702" t="s">
        <v>2</v>
      </c>
      <c r="N5" s="702" t="s">
        <v>1</v>
      </c>
      <c r="O5" s="702" t="s">
        <v>4</v>
      </c>
      <c r="P5" s="702" t="s">
        <v>3</v>
      </c>
      <c r="Q5" s="703" t="s">
        <v>210</v>
      </c>
      <c r="R5" s="704"/>
    </row>
    <row r="6">
      <c r="A6" s="332"/>
      <c r="B6" s="613">
        <v>1.0</v>
      </c>
      <c r="C6" s="705" t="s">
        <v>1153</v>
      </c>
      <c r="D6" s="706"/>
      <c r="E6" s="707" t="s">
        <v>22</v>
      </c>
      <c r="F6" s="185">
        <v>4.0</v>
      </c>
      <c r="G6" s="185">
        <v>4.0</v>
      </c>
      <c r="H6" s="185">
        <v>5.0</v>
      </c>
      <c r="I6" s="708" t="s">
        <v>714</v>
      </c>
      <c r="J6" s="709">
        <v>2.0</v>
      </c>
      <c r="K6" s="709">
        <v>1.0</v>
      </c>
      <c r="L6" s="709">
        <v>2.0</v>
      </c>
      <c r="M6" s="651">
        <v>1.0</v>
      </c>
      <c r="N6" s="651">
        <v>1.0</v>
      </c>
      <c r="O6" s="709">
        <v>2.0</v>
      </c>
      <c r="P6" s="651">
        <v>1.0</v>
      </c>
      <c r="Q6" s="709">
        <v>1.0</v>
      </c>
      <c r="R6" s="704"/>
    </row>
    <row r="7">
      <c r="A7" s="332"/>
      <c r="B7" s="353"/>
      <c r="C7" s="710" t="s">
        <v>1154</v>
      </c>
      <c r="D7" s="711"/>
      <c r="E7" s="712" t="s">
        <v>20</v>
      </c>
      <c r="F7" s="68">
        <v>6.0</v>
      </c>
      <c r="G7" s="68">
        <v>3.0</v>
      </c>
      <c r="H7" s="68">
        <v>6.0</v>
      </c>
      <c r="I7" s="713" t="s">
        <v>714</v>
      </c>
      <c r="J7" s="714">
        <v>3.0</v>
      </c>
      <c r="K7" s="714">
        <v>2.0</v>
      </c>
      <c r="L7" s="714">
        <v>2.0</v>
      </c>
      <c r="M7" s="651">
        <v>1.0</v>
      </c>
      <c r="N7" s="653">
        <v>3.0</v>
      </c>
      <c r="O7" s="714">
        <v>2.0</v>
      </c>
      <c r="P7" s="715">
        <v>2.0</v>
      </c>
      <c r="Q7" s="714">
        <v>2.0</v>
      </c>
      <c r="R7" s="704"/>
    </row>
    <row r="8">
      <c r="A8" s="332"/>
      <c r="B8" s="353"/>
      <c r="C8" s="710" t="s">
        <v>1155</v>
      </c>
      <c r="D8" s="711"/>
      <c r="E8" s="712"/>
      <c r="F8" s="68">
        <v>6.0</v>
      </c>
      <c r="G8" s="68">
        <v>6.0</v>
      </c>
      <c r="H8" s="68">
        <v>7.0</v>
      </c>
      <c r="I8" s="713" t="s">
        <v>714</v>
      </c>
      <c r="J8" s="714">
        <v>2.0</v>
      </c>
      <c r="K8" s="714">
        <v>3.0</v>
      </c>
      <c r="L8" s="714">
        <v>3.0</v>
      </c>
      <c r="M8" s="653">
        <v>3.0</v>
      </c>
      <c r="N8" s="654">
        <v>5.0</v>
      </c>
      <c r="O8" s="714">
        <v>2.0</v>
      </c>
      <c r="P8" s="715">
        <v>2.0</v>
      </c>
      <c r="Q8" s="714">
        <v>4.0</v>
      </c>
      <c r="R8" s="704"/>
    </row>
    <row r="9">
      <c r="A9" s="332"/>
      <c r="B9" s="353"/>
      <c r="C9" s="710" t="s">
        <v>1156</v>
      </c>
      <c r="D9" s="711"/>
      <c r="E9" s="712"/>
      <c r="F9" s="68">
        <v>6.0</v>
      </c>
      <c r="G9" s="68">
        <v>7.0</v>
      </c>
      <c r="H9" s="68">
        <v>5.0</v>
      </c>
      <c r="I9" s="713" t="s">
        <v>714</v>
      </c>
      <c r="J9" s="714">
        <v>1.0</v>
      </c>
      <c r="K9" s="714">
        <v>1.0</v>
      </c>
      <c r="L9" s="714">
        <v>1.0</v>
      </c>
      <c r="M9" s="651">
        <v>1.0</v>
      </c>
      <c r="N9" s="651">
        <v>1.0</v>
      </c>
      <c r="O9" s="714">
        <v>1.0</v>
      </c>
      <c r="P9" s="651">
        <v>1.0</v>
      </c>
      <c r="Q9" s="714">
        <v>1.0</v>
      </c>
      <c r="R9" s="704"/>
    </row>
    <row r="10">
      <c r="A10" s="332"/>
      <c r="B10" s="353"/>
      <c r="C10" s="710" t="s">
        <v>1157</v>
      </c>
      <c r="D10" s="711"/>
      <c r="E10" s="712"/>
      <c r="F10" s="68">
        <v>2.0</v>
      </c>
      <c r="G10" s="68">
        <v>2.0</v>
      </c>
      <c r="H10" s="68">
        <v>3.0</v>
      </c>
      <c r="I10" s="713" t="s">
        <v>714</v>
      </c>
      <c r="J10" s="714">
        <v>4.0</v>
      </c>
      <c r="K10" s="714">
        <v>3.0</v>
      </c>
      <c r="L10" s="714">
        <v>3.0</v>
      </c>
      <c r="M10" s="653">
        <v>3.0</v>
      </c>
      <c r="N10" s="653">
        <v>3.0</v>
      </c>
      <c r="O10" s="714">
        <v>2.0</v>
      </c>
      <c r="P10" s="652">
        <v>4.0</v>
      </c>
      <c r="Q10" s="714">
        <v>3.0</v>
      </c>
      <c r="R10" s="704"/>
    </row>
    <row r="11">
      <c r="A11" s="332"/>
      <c r="B11" s="353"/>
      <c r="C11" s="710" t="s">
        <v>1158</v>
      </c>
      <c r="D11" s="711"/>
      <c r="E11" s="712"/>
      <c r="F11" s="68">
        <v>3.0</v>
      </c>
      <c r="G11" s="68">
        <v>4.0</v>
      </c>
      <c r="H11" s="68">
        <v>4.0</v>
      </c>
      <c r="I11" s="713" t="s">
        <v>714</v>
      </c>
      <c r="J11" s="714">
        <v>2.0</v>
      </c>
      <c r="K11" s="714">
        <v>1.0</v>
      </c>
      <c r="L11" s="714">
        <v>1.0</v>
      </c>
      <c r="M11" s="650">
        <v>2.0</v>
      </c>
      <c r="N11" s="650">
        <v>2.0</v>
      </c>
      <c r="O11" s="714">
        <v>1.0</v>
      </c>
      <c r="P11" s="650">
        <v>2.0</v>
      </c>
      <c r="Q11" s="714">
        <v>2.0</v>
      </c>
      <c r="R11" s="704"/>
    </row>
    <row r="12">
      <c r="A12" s="332"/>
      <c r="B12" s="353"/>
      <c r="C12" s="710" t="s">
        <v>1159</v>
      </c>
      <c r="D12" s="711"/>
      <c r="E12" s="712"/>
      <c r="F12" s="68">
        <v>1.0</v>
      </c>
      <c r="G12" s="68">
        <v>2.0</v>
      </c>
      <c r="H12" s="68">
        <v>2.0</v>
      </c>
      <c r="I12" s="713" t="s">
        <v>714</v>
      </c>
      <c r="J12" s="714">
        <v>1.0</v>
      </c>
      <c r="K12" s="714">
        <v>1.0</v>
      </c>
      <c r="L12" s="714">
        <v>1.0</v>
      </c>
      <c r="M12" s="651">
        <v>1.0</v>
      </c>
      <c r="N12" s="651">
        <v>1.0</v>
      </c>
      <c r="O12" s="714">
        <v>3.0</v>
      </c>
      <c r="P12" s="651">
        <v>1.0</v>
      </c>
      <c r="Q12" s="714">
        <v>1.0</v>
      </c>
      <c r="R12" s="704"/>
    </row>
    <row r="13">
      <c r="A13" s="332"/>
      <c r="B13" s="353"/>
      <c r="C13" s="710" t="s">
        <v>1160</v>
      </c>
      <c r="D13" s="711"/>
      <c r="E13" s="712"/>
      <c r="F13" s="68">
        <v>2.0</v>
      </c>
      <c r="G13" s="68">
        <v>3.0</v>
      </c>
      <c r="H13" s="68">
        <v>2.0</v>
      </c>
      <c r="I13" s="713" t="s">
        <v>714</v>
      </c>
      <c r="J13" s="714">
        <v>1.0</v>
      </c>
      <c r="K13" s="714">
        <v>1.0</v>
      </c>
      <c r="L13" s="714">
        <v>1.0</v>
      </c>
      <c r="M13" s="651">
        <v>1.0</v>
      </c>
      <c r="N13" s="651">
        <v>1.0</v>
      </c>
      <c r="O13" s="714">
        <v>1.0</v>
      </c>
      <c r="P13" s="651">
        <v>1.0</v>
      </c>
      <c r="Q13" s="714">
        <v>1.0</v>
      </c>
      <c r="R13" s="704"/>
    </row>
    <row r="14">
      <c r="A14" s="332"/>
      <c r="B14" s="353"/>
      <c r="C14" s="710" t="s">
        <v>1161</v>
      </c>
      <c r="D14" s="711"/>
      <c r="E14" s="712" t="s">
        <v>51</v>
      </c>
      <c r="F14" s="68">
        <v>2.0</v>
      </c>
      <c r="G14" s="68">
        <v>3.0</v>
      </c>
      <c r="H14" s="68">
        <v>2.0</v>
      </c>
      <c r="I14" s="713" t="s">
        <v>714</v>
      </c>
      <c r="J14" s="714">
        <v>2.0</v>
      </c>
      <c r="K14" s="714">
        <v>1.0</v>
      </c>
      <c r="L14" s="714">
        <v>1.0</v>
      </c>
      <c r="M14" s="650">
        <v>2.0</v>
      </c>
      <c r="N14" s="651">
        <v>1.0</v>
      </c>
      <c r="O14" s="714">
        <v>1.0</v>
      </c>
      <c r="P14" s="651">
        <v>1.0</v>
      </c>
      <c r="Q14" s="714">
        <v>2.0</v>
      </c>
      <c r="R14" s="704"/>
    </row>
    <row r="15">
      <c r="A15" s="332"/>
      <c r="B15" s="353"/>
      <c r="C15" s="710" t="s">
        <v>1162</v>
      </c>
      <c r="D15" s="711"/>
      <c r="E15" s="712" t="s">
        <v>116</v>
      </c>
      <c r="F15" s="68">
        <v>5.0</v>
      </c>
      <c r="G15" s="68">
        <v>1.0</v>
      </c>
      <c r="H15" s="68">
        <v>2.0</v>
      </c>
      <c r="I15" s="713" t="s">
        <v>714</v>
      </c>
      <c r="J15" s="714">
        <v>1.0</v>
      </c>
      <c r="K15" s="714">
        <v>1.0</v>
      </c>
      <c r="L15" s="714">
        <v>1.0</v>
      </c>
      <c r="M15" s="651">
        <v>1.0</v>
      </c>
      <c r="N15" s="651">
        <v>1.0</v>
      </c>
      <c r="O15" s="714">
        <v>1.0</v>
      </c>
      <c r="P15" s="651">
        <v>1.0</v>
      </c>
      <c r="Q15" s="714">
        <v>2.0</v>
      </c>
      <c r="R15" s="716"/>
    </row>
    <row r="16">
      <c r="A16" s="704"/>
      <c r="B16" s="353"/>
      <c r="C16" s="710" t="s">
        <v>1163</v>
      </c>
      <c r="D16" s="711"/>
      <c r="E16" s="712"/>
      <c r="F16" s="68">
        <v>3.0</v>
      </c>
      <c r="G16" s="68">
        <v>2.0</v>
      </c>
      <c r="H16" s="68">
        <v>2.0</v>
      </c>
      <c r="I16" s="713" t="s">
        <v>714</v>
      </c>
      <c r="J16" s="714">
        <v>1.0</v>
      </c>
      <c r="K16" s="714">
        <v>1.0</v>
      </c>
      <c r="L16" s="714">
        <v>1.0</v>
      </c>
      <c r="M16" s="650">
        <v>2.0</v>
      </c>
      <c r="N16" s="651">
        <v>1.0</v>
      </c>
      <c r="O16" s="714">
        <v>1.0</v>
      </c>
      <c r="P16" s="651">
        <v>1.0</v>
      </c>
      <c r="Q16" s="714">
        <v>1.0</v>
      </c>
      <c r="R16" s="704"/>
    </row>
    <row r="17">
      <c r="A17" s="716"/>
      <c r="B17" s="353"/>
      <c r="C17" s="717" t="s">
        <v>1164</v>
      </c>
      <c r="D17" s="718"/>
      <c r="E17" s="718"/>
      <c r="F17" s="503">
        <v>2.0</v>
      </c>
      <c r="G17" s="503">
        <v>1.0</v>
      </c>
      <c r="H17" s="503">
        <v>2.0</v>
      </c>
      <c r="I17" s="719" t="s">
        <v>714</v>
      </c>
      <c r="J17" s="714">
        <v>2.0</v>
      </c>
      <c r="K17" s="714">
        <v>1.0</v>
      </c>
      <c r="L17" s="714">
        <v>2.0</v>
      </c>
      <c r="M17" s="650">
        <v>2.0</v>
      </c>
      <c r="N17" s="653">
        <v>3.0</v>
      </c>
      <c r="O17" s="714">
        <v>1.0</v>
      </c>
      <c r="P17" s="652">
        <v>4.0</v>
      </c>
      <c r="Q17" s="714">
        <v>3.0</v>
      </c>
      <c r="R17" s="716"/>
    </row>
    <row r="18">
      <c r="A18" s="704"/>
      <c r="B18" s="353"/>
      <c r="C18" s="720" t="s">
        <v>1165</v>
      </c>
      <c r="D18" s="721"/>
      <c r="E18" s="721"/>
      <c r="F18" s="508">
        <v>2.0</v>
      </c>
      <c r="G18" s="508">
        <v>4.0</v>
      </c>
      <c r="H18" s="508">
        <v>3.0</v>
      </c>
      <c r="I18" s="722" t="s">
        <v>714</v>
      </c>
      <c r="J18" s="714">
        <v>2.0</v>
      </c>
      <c r="K18" s="714">
        <v>1.0</v>
      </c>
      <c r="L18" s="714">
        <v>1.0</v>
      </c>
      <c r="M18" s="650">
        <v>2.0</v>
      </c>
      <c r="N18" s="651">
        <v>1.0</v>
      </c>
      <c r="O18" s="714">
        <v>2.0</v>
      </c>
      <c r="P18" s="651">
        <v>1.0</v>
      </c>
      <c r="Q18" s="714">
        <v>2.0</v>
      </c>
      <c r="R18" s="704"/>
    </row>
    <row r="19">
      <c r="A19" s="704"/>
      <c r="B19" s="353"/>
      <c r="C19" s="720" t="s">
        <v>1166</v>
      </c>
      <c r="D19" s="721"/>
      <c r="E19" s="712" t="s">
        <v>20</v>
      </c>
      <c r="F19" s="508">
        <v>3.0</v>
      </c>
      <c r="G19" s="508">
        <v>2.0</v>
      </c>
      <c r="H19" s="508">
        <v>3.0</v>
      </c>
      <c r="I19" s="723" t="s">
        <v>714</v>
      </c>
      <c r="J19" s="714">
        <v>2.0</v>
      </c>
      <c r="K19" s="714">
        <v>4.0</v>
      </c>
      <c r="L19" s="714">
        <v>2.0</v>
      </c>
      <c r="M19" s="651">
        <v>1.0</v>
      </c>
      <c r="N19" s="650">
        <v>2.0</v>
      </c>
      <c r="O19" s="714">
        <v>2.0</v>
      </c>
      <c r="P19" s="650">
        <v>2.0</v>
      </c>
      <c r="Q19" s="714">
        <v>2.0</v>
      </c>
      <c r="R19" s="704"/>
    </row>
    <row r="20">
      <c r="A20" s="704"/>
      <c r="B20" s="353"/>
      <c r="C20" s="720" t="s">
        <v>1167</v>
      </c>
      <c r="D20" s="721"/>
      <c r="E20" s="721"/>
      <c r="F20" s="508">
        <v>0.0</v>
      </c>
      <c r="G20" s="508">
        <v>5.0</v>
      </c>
      <c r="H20" s="508">
        <v>3.0</v>
      </c>
      <c r="I20" s="722" t="s">
        <v>714</v>
      </c>
      <c r="J20" s="714">
        <v>1.0</v>
      </c>
      <c r="K20" s="714">
        <v>1.0</v>
      </c>
      <c r="L20" s="714">
        <v>1.0</v>
      </c>
      <c r="M20" s="651">
        <v>1.0</v>
      </c>
      <c r="N20" s="651">
        <v>1.0</v>
      </c>
      <c r="O20" s="714">
        <v>1.0</v>
      </c>
      <c r="P20" s="651">
        <v>1.0</v>
      </c>
      <c r="Q20" s="714">
        <v>2.0</v>
      </c>
      <c r="R20" s="704"/>
    </row>
    <row r="21">
      <c r="A21" s="704"/>
      <c r="B21" s="353"/>
      <c r="C21" s="710" t="s">
        <v>1168</v>
      </c>
      <c r="D21" s="711"/>
      <c r="E21" s="712" t="s">
        <v>455</v>
      </c>
      <c r="F21" s="68">
        <v>3.0</v>
      </c>
      <c r="G21" s="68">
        <v>2.0</v>
      </c>
      <c r="H21" s="68">
        <v>3.0</v>
      </c>
      <c r="I21" s="713" t="s">
        <v>714</v>
      </c>
      <c r="J21" s="714">
        <v>2.0</v>
      </c>
      <c r="K21" s="714">
        <v>2.0</v>
      </c>
      <c r="L21" s="714">
        <v>2.0</v>
      </c>
      <c r="M21" s="650">
        <v>2.0</v>
      </c>
      <c r="N21" s="650">
        <v>2.0</v>
      </c>
      <c r="O21" s="714">
        <v>2.0</v>
      </c>
      <c r="P21" s="652">
        <v>4.0</v>
      </c>
      <c r="Q21" s="714">
        <v>2.0</v>
      </c>
      <c r="R21" s="704"/>
    </row>
    <row r="22">
      <c r="A22" s="704"/>
      <c r="B22" s="353"/>
      <c r="C22" s="710" t="s">
        <v>1169</v>
      </c>
      <c r="D22" s="711"/>
      <c r="E22" s="712" t="s">
        <v>62</v>
      </c>
      <c r="F22" s="68">
        <v>4.0</v>
      </c>
      <c r="G22" s="68">
        <v>5.0</v>
      </c>
      <c r="H22" s="68">
        <v>4.0</v>
      </c>
      <c r="I22" s="713" t="s">
        <v>714</v>
      </c>
      <c r="J22" s="714">
        <v>4.0</v>
      </c>
      <c r="K22" s="714">
        <v>3.0</v>
      </c>
      <c r="L22" s="714">
        <v>4.0</v>
      </c>
      <c r="M22" s="653">
        <v>3.0</v>
      </c>
      <c r="N22" s="653">
        <v>3.0</v>
      </c>
      <c r="O22" s="714">
        <v>4.0</v>
      </c>
      <c r="P22" s="651">
        <v>1.0</v>
      </c>
      <c r="Q22" s="714">
        <v>3.0</v>
      </c>
      <c r="R22" s="704"/>
    </row>
    <row r="23">
      <c r="A23" s="704"/>
      <c r="B23" s="353"/>
      <c r="C23" s="710" t="s">
        <v>1170</v>
      </c>
      <c r="D23" s="711"/>
      <c r="E23" s="712"/>
      <c r="F23" s="68">
        <v>3.0</v>
      </c>
      <c r="G23" s="68">
        <v>4.0</v>
      </c>
      <c r="H23" s="68">
        <v>4.0</v>
      </c>
      <c r="I23" s="713" t="s">
        <v>714</v>
      </c>
      <c r="J23" s="714">
        <v>2.0</v>
      </c>
      <c r="K23" s="714">
        <v>1.0</v>
      </c>
      <c r="L23" s="714">
        <v>2.0</v>
      </c>
      <c r="M23" s="650">
        <v>2.0</v>
      </c>
      <c r="N23" s="651">
        <v>1.0</v>
      </c>
      <c r="O23" s="714">
        <v>2.0</v>
      </c>
      <c r="P23" s="651">
        <v>1.0</v>
      </c>
      <c r="Q23" s="714">
        <v>1.0</v>
      </c>
      <c r="R23" s="704"/>
    </row>
    <row r="24">
      <c r="A24" s="704"/>
      <c r="B24" s="355"/>
      <c r="C24" s="665" t="s">
        <v>1171</v>
      </c>
      <c r="D24" s="724"/>
      <c r="E24" s="725" t="s">
        <v>116</v>
      </c>
      <c r="F24" s="582">
        <v>3.0</v>
      </c>
      <c r="G24" s="582">
        <v>5.0</v>
      </c>
      <c r="H24" s="582">
        <v>4.0</v>
      </c>
      <c r="I24" s="726" t="s">
        <v>714</v>
      </c>
      <c r="J24" s="727">
        <v>1.0</v>
      </c>
      <c r="K24" s="727">
        <v>1.0</v>
      </c>
      <c r="L24" s="727">
        <v>1.0</v>
      </c>
      <c r="M24" s="651">
        <v>1.0</v>
      </c>
      <c r="N24" s="651">
        <v>1.0</v>
      </c>
      <c r="O24" s="727">
        <v>1.0</v>
      </c>
      <c r="P24" s="651">
        <v>1.0</v>
      </c>
      <c r="Q24" s="727">
        <v>1.0</v>
      </c>
      <c r="R24" s="704"/>
    </row>
    <row r="25">
      <c r="A25" s="716"/>
      <c r="B25" s="609"/>
      <c r="C25" s="136"/>
      <c r="D25" s="699"/>
      <c r="E25" s="525"/>
      <c r="F25" s="85"/>
      <c r="G25" s="85"/>
      <c r="H25" s="85"/>
      <c r="I25" s="700"/>
      <c r="J25" s="701" t="s">
        <v>427</v>
      </c>
      <c r="K25" s="702" t="s">
        <v>208</v>
      </c>
      <c r="L25" s="702" t="s">
        <v>426</v>
      </c>
      <c r="M25" s="702" t="s">
        <v>2</v>
      </c>
      <c r="N25" s="702" t="s">
        <v>1</v>
      </c>
      <c r="O25" s="702" t="s">
        <v>4</v>
      </c>
      <c r="P25" s="728" t="s">
        <v>3</v>
      </c>
      <c r="Q25" s="703" t="s">
        <v>210</v>
      </c>
      <c r="R25" s="716"/>
    </row>
    <row r="26">
      <c r="A26" s="704"/>
      <c r="B26" s="623" t="s">
        <v>734</v>
      </c>
      <c r="C26" s="705" t="s">
        <v>1172</v>
      </c>
      <c r="D26" s="706"/>
      <c r="E26" s="707"/>
      <c r="F26" s="185">
        <v>4.0</v>
      </c>
      <c r="G26" s="185">
        <v>4.0</v>
      </c>
      <c r="H26" s="185">
        <v>3.0</v>
      </c>
      <c r="I26" s="708" t="s">
        <v>714</v>
      </c>
      <c r="J26" s="709">
        <v>1.0</v>
      </c>
      <c r="K26" s="709">
        <v>1.0</v>
      </c>
      <c r="L26" s="709">
        <v>1.0</v>
      </c>
      <c r="M26" s="653">
        <v>3.0</v>
      </c>
      <c r="N26" s="653">
        <v>3.0</v>
      </c>
      <c r="O26" s="709">
        <v>1.0</v>
      </c>
      <c r="P26" s="650">
        <v>2.0</v>
      </c>
      <c r="Q26" s="709">
        <v>2.0</v>
      </c>
      <c r="R26" s="704"/>
    </row>
    <row r="27">
      <c r="A27" s="704"/>
      <c r="B27" s="353"/>
      <c r="C27" s="710" t="s">
        <v>1173</v>
      </c>
      <c r="D27" s="711"/>
      <c r="E27" s="712"/>
      <c r="F27" s="68">
        <v>3.0</v>
      </c>
      <c r="G27" s="68">
        <v>2.0</v>
      </c>
      <c r="H27" s="68">
        <v>5.0</v>
      </c>
      <c r="I27" s="713" t="s">
        <v>714</v>
      </c>
      <c r="J27" s="714">
        <v>1.0</v>
      </c>
      <c r="K27" s="714">
        <v>1.0</v>
      </c>
      <c r="L27" s="714">
        <v>1.0</v>
      </c>
      <c r="M27" s="651">
        <v>1.0</v>
      </c>
      <c r="N27" s="651">
        <v>1.0</v>
      </c>
      <c r="O27" s="714">
        <v>1.0</v>
      </c>
      <c r="P27" s="651">
        <v>1.0</v>
      </c>
      <c r="Q27" s="714">
        <v>1.0</v>
      </c>
      <c r="R27" s="704"/>
    </row>
    <row r="28">
      <c r="A28" s="716"/>
      <c r="B28" s="624"/>
      <c r="C28" s="729" t="s">
        <v>1174</v>
      </c>
      <c r="D28" s="730"/>
      <c r="E28" s="731"/>
      <c r="F28" s="557">
        <v>1.0</v>
      </c>
      <c r="G28" s="557">
        <v>3.0</v>
      </c>
      <c r="H28" s="557">
        <v>1.0</v>
      </c>
      <c r="I28" s="732" t="s">
        <v>714</v>
      </c>
      <c r="J28" s="714">
        <v>2.0</v>
      </c>
      <c r="K28" s="714">
        <v>1.0</v>
      </c>
      <c r="L28" s="714">
        <v>2.0</v>
      </c>
      <c r="M28" s="650">
        <v>2.0</v>
      </c>
      <c r="N28" s="651">
        <v>1.0</v>
      </c>
      <c r="O28" s="714">
        <v>1.0</v>
      </c>
      <c r="P28" s="650">
        <v>2.0</v>
      </c>
      <c r="Q28" s="714">
        <v>2.0</v>
      </c>
      <c r="R28" s="716"/>
    </row>
    <row r="29">
      <c r="A29" s="704"/>
      <c r="B29" s="626" t="s">
        <v>740</v>
      </c>
      <c r="C29" s="733" t="s">
        <v>1175</v>
      </c>
      <c r="D29" s="711"/>
      <c r="E29" s="712"/>
      <c r="F29" s="68">
        <v>4.0</v>
      </c>
      <c r="G29" s="68">
        <v>4.0</v>
      </c>
      <c r="H29" s="68">
        <v>9.0</v>
      </c>
      <c r="I29" s="713" t="s">
        <v>714</v>
      </c>
      <c r="J29" s="714">
        <v>1.0</v>
      </c>
      <c r="K29" s="714">
        <v>4.0</v>
      </c>
      <c r="L29" s="714">
        <v>3.0</v>
      </c>
      <c r="M29" s="653">
        <v>3.0</v>
      </c>
      <c r="N29" s="652">
        <v>4.0</v>
      </c>
      <c r="O29" s="714">
        <v>3.0</v>
      </c>
      <c r="P29" s="651">
        <v>1.0</v>
      </c>
      <c r="Q29" s="714">
        <v>3.0</v>
      </c>
      <c r="R29" s="704"/>
    </row>
    <row r="30">
      <c r="A30" s="704"/>
      <c r="B30" s="353"/>
      <c r="C30" s="733" t="s">
        <v>1176</v>
      </c>
      <c r="D30" s="711"/>
      <c r="E30" s="712" t="s">
        <v>1177</v>
      </c>
      <c r="F30" s="68">
        <v>1.0</v>
      </c>
      <c r="G30" s="68">
        <v>1.0</v>
      </c>
      <c r="H30" s="68">
        <v>10.0</v>
      </c>
      <c r="I30" s="713" t="s">
        <v>714</v>
      </c>
      <c r="J30" s="714">
        <v>1.0</v>
      </c>
      <c r="K30" s="714">
        <v>1.0</v>
      </c>
      <c r="L30" s="714">
        <v>1.0</v>
      </c>
      <c r="M30" s="651">
        <v>1.0</v>
      </c>
      <c r="N30" s="651">
        <v>1.0</v>
      </c>
      <c r="O30" s="714">
        <v>1.0</v>
      </c>
      <c r="P30" s="651">
        <v>1.0</v>
      </c>
      <c r="Q30" s="714">
        <v>1.0</v>
      </c>
      <c r="R30" s="704"/>
    </row>
    <row r="31">
      <c r="A31" s="704"/>
      <c r="B31" s="734"/>
      <c r="C31" s="735" t="s">
        <v>1178</v>
      </c>
      <c r="D31" s="730"/>
      <c r="E31" s="731"/>
      <c r="F31" s="557">
        <v>2.0</v>
      </c>
      <c r="G31" s="557">
        <v>2.0</v>
      </c>
      <c r="H31" s="557">
        <v>2.0</v>
      </c>
      <c r="I31" s="732" t="s">
        <v>714</v>
      </c>
      <c r="J31" s="714">
        <v>1.0</v>
      </c>
      <c r="K31" s="714">
        <v>1.0</v>
      </c>
      <c r="L31" s="714">
        <v>1.0</v>
      </c>
      <c r="M31" s="651">
        <v>1.0</v>
      </c>
      <c r="N31" s="656">
        <v>2.0</v>
      </c>
      <c r="O31" s="714">
        <v>1.0</v>
      </c>
      <c r="P31" s="651">
        <v>1.0</v>
      </c>
      <c r="Q31" s="714">
        <v>1.0</v>
      </c>
      <c r="R31" s="704"/>
    </row>
    <row r="32">
      <c r="A32" s="704"/>
      <c r="B32" s="628" t="s">
        <v>1179</v>
      </c>
      <c r="C32" s="733" t="s">
        <v>1180</v>
      </c>
      <c r="D32" s="711"/>
      <c r="E32" s="712"/>
      <c r="F32" s="68">
        <v>7.0</v>
      </c>
      <c r="G32" s="68">
        <v>5.0</v>
      </c>
      <c r="H32" s="68">
        <v>10.0</v>
      </c>
      <c r="I32" s="713" t="s">
        <v>714</v>
      </c>
      <c r="J32" s="714">
        <v>5.0</v>
      </c>
      <c r="K32" s="714">
        <v>5.0</v>
      </c>
      <c r="L32" s="714">
        <v>5.0</v>
      </c>
      <c r="M32" s="736">
        <v>0.0</v>
      </c>
      <c r="N32" s="654">
        <v>5.0</v>
      </c>
      <c r="O32" s="714">
        <v>5.0</v>
      </c>
      <c r="P32" s="652">
        <v>4.0</v>
      </c>
      <c r="Q32" s="714">
        <v>4.0</v>
      </c>
      <c r="R32" s="704"/>
    </row>
    <row r="33">
      <c r="A33" s="704"/>
      <c r="B33" s="353"/>
      <c r="C33" s="733" t="s">
        <v>1181</v>
      </c>
      <c r="D33" s="711"/>
      <c r="E33" s="712"/>
      <c r="F33" s="68">
        <v>10.0</v>
      </c>
      <c r="G33" s="68">
        <v>10.0</v>
      </c>
      <c r="H33" s="68">
        <v>10.0</v>
      </c>
      <c r="I33" s="713" t="s">
        <v>714</v>
      </c>
      <c r="J33" s="714">
        <v>3.0</v>
      </c>
      <c r="K33" s="714">
        <v>4.0</v>
      </c>
      <c r="L33" s="714">
        <v>4.0</v>
      </c>
      <c r="M33" s="650">
        <v>2.0</v>
      </c>
      <c r="N33" s="652">
        <v>4.0</v>
      </c>
      <c r="O33" s="714">
        <v>4.0</v>
      </c>
      <c r="P33" s="651">
        <v>1.0</v>
      </c>
      <c r="Q33" s="714">
        <v>2.0</v>
      </c>
      <c r="R33" s="704"/>
    </row>
    <row r="34">
      <c r="A34" s="704"/>
      <c r="B34" s="353"/>
      <c r="C34" s="733" t="s">
        <v>1182</v>
      </c>
      <c r="D34" s="711"/>
      <c r="E34" s="712"/>
      <c r="F34" s="68">
        <v>4.0</v>
      </c>
      <c r="G34" s="68">
        <v>4.0</v>
      </c>
      <c r="H34" s="68">
        <v>7.0</v>
      </c>
      <c r="I34" s="713" t="s">
        <v>714</v>
      </c>
      <c r="J34" s="714">
        <v>2.0</v>
      </c>
      <c r="K34" s="714">
        <v>2.0</v>
      </c>
      <c r="L34" s="714">
        <v>2.0</v>
      </c>
      <c r="M34" s="650">
        <v>2.0</v>
      </c>
      <c r="N34" s="650">
        <v>2.0</v>
      </c>
      <c r="O34" s="714">
        <v>2.0</v>
      </c>
      <c r="P34" s="650">
        <v>2.0</v>
      </c>
      <c r="Q34" s="714">
        <v>2.0</v>
      </c>
      <c r="R34" s="704"/>
    </row>
    <row r="35">
      <c r="A35" s="704"/>
      <c r="B35" s="353"/>
      <c r="C35" s="733" t="s">
        <v>1183</v>
      </c>
      <c r="D35" s="711"/>
      <c r="E35" s="712"/>
      <c r="F35" s="68">
        <v>5.0</v>
      </c>
      <c r="G35" s="68">
        <v>7.0</v>
      </c>
      <c r="H35" s="68">
        <v>10.0</v>
      </c>
      <c r="I35" s="713" t="s">
        <v>714</v>
      </c>
      <c r="J35" s="714">
        <v>4.0</v>
      </c>
      <c r="K35" s="714">
        <v>3.0</v>
      </c>
      <c r="L35" s="714">
        <v>4.0</v>
      </c>
      <c r="M35" s="650">
        <v>2.0</v>
      </c>
      <c r="N35" s="653">
        <v>3.0</v>
      </c>
      <c r="O35" s="714">
        <v>4.0</v>
      </c>
      <c r="P35" s="652">
        <v>4.0</v>
      </c>
      <c r="Q35" s="714">
        <v>4.0</v>
      </c>
      <c r="R35" s="704"/>
    </row>
    <row r="36">
      <c r="A36" s="704"/>
      <c r="B36" s="355"/>
      <c r="C36" s="733" t="s">
        <v>1184</v>
      </c>
      <c r="D36" s="711"/>
      <c r="E36" s="712"/>
      <c r="F36" s="68">
        <v>6.0</v>
      </c>
      <c r="G36" s="68">
        <v>6.0</v>
      </c>
      <c r="H36" s="68">
        <v>10.0</v>
      </c>
      <c r="I36" s="713" t="s">
        <v>714</v>
      </c>
      <c r="J36" s="714">
        <v>4.0</v>
      </c>
      <c r="K36" s="714">
        <v>2.0</v>
      </c>
      <c r="L36" s="714">
        <v>3.0</v>
      </c>
      <c r="M36" s="650">
        <v>2.0</v>
      </c>
      <c r="N36" s="651">
        <v>1.0</v>
      </c>
      <c r="O36" s="714">
        <v>1.0</v>
      </c>
      <c r="P36" s="715">
        <v>2.0</v>
      </c>
      <c r="Q36" s="714">
        <v>2.0</v>
      </c>
      <c r="R36" s="704"/>
    </row>
    <row r="37">
      <c r="A37" s="704"/>
      <c r="B37" s="605"/>
      <c r="C37" s="195" t="s">
        <v>83</v>
      </c>
      <c r="D37" s="82"/>
      <c r="E37" s="82"/>
      <c r="F37" s="82"/>
      <c r="G37" s="82"/>
      <c r="H37" s="82"/>
      <c r="I37" s="96"/>
      <c r="J37" s="128"/>
      <c r="K37" s="128"/>
      <c r="L37" s="128"/>
      <c r="M37" s="128"/>
      <c r="N37" s="128"/>
      <c r="O37" s="128"/>
      <c r="P37" s="130"/>
      <c r="Q37" s="128"/>
      <c r="R37" s="704"/>
    </row>
    <row r="38">
      <c r="A38" s="716"/>
      <c r="B38" s="609"/>
      <c r="C38" s="136"/>
      <c r="D38" s="699"/>
      <c r="E38" s="525"/>
      <c r="F38" s="85"/>
      <c r="G38" s="85"/>
      <c r="H38" s="737">
        <v>2.0</v>
      </c>
      <c r="I38" s="700"/>
      <c r="J38" s="701" t="s">
        <v>427</v>
      </c>
      <c r="K38" s="702" t="s">
        <v>208</v>
      </c>
      <c r="L38" s="702" t="s">
        <v>426</v>
      </c>
      <c r="M38" s="702" t="s">
        <v>2</v>
      </c>
      <c r="N38" s="702" t="s">
        <v>1</v>
      </c>
      <c r="O38" s="702" t="s">
        <v>4</v>
      </c>
      <c r="P38" s="728" t="s">
        <v>3</v>
      </c>
      <c r="Q38" s="703" t="s">
        <v>210</v>
      </c>
      <c r="R38" s="716"/>
    </row>
    <row r="39">
      <c r="A39" s="704"/>
      <c r="B39" s="631" t="s">
        <v>64</v>
      </c>
      <c r="C39" s="710" t="s">
        <v>1185</v>
      </c>
      <c r="D39" s="711"/>
      <c r="E39" s="712" t="s">
        <v>60</v>
      </c>
      <c r="F39" s="68">
        <v>2.0</v>
      </c>
      <c r="G39" s="68">
        <v>5.0</v>
      </c>
      <c r="H39" s="68">
        <v>4.0</v>
      </c>
      <c r="I39" s="713" t="s">
        <v>714</v>
      </c>
      <c r="J39" s="709">
        <v>4.0</v>
      </c>
      <c r="K39" s="709">
        <v>5.0</v>
      </c>
      <c r="L39" s="709">
        <v>5.0</v>
      </c>
      <c r="M39" s="709">
        <v>4.0</v>
      </c>
      <c r="N39" s="654">
        <v>5.0</v>
      </c>
      <c r="O39" s="709">
        <v>4.0</v>
      </c>
      <c r="P39" s="654">
        <v>5.0</v>
      </c>
      <c r="Q39" s="709">
        <v>5.0</v>
      </c>
      <c r="R39" s="704"/>
    </row>
    <row r="40">
      <c r="A40" s="716"/>
      <c r="B40" s="353"/>
      <c r="C40" s="710" t="s">
        <v>1186</v>
      </c>
      <c r="D40" s="711"/>
      <c r="E40" s="712" t="s">
        <v>1187</v>
      </c>
      <c r="F40" s="68">
        <v>3.0</v>
      </c>
      <c r="G40" s="68">
        <v>2.0</v>
      </c>
      <c r="H40" s="68">
        <v>2.0</v>
      </c>
      <c r="I40" s="713" t="s">
        <v>714</v>
      </c>
      <c r="J40" s="714">
        <v>1.0</v>
      </c>
      <c r="K40" s="714">
        <v>1.0</v>
      </c>
      <c r="L40" s="714">
        <v>1.0</v>
      </c>
      <c r="M40" s="714">
        <v>1.0</v>
      </c>
      <c r="N40" s="651">
        <v>1.0</v>
      </c>
      <c r="O40" s="714">
        <v>1.0</v>
      </c>
      <c r="P40" s="715">
        <v>2.0</v>
      </c>
      <c r="Q40" s="714">
        <v>1.0</v>
      </c>
      <c r="R40" s="716"/>
    </row>
    <row r="41">
      <c r="A41" s="716"/>
      <c r="B41" s="632"/>
      <c r="C41" s="710" t="s">
        <v>1188</v>
      </c>
      <c r="D41" s="711"/>
      <c r="E41" s="712" t="s">
        <v>71</v>
      </c>
      <c r="F41" s="68"/>
      <c r="G41" s="68"/>
      <c r="H41" s="68">
        <v>2.0</v>
      </c>
      <c r="I41" s="713" t="s">
        <v>714</v>
      </c>
      <c r="J41" s="714">
        <v>3.0</v>
      </c>
      <c r="K41" s="714">
        <v>4.0</v>
      </c>
      <c r="L41" s="714">
        <v>3.0</v>
      </c>
      <c r="M41" s="714">
        <v>4.0</v>
      </c>
      <c r="N41" s="654">
        <v>5.0</v>
      </c>
      <c r="O41" s="714">
        <v>2.0</v>
      </c>
      <c r="P41" s="654">
        <v>5.0</v>
      </c>
      <c r="Q41" s="714">
        <v>3.0</v>
      </c>
      <c r="R41" s="716"/>
    </row>
    <row r="42">
      <c r="A42" s="704"/>
      <c r="B42" s="639"/>
      <c r="C42" s="710" t="s">
        <v>1189</v>
      </c>
      <c r="D42" s="711"/>
      <c r="E42" s="712" t="s">
        <v>71</v>
      </c>
      <c r="F42" s="68"/>
      <c r="G42" s="68"/>
      <c r="H42" s="68">
        <v>1.0</v>
      </c>
      <c r="I42" s="713" t="s">
        <v>714</v>
      </c>
      <c r="J42" s="714">
        <v>4.0</v>
      </c>
      <c r="K42" s="714">
        <v>3.0</v>
      </c>
      <c r="L42" s="714">
        <v>3.0</v>
      </c>
      <c r="M42" s="714">
        <v>4.0</v>
      </c>
      <c r="N42" s="655">
        <v>5.0</v>
      </c>
      <c r="O42" s="714">
        <v>3.0</v>
      </c>
      <c r="P42" s="715">
        <v>4.0</v>
      </c>
      <c r="Q42" s="714">
        <v>4.0</v>
      </c>
      <c r="R42" s="704"/>
    </row>
    <row r="43">
      <c r="A43" s="704"/>
      <c r="B43" s="353"/>
      <c r="C43" s="710" t="s">
        <v>1190</v>
      </c>
      <c r="D43" s="711"/>
      <c r="E43" s="712" t="s">
        <v>20</v>
      </c>
      <c r="F43" s="68">
        <v>1.0</v>
      </c>
      <c r="G43" s="68">
        <v>3.0</v>
      </c>
      <c r="H43" s="68">
        <v>2.0</v>
      </c>
      <c r="I43" s="713" t="s">
        <v>714</v>
      </c>
      <c r="J43" s="714">
        <v>1.0</v>
      </c>
      <c r="K43" s="714">
        <v>1.0</v>
      </c>
      <c r="L43" s="714">
        <v>1.0</v>
      </c>
      <c r="M43" s="714">
        <v>1.0</v>
      </c>
      <c r="N43" s="651">
        <v>1.0</v>
      </c>
      <c r="O43" s="714">
        <v>1.0</v>
      </c>
      <c r="P43" s="651">
        <v>1.0</v>
      </c>
      <c r="Q43" s="714">
        <v>1.0</v>
      </c>
      <c r="R43" s="704"/>
    </row>
    <row r="44">
      <c r="A44" s="704"/>
      <c r="B44" s="355"/>
      <c r="C44" s="710" t="s">
        <v>1191</v>
      </c>
      <c r="D44" s="711"/>
      <c r="E44" s="712" t="s">
        <v>71</v>
      </c>
      <c r="F44" s="68">
        <v>1.0</v>
      </c>
      <c r="G44" s="68"/>
      <c r="H44" s="68">
        <v>3.0</v>
      </c>
      <c r="I44" s="713" t="s">
        <v>714</v>
      </c>
      <c r="J44" s="714">
        <v>1.0</v>
      </c>
      <c r="K44" s="714">
        <v>3.0</v>
      </c>
      <c r="L44" s="714">
        <v>1.0</v>
      </c>
      <c r="M44" s="714">
        <v>1.0</v>
      </c>
      <c r="N44" s="651">
        <v>1.0</v>
      </c>
      <c r="O44" s="714">
        <v>1.0</v>
      </c>
      <c r="P44" s="651">
        <v>1.0</v>
      </c>
      <c r="Q44" s="714">
        <v>1.0</v>
      </c>
      <c r="R44" s="704"/>
    </row>
    <row r="45">
      <c r="A45" s="704"/>
      <c r="B45" s="634"/>
      <c r="C45" s="733" t="s">
        <v>1192</v>
      </c>
      <c r="D45" s="711"/>
      <c r="E45" s="712" t="s">
        <v>43</v>
      </c>
      <c r="F45" s="68">
        <v>5.0</v>
      </c>
      <c r="G45" s="68">
        <v>5.0</v>
      </c>
      <c r="H45" s="68">
        <v>5.0</v>
      </c>
      <c r="I45" s="713" t="s">
        <v>714</v>
      </c>
      <c r="J45" s="714">
        <v>3.0</v>
      </c>
      <c r="K45" s="714">
        <v>3.0</v>
      </c>
      <c r="L45" s="714">
        <v>2.0</v>
      </c>
      <c r="M45" s="714">
        <v>2.0</v>
      </c>
      <c r="N45" s="651">
        <v>1.0</v>
      </c>
      <c r="O45" s="714">
        <v>3.0</v>
      </c>
      <c r="P45" s="715">
        <v>2.0</v>
      </c>
      <c r="Q45" s="714">
        <v>2.0</v>
      </c>
      <c r="R45" s="704"/>
    </row>
    <row r="46">
      <c r="A46" s="704"/>
      <c r="B46" s="355"/>
      <c r="C46" s="735" t="s">
        <v>1193</v>
      </c>
      <c r="D46" s="730"/>
      <c r="E46" s="731" t="s">
        <v>77</v>
      </c>
      <c r="F46" s="557">
        <v>1.0</v>
      </c>
      <c r="G46" s="557">
        <v>3.0</v>
      </c>
      <c r="H46" s="557">
        <v>2.0</v>
      </c>
      <c r="I46" s="732" t="s">
        <v>714</v>
      </c>
      <c r="J46" s="714">
        <v>2.0</v>
      </c>
      <c r="K46" s="714">
        <v>3.0</v>
      </c>
      <c r="L46" s="714">
        <v>2.0</v>
      </c>
      <c r="M46" s="714">
        <v>2.0</v>
      </c>
      <c r="N46" s="714">
        <v>1.0</v>
      </c>
      <c r="O46" s="714">
        <v>3.0</v>
      </c>
      <c r="P46" s="650">
        <v>2.0</v>
      </c>
      <c r="Q46" s="714">
        <v>2.0</v>
      </c>
      <c r="R46" s="704"/>
    </row>
    <row r="47">
      <c r="A47" s="704"/>
      <c r="B47" s="635"/>
      <c r="C47" s="733" t="s">
        <v>1194</v>
      </c>
      <c r="D47" s="711"/>
      <c r="E47" s="712"/>
      <c r="F47" s="68">
        <v>3.0</v>
      </c>
      <c r="G47" s="68">
        <v>5.0</v>
      </c>
      <c r="H47" s="68">
        <v>5.0</v>
      </c>
      <c r="I47" s="713" t="s">
        <v>714</v>
      </c>
      <c r="J47" s="714">
        <v>3.0</v>
      </c>
      <c r="K47" s="714">
        <v>4.0</v>
      </c>
      <c r="L47" s="714">
        <v>3.0</v>
      </c>
      <c r="M47" s="714">
        <v>3.0</v>
      </c>
      <c r="N47" s="652">
        <v>4.0</v>
      </c>
      <c r="O47" s="714">
        <v>5.0</v>
      </c>
      <c r="P47" s="654">
        <v>5.0</v>
      </c>
      <c r="Q47" s="714">
        <v>4.0</v>
      </c>
      <c r="R47" s="704"/>
    </row>
    <row r="48">
      <c r="A48" s="704"/>
      <c r="B48" s="355"/>
      <c r="C48" s="735" t="s">
        <v>1195</v>
      </c>
      <c r="D48" s="730"/>
      <c r="E48" s="712"/>
      <c r="F48" s="557">
        <v>1.0</v>
      </c>
      <c r="G48" s="557">
        <v>4.0</v>
      </c>
      <c r="H48" s="557">
        <v>2.0</v>
      </c>
      <c r="I48" s="732" t="s">
        <v>714</v>
      </c>
      <c r="J48" s="714">
        <v>1.0</v>
      </c>
      <c r="K48" s="714">
        <v>2.0</v>
      </c>
      <c r="L48" s="714">
        <v>1.0</v>
      </c>
      <c r="M48" s="714">
        <v>1.0</v>
      </c>
      <c r="N48" s="651">
        <v>1.0</v>
      </c>
      <c r="O48" s="714">
        <v>2.0</v>
      </c>
      <c r="P48" s="650">
        <v>2.0</v>
      </c>
      <c r="Q48" s="714">
        <v>1.0</v>
      </c>
      <c r="R48" s="704"/>
    </row>
    <row r="49">
      <c r="A49" s="716"/>
      <c r="B49" s="605"/>
      <c r="C49" s="195" t="s">
        <v>95</v>
      </c>
      <c r="D49" s="82"/>
      <c r="E49" s="82"/>
      <c r="F49" s="82"/>
      <c r="G49" s="82"/>
      <c r="H49" s="82"/>
      <c r="I49" s="96"/>
      <c r="J49" s="128"/>
      <c r="K49" s="128"/>
      <c r="L49" s="128"/>
      <c r="M49" s="128"/>
      <c r="N49" s="128"/>
      <c r="O49" s="128"/>
      <c r="P49" s="130"/>
      <c r="Q49" s="128"/>
      <c r="R49" s="716"/>
    </row>
    <row r="50">
      <c r="A50" s="704"/>
      <c r="B50" s="636"/>
      <c r="C50" s="136"/>
      <c r="D50" s="699"/>
      <c r="E50" s="525"/>
      <c r="F50" s="85"/>
      <c r="G50" s="85"/>
      <c r="H50" s="85"/>
      <c r="I50" s="700"/>
      <c r="J50" s="701" t="s">
        <v>427</v>
      </c>
      <c r="K50" s="703" t="s">
        <v>208</v>
      </c>
      <c r="L50" s="702" t="s">
        <v>426</v>
      </c>
      <c r="M50" s="702" t="s">
        <v>2</v>
      </c>
      <c r="N50" s="702" t="s">
        <v>1</v>
      </c>
      <c r="O50" s="702" t="s">
        <v>4</v>
      </c>
      <c r="P50" s="728" t="s">
        <v>3</v>
      </c>
      <c r="Q50" s="703" t="s">
        <v>210</v>
      </c>
      <c r="R50" s="704"/>
    </row>
    <row r="51">
      <c r="A51" s="716"/>
      <c r="B51" s="631"/>
      <c r="C51" s="710" t="s">
        <v>1196</v>
      </c>
      <c r="D51" s="711"/>
      <c r="E51" s="712" t="s">
        <v>97</v>
      </c>
      <c r="F51" s="68">
        <v>1.0</v>
      </c>
      <c r="G51" s="68">
        <v>5.0</v>
      </c>
      <c r="H51" s="68">
        <v>2.0</v>
      </c>
      <c r="I51" s="713" t="s">
        <v>714</v>
      </c>
      <c r="J51" s="709">
        <v>1.0</v>
      </c>
      <c r="K51" s="709">
        <v>1.0</v>
      </c>
      <c r="L51" s="709">
        <v>1.0</v>
      </c>
      <c r="M51" s="709">
        <v>2.0</v>
      </c>
      <c r="N51" s="653">
        <v>3.0</v>
      </c>
      <c r="O51" s="709">
        <v>1.0</v>
      </c>
      <c r="P51" s="652">
        <v>4.0</v>
      </c>
      <c r="Q51" s="709">
        <v>2.0</v>
      </c>
      <c r="R51" s="716"/>
    </row>
    <row r="52">
      <c r="A52" s="704"/>
      <c r="B52" s="353"/>
      <c r="C52" s="710" t="s">
        <v>1197</v>
      </c>
      <c r="D52" s="711"/>
      <c r="E52" s="712" t="s">
        <v>97</v>
      </c>
      <c r="F52" s="68">
        <v>3.0</v>
      </c>
      <c r="G52" s="68">
        <v>4.0</v>
      </c>
      <c r="H52" s="68">
        <v>3.0</v>
      </c>
      <c r="I52" s="713" t="s">
        <v>714</v>
      </c>
      <c r="J52" s="714">
        <v>3.0</v>
      </c>
      <c r="K52" s="714">
        <v>2.0</v>
      </c>
      <c r="L52" s="714">
        <v>2.0</v>
      </c>
      <c r="M52" s="714">
        <v>2.0</v>
      </c>
      <c r="N52" s="650">
        <v>2.0</v>
      </c>
      <c r="O52" s="714">
        <v>2.0</v>
      </c>
      <c r="P52" s="650">
        <v>2.0</v>
      </c>
      <c r="Q52" s="714">
        <v>2.0</v>
      </c>
      <c r="R52" s="704"/>
    </row>
    <row r="53">
      <c r="A53" s="704"/>
      <c r="B53" s="632"/>
      <c r="C53" s="710" t="s">
        <v>1198</v>
      </c>
      <c r="D53" s="711"/>
      <c r="E53" s="712" t="s">
        <v>97</v>
      </c>
      <c r="F53" s="68">
        <v>6.0</v>
      </c>
      <c r="G53" s="68">
        <v>4.0</v>
      </c>
      <c r="H53" s="68">
        <v>6.0</v>
      </c>
      <c r="I53" s="713" t="s">
        <v>714</v>
      </c>
      <c r="J53" s="714">
        <v>2.0</v>
      </c>
      <c r="K53" s="714">
        <v>3.0</v>
      </c>
      <c r="L53" s="714">
        <v>2.0</v>
      </c>
      <c r="M53" s="714">
        <v>1.0</v>
      </c>
      <c r="N53" s="651">
        <v>1.0</v>
      </c>
      <c r="O53" s="714">
        <v>2.0</v>
      </c>
      <c r="P53" s="715">
        <v>4.0</v>
      </c>
      <c r="Q53" s="714">
        <v>2.0</v>
      </c>
      <c r="R53" s="704"/>
    </row>
    <row r="54">
      <c r="A54" s="704"/>
      <c r="B54" s="639"/>
      <c r="C54" s="710" t="s">
        <v>1199</v>
      </c>
      <c r="D54" s="711"/>
      <c r="E54" s="712" t="s">
        <v>71</v>
      </c>
      <c r="F54" s="68"/>
      <c r="G54" s="68"/>
      <c r="H54" s="68">
        <v>3.0</v>
      </c>
      <c r="I54" s="713" t="s">
        <v>714</v>
      </c>
      <c r="J54" s="714">
        <v>2.0</v>
      </c>
      <c r="K54" s="714">
        <v>4.0</v>
      </c>
      <c r="L54" s="714">
        <v>4.0</v>
      </c>
      <c r="M54" s="714">
        <v>4.0</v>
      </c>
      <c r="N54" s="650">
        <v>2.0</v>
      </c>
      <c r="O54" s="714">
        <v>3.0</v>
      </c>
      <c r="P54" s="651">
        <v>1.0</v>
      </c>
      <c r="Q54" s="714">
        <v>3.0</v>
      </c>
      <c r="R54" s="704"/>
    </row>
    <row r="55">
      <c r="A55" s="704"/>
      <c r="B55" s="353"/>
      <c r="C55" s="710" t="s">
        <v>1200</v>
      </c>
      <c r="D55" s="711"/>
      <c r="E55" s="712" t="s">
        <v>71</v>
      </c>
      <c r="F55" s="68"/>
      <c r="G55" s="68"/>
      <c r="H55" s="68">
        <v>1.0</v>
      </c>
      <c r="I55" s="713" t="s">
        <v>714</v>
      </c>
      <c r="J55" s="714">
        <v>4.0</v>
      </c>
      <c r="K55" s="714">
        <v>2.0</v>
      </c>
      <c r="L55" s="714">
        <v>4.0</v>
      </c>
      <c r="M55" s="714">
        <v>4.0</v>
      </c>
      <c r="N55" s="650">
        <v>2.0</v>
      </c>
      <c r="O55" s="714">
        <v>2.0</v>
      </c>
      <c r="P55" s="652">
        <v>4.0</v>
      </c>
      <c r="Q55" s="714">
        <v>4.0</v>
      </c>
      <c r="R55" s="704"/>
    </row>
    <row r="56">
      <c r="A56" s="704"/>
      <c r="B56" s="355"/>
      <c r="C56" s="729" t="s">
        <v>1201</v>
      </c>
      <c r="D56" s="730"/>
      <c r="E56" s="731" t="s">
        <v>97</v>
      </c>
      <c r="F56" s="557">
        <v>4.0</v>
      </c>
      <c r="G56" s="557">
        <v>3.0</v>
      </c>
      <c r="H56" s="557">
        <v>4.0</v>
      </c>
      <c r="I56" s="732" t="s">
        <v>714</v>
      </c>
      <c r="J56" s="714">
        <v>2.0</v>
      </c>
      <c r="K56" s="714">
        <v>2.0</v>
      </c>
      <c r="L56" s="714">
        <v>3.0</v>
      </c>
      <c r="M56" s="714">
        <v>2.0</v>
      </c>
      <c r="N56" s="653">
        <v>3.0</v>
      </c>
      <c r="O56" s="714">
        <v>3.0</v>
      </c>
      <c r="P56" s="715">
        <v>4.0</v>
      </c>
      <c r="Q56" s="714">
        <v>3.0</v>
      </c>
      <c r="R56" s="704"/>
    </row>
    <row r="57">
      <c r="A57" s="704"/>
      <c r="B57" s="634"/>
      <c r="C57" s="733" t="s">
        <v>1202</v>
      </c>
      <c r="D57" s="711"/>
      <c r="E57" s="712" t="s">
        <v>71</v>
      </c>
      <c r="F57" s="68"/>
      <c r="G57" s="68"/>
      <c r="H57" s="68">
        <v>4.0</v>
      </c>
      <c r="I57" s="713" t="s">
        <v>714</v>
      </c>
      <c r="J57" s="714">
        <v>4.0</v>
      </c>
      <c r="K57" s="714">
        <v>3.0</v>
      </c>
      <c r="L57" s="714">
        <v>2.0</v>
      </c>
      <c r="M57" s="714">
        <v>1.0</v>
      </c>
      <c r="N57" s="650">
        <v>2.0</v>
      </c>
      <c r="O57" s="714">
        <v>2.0</v>
      </c>
      <c r="P57" s="650">
        <v>2.0</v>
      </c>
      <c r="Q57" s="714">
        <v>2.0</v>
      </c>
      <c r="R57" s="704"/>
    </row>
    <row r="58">
      <c r="A58" s="716"/>
      <c r="B58" s="355"/>
      <c r="C58" s="735" t="s">
        <v>1203</v>
      </c>
      <c r="D58" s="730"/>
      <c r="E58" s="731"/>
      <c r="F58" s="557">
        <v>3.0</v>
      </c>
      <c r="G58" s="557">
        <v>3.0</v>
      </c>
      <c r="H58" s="557">
        <v>3.0</v>
      </c>
      <c r="I58" s="732" t="s">
        <v>714</v>
      </c>
      <c r="J58" s="714">
        <v>1.0</v>
      </c>
      <c r="K58" s="714">
        <v>1.0</v>
      </c>
      <c r="L58" s="714">
        <v>3.0</v>
      </c>
      <c r="M58" s="714">
        <v>3.0</v>
      </c>
      <c r="N58" s="651">
        <v>1.0</v>
      </c>
      <c r="O58" s="714">
        <v>1.0</v>
      </c>
      <c r="P58" s="651">
        <v>1.0</v>
      </c>
      <c r="Q58" s="714">
        <v>1.0</v>
      </c>
      <c r="R58" s="716"/>
    </row>
    <row r="59">
      <c r="A59" s="704"/>
      <c r="B59" s="635"/>
      <c r="C59" s="733" t="s">
        <v>1204</v>
      </c>
      <c r="D59" s="711"/>
      <c r="E59" s="712" t="s">
        <v>97</v>
      </c>
      <c r="F59" s="68">
        <v>8.0</v>
      </c>
      <c r="G59" s="68">
        <v>8.0</v>
      </c>
      <c r="H59" s="68">
        <v>6.0</v>
      </c>
      <c r="I59" s="713" t="s">
        <v>714</v>
      </c>
      <c r="J59" s="714">
        <v>4.0</v>
      </c>
      <c r="K59" s="714">
        <v>4.0</v>
      </c>
      <c r="L59" s="714">
        <v>4.0</v>
      </c>
      <c r="M59" s="714">
        <v>2.0</v>
      </c>
      <c r="N59" s="656">
        <v>3.0</v>
      </c>
      <c r="O59" s="714">
        <v>3.0</v>
      </c>
      <c r="P59" s="650">
        <v>2.0</v>
      </c>
      <c r="Q59" s="714">
        <v>4.0</v>
      </c>
      <c r="R59" s="704"/>
    </row>
    <row r="60">
      <c r="A60" s="716"/>
      <c r="B60" s="355"/>
      <c r="C60" s="735" t="s">
        <v>1205</v>
      </c>
      <c r="D60" s="730"/>
      <c r="E60" s="731" t="s">
        <v>71</v>
      </c>
      <c r="F60" s="557"/>
      <c r="G60" s="557"/>
      <c r="H60" s="557">
        <v>6.0</v>
      </c>
      <c r="I60" s="732" t="s">
        <v>714</v>
      </c>
      <c r="J60" s="714">
        <v>2.0</v>
      </c>
      <c r="K60" s="714">
        <v>4.0</v>
      </c>
      <c r="L60" s="714">
        <v>2.0</v>
      </c>
      <c r="M60" s="714">
        <v>2.0</v>
      </c>
      <c r="N60" s="652">
        <v>4.0</v>
      </c>
      <c r="O60" s="714">
        <v>4.0</v>
      </c>
      <c r="P60" s="652">
        <v>4.0</v>
      </c>
      <c r="Q60" s="714">
        <v>4.0</v>
      </c>
      <c r="R60" s="716"/>
    </row>
    <row r="61">
      <c r="A61" s="704"/>
      <c r="B61" s="605"/>
      <c r="C61" s="195" t="s">
        <v>109</v>
      </c>
      <c r="D61" s="82"/>
      <c r="E61" s="82"/>
      <c r="F61" s="82"/>
      <c r="G61" s="82"/>
      <c r="H61" s="82"/>
      <c r="I61" s="96"/>
      <c r="J61" s="128"/>
      <c r="K61" s="128"/>
      <c r="L61" s="128"/>
      <c r="M61" s="128"/>
      <c r="N61" s="128"/>
      <c r="O61" s="128"/>
      <c r="P61" s="130"/>
      <c r="Q61" s="128"/>
      <c r="R61" s="704"/>
    </row>
    <row r="62">
      <c r="A62" s="704"/>
      <c r="B62" s="636"/>
      <c r="C62" s="136"/>
      <c r="D62" s="699"/>
      <c r="E62" s="525"/>
      <c r="F62" s="85"/>
      <c r="G62" s="85"/>
      <c r="H62" s="85"/>
      <c r="I62" s="700"/>
      <c r="J62" s="701" t="s">
        <v>427</v>
      </c>
      <c r="K62" s="702" t="s">
        <v>208</v>
      </c>
      <c r="L62" s="702" t="s">
        <v>426</v>
      </c>
      <c r="M62" s="702" t="s">
        <v>2</v>
      </c>
      <c r="N62" s="702" t="s">
        <v>1</v>
      </c>
      <c r="O62" s="702" t="s">
        <v>4</v>
      </c>
      <c r="P62" s="728" t="s">
        <v>3</v>
      </c>
      <c r="Q62" s="703" t="s">
        <v>210</v>
      </c>
      <c r="R62" s="704"/>
    </row>
    <row r="63">
      <c r="A63" s="704"/>
      <c r="B63" s="631"/>
      <c r="C63" s="710" t="s">
        <v>1206</v>
      </c>
      <c r="D63" s="711"/>
      <c r="E63" s="712" t="s">
        <v>71</v>
      </c>
      <c r="F63" s="68"/>
      <c r="G63" s="68"/>
      <c r="H63" s="68">
        <v>1.0</v>
      </c>
      <c r="I63" s="713" t="s">
        <v>714</v>
      </c>
      <c r="J63" s="709">
        <v>4.0</v>
      </c>
      <c r="K63" s="709">
        <v>2.0</v>
      </c>
      <c r="L63" s="709">
        <v>3.0</v>
      </c>
      <c r="M63" s="709">
        <v>3.0</v>
      </c>
      <c r="N63" s="653">
        <v>3.0</v>
      </c>
      <c r="O63" s="709">
        <v>2.0</v>
      </c>
      <c r="P63" s="651">
        <v>1.0</v>
      </c>
      <c r="Q63" s="709">
        <v>2.0</v>
      </c>
      <c r="R63" s="704"/>
    </row>
    <row r="64">
      <c r="A64" s="704"/>
      <c r="B64" s="353"/>
      <c r="C64" s="710" t="s">
        <v>1207</v>
      </c>
      <c r="D64" s="711"/>
      <c r="E64" s="712" t="s">
        <v>116</v>
      </c>
      <c r="F64" s="68">
        <v>2.0</v>
      </c>
      <c r="G64" s="68">
        <v>2.0</v>
      </c>
      <c r="H64" s="68">
        <v>2.0</v>
      </c>
      <c r="I64" s="713" t="s">
        <v>714</v>
      </c>
      <c r="J64" s="714">
        <v>4.0</v>
      </c>
      <c r="K64" s="714">
        <v>4.0</v>
      </c>
      <c r="L64" s="714">
        <v>4.0</v>
      </c>
      <c r="M64" s="714">
        <v>4.0</v>
      </c>
      <c r="N64" s="652">
        <v>4.0</v>
      </c>
      <c r="O64" s="714">
        <v>4.0</v>
      </c>
      <c r="P64" s="651">
        <v>1.0</v>
      </c>
      <c r="Q64" s="714">
        <v>3.0</v>
      </c>
      <c r="R64" s="704"/>
    </row>
    <row r="65">
      <c r="A65" s="704"/>
      <c r="B65" s="632"/>
      <c r="C65" s="710" t="s">
        <v>1208</v>
      </c>
      <c r="D65" s="711"/>
      <c r="E65" s="712" t="s">
        <v>71</v>
      </c>
      <c r="F65" s="68"/>
      <c r="G65" s="68"/>
      <c r="H65" s="68">
        <v>3.0</v>
      </c>
      <c r="I65" s="713" t="s">
        <v>714</v>
      </c>
      <c r="J65" s="714">
        <v>2.0</v>
      </c>
      <c r="K65" s="714">
        <v>4.0</v>
      </c>
      <c r="L65" s="714">
        <v>4.0</v>
      </c>
      <c r="M65" s="714">
        <v>2.0</v>
      </c>
      <c r="N65" s="652">
        <v>4.0</v>
      </c>
      <c r="O65" s="714">
        <v>3.0</v>
      </c>
      <c r="P65" s="651">
        <v>1.0</v>
      </c>
      <c r="Q65" s="714">
        <v>3.0</v>
      </c>
      <c r="R65" s="704"/>
    </row>
    <row r="66">
      <c r="A66" s="704"/>
      <c r="B66" s="639"/>
      <c r="C66" s="710" t="s">
        <v>1209</v>
      </c>
      <c r="D66" s="711"/>
      <c r="E66" s="712"/>
      <c r="F66" s="68">
        <v>1.0</v>
      </c>
      <c r="G66" s="68">
        <v>2.0</v>
      </c>
      <c r="H66" s="68">
        <v>3.0</v>
      </c>
      <c r="I66" s="713" t="s">
        <v>714</v>
      </c>
      <c r="J66" s="714">
        <v>1.0</v>
      </c>
      <c r="K66" s="714">
        <v>2.0</v>
      </c>
      <c r="L66" s="714">
        <v>1.0</v>
      </c>
      <c r="M66" s="714">
        <v>1.0</v>
      </c>
      <c r="N66" s="651">
        <v>1.0</v>
      </c>
      <c r="O66" s="714">
        <v>1.0</v>
      </c>
      <c r="P66" s="651">
        <v>1.0</v>
      </c>
      <c r="Q66" s="714">
        <v>2.0</v>
      </c>
      <c r="R66" s="704"/>
    </row>
    <row r="67">
      <c r="A67" s="704"/>
      <c r="B67" s="353"/>
      <c r="C67" s="710" t="s">
        <v>1210</v>
      </c>
      <c r="D67" s="711"/>
      <c r="E67" s="712" t="s">
        <v>77</v>
      </c>
      <c r="F67" s="68"/>
      <c r="G67" s="68"/>
      <c r="H67" s="68">
        <v>3.0</v>
      </c>
      <c r="I67" s="713" t="s">
        <v>714</v>
      </c>
      <c r="J67" s="714">
        <v>2.0</v>
      </c>
      <c r="K67" s="714">
        <v>3.0</v>
      </c>
      <c r="L67" s="714">
        <v>2.0</v>
      </c>
      <c r="M67" s="714">
        <v>1.0</v>
      </c>
      <c r="N67" s="653">
        <v>3.0</v>
      </c>
      <c r="O67" s="714">
        <v>3.0</v>
      </c>
      <c r="P67" s="651">
        <v>1.0</v>
      </c>
      <c r="Q67" s="714">
        <v>2.0</v>
      </c>
      <c r="R67" s="704"/>
    </row>
    <row r="68">
      <c r="A68" s="704"/>
      <c r="B68" s="355"/>
      <c r="C68" s="729" t="s">
        <v>1211</v>
      </c>
      <c r="D68" s="730"/>
      <c r="E68" s="731" t="s">
        <v>71</v>
      </c>
      <c r="F68" s="557"/>
      <c r="G68" s="557"/>
      <c r="H68" s="557">
        <v>4.0</v>
      </c>
      <c r="I68" s="732" t="s">
        <v>714</v>
      </c>
      <c r="J68" s="714">
        <v>1.0</v>
      </c>
      <c r="K68" s="714">
        <v>1.0</v>
      </c>
      <c r="L68" s="714">
        <v>2.0</v>
      </c>
      <c r="M68" s="714">
        <v>1.0</v>
      </c>
      <c r="N68" s="650">
        <v>2.0</v>
      </c>
      <c r="O68" s="714">
        <v>2.0</v>
      </c>
      <c r="P68" s="651">
        <v>1.0</v>
      </c>
      <c r="Q68" s="714">
        <v>1.0</v>
      </c>
      <c r="R68" s="704"/>
    </row>
    <row r="69">
      <c r="A69" s="716"/>
      <c r="B69" s="634"/>
      <c r="C69" s="733" t="s">
        <v>1212</v>
      </c>
      <c r="D69" s="711"/>
      <c r="E69" s="712" t="s">
        <v>51</v>
      </c>
      <c r="F69" s="68">
        <v>3.0</v>
      </c>
      <c r="G69" s="68">
        <v>4.0</v>
      </c>
      <c r="H69" s="68">
        <v>3.0</v>
      </c>
      <c r="I69" s="713" t="s">
        <v>714</v>
      </c>
      <c r="J69" s="714">
        <v>1.0</v>
      </c>
      <c r="K69" s="714">
        <v>1.0</v>
      </c>
      <c r="L69" s="714">
        <v>1.0</v>
      </c>
      <c r="M69" s="714">
        <v>1.0</v>
      </c>
      <c r="N69" s="651">
        <v>1.0</v>
      </c>
      <c r="O69" s="714">
        <v>1.0</v>
      </c>
      <c r="P69" s="651">
        <v>1.0</v>
      </c>
      <c r="Q69" s="714">
        <v>1.0</v>
      </c>
      <c r="R69" s="716"/>
    </row>
    <row r="70">
      <c r="A70" s="716"/>
      <c r="B70" s="355"/>
      <c r="C70" s="735" t="s">
        <v>1213</v>
      </c>
      <c r="D70" s="730"/>
      <c r="E70" s="731" t="s">
        <v>71</v>
      </c>
      <c r="F70" s="557"/>
      <c r="G70" s="557"/>
      <c r="H70" s="557">
        <v>2.0</v>
      </c>
      <c r="I70" s="732" t="s">
        <v>714</v>
      </c>
      <c r="J70" s="714">
        <v>1.0</v>
      </c>
      <c r="K70" s="714">
        <v>1.0</v>
      </c>
      <c r="L70" s="714">
        <v>1.0</v>
      </c>
      <c r="M70" s="714">
        <v>1.0</v>
      </c>
      <c r="N70" s="651">
        <v>1.0</v>
      </c>
      <c r="O70" s="714">
        <v>1.0</v>
      </c>
      <c r="P70" s="654">
        <v>5.0</v>
      </c>
      <c r="Q70" s="714">
        <v>1.0</v>
      </c>
      <c r="R70" s="716"/>
    </row>
    <row r="71">
      <c r="A71" s="704"/>
      <c r="B71" s="635"/>
      <c r="C71" s="733" t="s">
        <v>1214</v>
      </c>
      <c r="D71" s="711"/>
      <c r="E71" s="712"/>
      <c r="F71" s="68">
        <v>4.0</v>
      </c>
      <c r="G71" s="68">
        <v>5.0</v>
      </c>
      <c r="H71" s="68">
        <v>5.0</v>
      </c>
      <c r="I71" s="713" t="s">
        <v>714</v>
      </c>
      <c r="J71" s="714">
        <v>2.0</v>
      </c>
      <c r="K71" s="714">
        <v>4.0</v>
      </c>
      <c r="L71" s="714">
        <v>4.0</v>
      </c>
      <c r="M71" s="714">
        <v>4.0</v>
      </c>
      <c r="N71" s="652">
        <v>4.0</v>
      </c>
      <c r="O71" s="714">
        <v>4.0</v>
      </c>
      <c r="P71" s="651">
        <v>1.0</v>
      </c>
      <c r="Q71" s="714">
        <v>4.0</v>
      </c>
      <c r="R71" s="704"/>
    </row>
    <row r="72">
      <c r="A72" s="716"/>
      <c r="B72" s="355"/>
      <c r="C72" s="735" t="s">
        <v>1215</v>
      </c>
      <c r="D72" s="730"/>
      <c r="E72" s="731" t="s">
        <v>29</v>
      </c>
      <c r="F72" s="557">
        <v>0.0</v>
      </c>
      <c r="G72" s="557">
        <v>4.0</v>
      </c>
      <c r="H72" s="557">
        <v>3.0</v>
      </c>
      <c r="I72" s="732" t="s">
        <v>714</v>
      </c>
      <c r="J72" s="714">
        <v>4.0</v>
      </c>
      <c r="K72" s="714">
        <v>1.0</v>
      </c>
      <c r="L72" s="714">
        <v>2.0</v>
      </c>
      <c r="M72" s="714">
        <v>2.0</v>
      </c>
      <c r="N72" s="651">
        <v>1.0</v>
      </c>
      <c r="O72" s="714">
        <v>2.0</v>
      </c>
      <c r="P72" s="651">
        <v>1.0</v>
      </c>
      <c r="Q72" s="714">
        <v>4.0</v>
      </c>
      <c r="R72" s="716"/>
    </row>
    <row r="73">
      <c r="A73" s="704"/>
      <c r="B73" s="605"/>
      <c r="C73" s="195" t="s">
        <v>123</v>
      </c>
      <c r="D73" s="82"/>
      <c r="E73" s="82"/>
      <c r="F73" s="82"/>
      <c r="G73" s="82"/>
      <c r="H73" s="82"/>
      <c r="I73" s="96"/>
      <c r="J73" s="128"/>
      <c r="K73" s="128"/>
      <c r="L73" s="128"/>
      <c r="M73" s="128"/>
      <c r="N73" s="128"/>
      <c r="O73" s="128"/>
      <c r="P73" s="130"/>
      <c r="Q73" s="128"/>
      <c r="R73" s="704"/>
    </row>
    <row r="74">
      <c r="A74" s="704"/>
      <c r="B74" s="636"/>
      <c r="C74" s="136"/>
      <c r="D74" s="699"/>
      <c r="E74" s="525"/>
      <c r="F74" s="85"/>
      <c r="G74" s="85"/>
      <c r="H74" s="85"/>
      <c r="I74" s="700"/>
      <c r="J74" s="701" t="s">
        <v>427</v>
      </c>
      <c r="K74" s="702" t="s">
        <v>208</v>
      </c>
      <c r="L74" s="702" t="s">
        <v>426</v>
      </c>
      <c r="M74" s="702" t="s">
        <v>2</v>
      </c>
      <c r="N74" s="702" t="s">
        <v>1</v>
      </c>
      <c r="O74" s="702" t="s">
        <v>4</v>
      </c>
      <c r="P74" s="728" t="s">
        <v>3</v>
      </c>
      <c r="Q74" s="703" t="s">
        <v>210</v>
      </c>
      <c r="R74" s="704"/>
    </row>
    <row r="75">
      <c r="A75" s="704"/>
      <c r="B75" s="631"/>
      <c r="C75" s="710" t="s">
        <v>1216</v>
      </c>
      <c r="D75" s="711"/>
      <c r="E75" s="712"/>
      <c r="F75" s="68">
        <v>3.0</v>
      </c>
      <c r="G75" s="68">
        <v>2.0</v>
      </c>
      <c r="H75" s="68">
        <v>2.0</v>
      </c>
      <c r="I75" s="713" t="s">
        <v>714</v>
      </c>
      <c r="J75" s="709">
        <v>5.0</v>
      </c>
      <c r="K75" s="709">
        <v>4.0</v>
      </c>
      <c r="L75" s="709">
        <v>4.0</v>
      </c>
      <c r="M75" s="709">
        <v>5.0</v>
      </c>
      <c r="N75" s="654">
        <v>5.0</v>
      </c>
      <c r="O75" s="709">
        <v>4.0</v>
      </c>
      <c r="P75" s="652">
        <v>4.0</v>
      </c>
      <c r="Q75" s="709">
        <v>5.0</v>
      </c>
      <c r="R75" s="704"/>
    </row>
    <row r="76">
      <c r="A76" s="704"/>
      <c r="B76" s="353"/>
      <c r="C76" s="710" t="s">
        <v>1217</v>
      </c>
      <c r="D76" s="711"/>
      <c r="E76" s="712"/>
      <c r="F76" s="68">
        <v>3.0</v>
      </c>
      <c r="G76" s="68">
        <v>2.0</v>
      </c>
      <c r="H76" s="68">
        <v>2.0</v>
      </c>
      <c r="I76" s="713" t="s">
        <v>714</v>
      </c>
      <c r="J76" s="714">
        <v>1.0</v>
      </c>
      <c r="K76" s="714">
        <v>1.0</v>
      </c>
      <c r="L76" s="714">
        <v>1.0</v>
      </c>
      <c r="M76" s="714">
        <v>1.0</v>
      </c>
      <c r="N76" s="651">
        <v>1.0</v>
      </c>
      <c r="O76" s="714">
        <v>1.0</v>
      </c>
      <c r="P76" s="651">
        <v>1.0</v>
      </c>
      <c r="Q76" s="714">
        <v>1.0</v>
      </c>
      <c r="R76" s="704"/>
    </row>
    <row r="77">
      <c r="A77" s="704"/>
      <c r="B77" s="632"/>
      <c r="C77" s="710" t="s">
        <v>1218</v>
      </c>
      <c r="D77" s="711"/>
      <c r="E77" s="712" t="s">
        <v>71</v>
      </c>
      <c r="F77" s="68"/>
      <c r="G77" s="68"/>
      <c r="H77" s="68">
        <v>2.0</v>
      </c>
      <c r="I77" s="713" t="s">
        <v>714</v>
      </c>
      <c r="J77" s="714">
        <v>4.0</v>
      </c>
      <c r="K77" s="714">
        <v>5.0</v>
      </c>
      <c r="L77" s="714">
        <v>4.0</v>
      </c>
      <c r="M77" s="714">
        <v>4.0</v>
      </c>
      <c r="N77" s="652">
        <v>4.0</v>
      </c>
      <c r="O77" s="714">
        <v>4.0</v>
      </c>
      <c r="P77" s="652">
        <v>4.0</v>
      </c>
      <c r="Q77" s="714">
        <v>4.0</v>
      </c>
      <c r="R77" s="704"/>
    </row>
    <row r="78">
      <c r="A78" s="704"/>
      <c r="B78" s="639"/>
      <c r="C78" s="710" t="s">
        <v>1219</v>
      </c>
      <c r="D78" s="711"/>
      <c r="E78" s="712" t="s">
        <v>497</v>
      </c>
      <c r="F78" s="68"/>
      <c r="G78" s="68"/>
      <c r="H78" s="68">
        <v>2.0</v>
      </c>
      <c r="I78" s="713" t="s">
        <v>714</v>
      </c>
      <c r="J78" s="714">
        <v>2.0</v>
      </c>
      <c r="K78" s="714">
        <v>1.0</v>
      </c>
      <c r="L78" s="714">
        <v>2.0</v>
      </c>
      <c r="M78" s="714">
        <v>1.0</v>
      </c>
      <c r="N78" s="651">
        <v>1.0</v>
      </c>
      <c r="O78" s="714">
        <v>2.0</v>
      </c>
      <c r="P78" s="651">
        <v>1.0</v>
      </c>
      <c r="Q78" s="714">
        <v>1.0</v>
      </c>
      <c r="R78" s="704"/>
    </row>
    <row r="79">
      <c r="A79" s="704"/>
      <c r="B79" s="353"/>
      <c r="C79" s="710" t="s">
        <v>1220</v>
      </c>
      <c r="D79" s="711"/>
      <c r="E79" s="712" t="s">
        <v>60</v>
      </c>
      <c r="F79" s="68">
        <v>2.0</v>
      </c>
      <c r="G79" s="68">
        <v>1.0</v>
      </c>
      <c r="H79" s="68">
        <v>1.0</v>
      </c>
      <c r="I79" s="713" t="s">
        <v>714</v>
      </c>
      <c r="J79" s="714">
        <v>1.0</v>
      </c>
      <c r="K79" s="714">
        <v>1.0</v>
      </c>
      <c r="L79" s="714">
        <v>1.0</v>
      </c>
      <c r="M79" s="714">
        <v>1.0</v>
      </c>
      <c r="N79" s="651">
        <v>1.0</v>
      </c>
      <c r="O79" s="714">
        <v>1.0</v>
      </c>
      <c r="P79" s="650">
        <v>2.0</v>
      </c>
      <c r="Q79" s="714">
        <v>1.0</v>
      </c>
      <c r="R79" s="704"/>
    </row>
    <row r="80">
      <c r="A80" s="716"/>
      <c r="B80" s="355"/>
      <c r="C80" s="729" t="s">
        <v>1221</v>
      </c>
      <c r="D80" s="730"/>
      <c r="E80" s="731"/>
      <c r="F80" s="557">
        <v>4.0</v>
      </c>
      <c r="G80" s="557">
        <v>3.0</v>
      </c>
      <c r="H80" s="557">
        <v>3.0</v>
      </c>
      <c r="I80" s="732" t="s">
        <v>714</v>
      </c>
      <c r="J80" s="714">
        <v>4.0</v>
      </c>
      <c r="K80" s="714">
        <v>2.0</v>
      </c>
      <c r="L80" s="714">
        <v>2.0</v>
      </c>
      <c r="M80" s="714">
        <v>2.0</v>
      </c>
      <c r="N80" s="651">
        <v>1.0</v>
      </c>
      <c r="O80" s="714">
        <v>1.0</v>
      </c>
      <c r="P80" s="651">
        <v>1.0</v>
      </c>
      <c r="Q80" s="714">
        <v>2.0</v>
      </c>
      <c r="R80" s="716"/>
    </row>
    <row r="81">
      <c r="A81" s="704"/>
      <c r="B81" s="634"/>
      <c r="C81" s="733" t="s">
        <v>1222</v>
      </c>
      <c r="D81" s="711"/>
      <c r="E81" s="712" t="s">
        <v>71</v>
      </c>
      <c r="F81" s="68"/>
      <c r="G81" s="68"/>
      <c r="H81" s="68">
        <v>3.0</v>
      </c>
      <c r="I81" s="713" t="s">
        <v>714</v>
      </c>
      <c r="J81" s="714">
        <v>2.0</v>
      </c>
      <c r="K81" s="714">
        <v>1.0</v>
      </c>
      <c r="L81" s="714">
        <v>2.0</v>
      </c>
      <c r="M81" s="714">
        <v>3.0</v>
      </c>
      <c r="N81" s="650">
        <v>2.0</v>
      </c>
      <c r="O81" s="714">
        <v>4.0</v>
      </c>
      <c r="P81" s="650">
        <v>2.0</v>
      </c>
      <c r="Q81" s="714">
        <v>3.0</v>
      </c>
      <c r="R81" s="704"/>
    </row>
    <row r="82">
      <c r="A82" s="704"/>
      <c r="B82" s="355"/>
      <c r="C82" s="735" t="s">
        <v>1223</v>
      </c>
      <c r="D82" s="730"/>
      <c r="E82" s="731" t="s">
        <v>71</v>
      </c>
      <c r="F82" s="557"/>
      <c r="G82" s="557"/>
      <c r="H82" s="557">
        <v>5.0</v>
      </c>
      <c r="I82" s="732" t="s">
        <v>714</v>
      </c>
      <c r="J82" s="714">
        <v>2.0</v>
      </c>
      <c r="K82" s="714">
        <v>1.0</v>
      </c>
      <c r="L82" s="714">
        <v>2.0</v>
      </c>
      <c r="M82" s="714">
        <v>1.0</v>
      </c>
      <c r="N82" s="651">
        <v>1.0</v>
      </c>
      <c r="O82" s="714">
        <v>1.0</v>
      </c>
      <c r="P82" s="651">
        <v>1.0</v>
      </c>
      <c r="Q82" s="714">
        <v>1.0</v>
      </c>
      <c r="R82" s="704"/>
    </row>
    <row r="83">
      <c r="A83" s="704"/>
      <c r="B83" s="635"/>
      <c r="C83" s="733" t="s">
        <v>1224</v>
      </c>
      <c r="D83" s="711"/>
      <c r="E83" s="712"/>
      <c r="F83" s="68">
        <v>3.0</v>
      </c>
      <c r="G83" s="68">
        <v>2.0</v>
      </c>
      <c r="H83" s="68">
        <v>2.0</v>
      </c>
      <c r="I83" s="713" t="s">
        <v>714</v>
      </c>
      <c r="J83" s="714">
        <v>5.0</v>
      </c>
      <c r="K83" s="714">
        <v>4.0</v>
      </c>
      <c r="L83" s="714">
        <v>4.0</v>
      </c>
      <c r="M83" s="714">
        <v>4.0</v>
      </c>
      <c r="N83" s="652">
        <v>4.0</v>
      </c>
      <c r="O83" s="714">
        <v>5.0</v>
      </c>
      <c r="P83" s="652">
        <v>4.0</v>
      </c>
      <c r="Q83" s="714">
        <v>3.0</v>
      </c>
      <c r="R83" s="704"/>
    </row>
    <row r="84">
      <c r="A84" s="704"/>
      <c r="B84" s="355"/>
      <c r="C84" s="735" t="s">
        <v>1225</v>
      </c>
      <c r="D84" s="730"/>
      <c r="E84" s="731"/>
      <c r="F84" s="557">
        <v>5.0</v>
      </c>
      <c r="G84" s="557">
        <v>7.0</v>
      </c>
      <c r="H84" s="557">
        <v>6.0</v>
      </c>
      <c r="I84" s="732" t="s">
        <v>714</v>
      </c>
      <c r="J84" s="714">
        <v>2.0</v>
      </c>
      <c r="K84" s="714">
        <v>2.0</v>
      </c>
      <c r="L84" s="714">
        <v>2.0</v>
      </c>
      <c r="M84" s="714">
        <v>3.0</v>
      </c>
      <c r="N84" s="650">
        <v>2.0</v>
      </c>
      <c r="O84" s="714">
        <v>2.0</v>
      </c>
      <c r="P84" s="650">
        <v>2.0</v>
      </c>
      <c r="Q84" s="714">
        <v>2.0</v>
      </c>
      <c r="R84" s="704"/>
    </row>
    <row r="85">
      <c r="A85" s="704"/>
      <c r="B85" s="605"/>
      <c r="C85" s="195" t="s">
        <v>135</v>
      </c>
      <c r="D85" s="82"/>
      <c r="E85" s="82"/>
      <c r="F85" s="82"/>
      <c r="G85" s="82"/>
      <c r="H85" s="82"/>
      <c r="I85" s="96"/>
      <c r="J85" s="128"/>
      <c r="K85" s="128"/>
      <c r="L85" s="128"/>
      <c r="M85" s="128"/>
      <c r="N85" s="128"/>
      <c r="O85" s="128"/>
      <c r="P85" s="130"/>
      <c r="Q85" s="128"/>
      <c r="R85" s="704"/>
    </row>
    <row r="86">
      <c r="A86" s="716"/>
      <c r="B86" s="636"/>
      <c r="C86" s="136"/>
      <c r="D86" s="699"/>
      <c r="E86" s="525"/>
      <c r="F86" s="85"/>
      <c r="G86" s="85"/>
      <c r="H86" s="85"/>
      <c r="I86" s="700"/>
      <c r="J86" s="703" t="s">
        <v>427</v>
      </c>
      <c r="K86" s="702" t="s">
        <v>208</v>
      </c>
      <c r="L86" s="702" t="s">
        <v>426</v>
      </c>
      <c r="M86" s="702" t="s">
        <v>2</v>
      </c>
      <c r="N86" s="702" t="s">
        <v>1</v>
      </c>
      <c r="O86" s="702" t="s">
        <v>4</v>
      </c>
      <c r="P86" s="728" t="s">
        <v>3</v>
      </c>
      <c r="Q86" s="703" t="s">
        <v>210</v>
      </c>
      <c r="R86" s="716"/>
    </row>
    <row r="87">
      <c r="A87" s="704"/>
      <c r="B87" s="631"/>
      <c r="C87" s="710" t="s">
        <v>1226</v>
      </c>
      <c r="D87" s="711"/>
      <c r="E87" s="712"/>
      <c r="F87" s="68">
        <v>2.0</v>
      </c>
      <c r="G87" s="68">
        <v>2.0</v>
      </c>
      <c r="H87" s="68">
        <v>3.0</v>
      </c>
      <c r="I87" s="713" t="s">
        <v>714</v>
      </c>
      <c r="J87" s="738">
        <v>1.0</v>
      </c>
      <c r="K87" s="714">
        <v>1.0</v>
      </c>
      <c r="L87" s="714">
        <v>1.0</v>
      </c>
      <c r="M87" s="714">
        <v>1.0</v>
      </c>
      <c r="N87" s="651">
        <v>1.0</v>
      </c>
      <c r="O87" s="714">
        <v>1.0</v>
      </c>
      <c r="P87" s="651">
        <v>1.0</v>
      </c>
      <c r="Q87" s="714">
        <v>1.0</v>
      </c>
      <c r="R87" s="704"/>
    </row>
    <row r="88">
      <c r="A88" s="704"/>
      <c r="B88" s="353"/>
      <c r="C88" s="710" t="s">
        <v>1227</v>
      </c>
      <c r="D88" s="711"/>
      <c r="E88" s="712" t="s">
        <v>71</v>
      </c>
      <c r="F88" s="68"/>
      <c r="G88" s="68"/>
      <c r="H88" s="68">
        <v>2.0</v>
      </c>
      <c r="I88" s="713" t="s">
        <v>714</v>
      </c>
      <c r="J88" s="714">
        <v>4.0</v>
      </c>
      <c r="K88" s="714">
        <v>3.0</v>
      </c>
      <c r="L88" s="714">
        <v>2.0</v>
      </c>
      <c r="M88" s="714">
        <v>2.0</v>
      </c>
      <c r="N88" s="650">
        <v>2.0</v>
      </c>
      <c r="O88" s="714">
        <v>2.0</v>
      </c>
      <c r="P88" s="715">
        <v>2.0</v>
      </c>
      <c r="Q88" s="714">
        <v>2.0</v>
      </c>
      <c r="R88" s="704"/>
    </row>
    <row r="89">
      <c r="A89" s="716"/>
      <c r="B89" s="632"/>
      <c r="C89" s="729" t="s">
        <v>1228</v>
      </c>
      <c r="D89" s="730"/>
      <c r="E89" s="731" t="s">
        <v>71</v>
      </c>
      <c r="F89" s="557"/>
      <c r="G89" s="557"/>
      <c r="H89" s="557">
        <v>2.0</v>
      </c>
      <c r="I89" s="732" t="s">
        <v>714</v>
      </c>
      <c r="J89" s="714">
        <v>3.0</v>
      </c>
      <c r="K89" s="714">
        <v>2.0</v>
      </c>
      <c r="L89" s="714">
        <v>2.0</v>
      </c>
      <c r="M89" s="714">
        <v>3.0</v>
      </c>
      <c r="N89" s="653">
        <v>3.0</v>
      </c>
      <c r="O89" s="714">
        <v>2.0</v>
      </c>
      <c r="P89" s="715">
        <v>2.0</v>
      </c>
      <c r="Q89" s="714">
        <v>3.0</v>
      </c>
      <c r="R89" s="716"/>
    </row>
    <row r="90">
      <c r="A90" s="704"/>
      <c r="B90" s="639"/>
      <c r="C90" s="710" t="s">
        <v>1229</v>
      </c>
      <c r="D90" s="711"/>
      <c r="E90" s="712" t="s">
        <v>71</v>
      </c>
      <c r="F90" s="68"/>
      <c r="G90" s="68"/>
      <c r="H90" s="68">
        <v>3.0</v>
      </c>
      <c r="I90" s="713" t="s">
        <v>714</v>
      </c>
      <c r="J90" s="714">
        <v>2.0</v>
      </c>
      <c r="K90" s="714">
        <v>3.0</v>
      </c>
      <c r="L90" s="714">
        <v>2.0</v>
      </c>
      <c r="M90" s="714">
        <v>2.0</v>
      </c>
      <c r="N90" s="653">
        <v>3.0</v>
      </c>
      <c r="O90" s="714">
        <v>2.0</v>
      </c>
      <c r="P90" s="650">
        <v>2.0</v>
      </c>
      <c r="Q90" s="714">
        <v>2.0</v>
      </c>
      <c r="R90" s="704"/>
    </row>
    <row r="91">
      <c r="A91" s="704"/>
      <c r="B91" s="353"/>
      <c r="C91" s="710" t="s">
        <v>1230</v>
      </c>
      <c r="D91" s="711"/>
      <c r="E91" s="712" t="s">
        <v>22</v>
      </c>
      <c r="F91" s="68">
        <v>4.0</v>
      </c>
      <c r="G91" s="68">
        <v>4.0</v>
      </c>
      <c r="H91" s="68">
        <v>7.0</v>
      </c>
      <c r="I91" s="713" t="s">
        <v>714</v>
      </c>
      <c r="J91" s="714">
        <v>1.0</v>
      </c>
      <c r="K91" s="714">
        <v>2.0</v>
      </c>
      <c r="L91" s="714">
        <v>3.0</v>
      </c>
      <c r="M91" s="714">
        <v>3.0</v>
      </c>
      <c r="N91" s="652">
        <v>4.0</v>
      </c>
      <c r="O91" s="714">
        <v>3.0</v>
      </c>
      <c r="P91" s="715">
        <v>2.0</v>
      </c>
      <c r="Q91" s="714">
        <v>4.0</v>
      </c>
      <c r="R91" s="704"/>
    </row>
    <row r="92">
      <c r="A92" s="704"/>
      <c r="B92" s="355"/>
      <c r="C92" s="729" t="s">
        <v>1231</v>
      </c>
      <c r="D92" s="730"/>
      <c r="E92" s="731" t="s">
        <v>116</v>
      </c>
      <c r="F92" s="557">
        <v>10.0</v>
      </c>
      <c r="G92" s="557">
        <v>10.0</v>
      </c>
      <c r="H92" s="557">
        <v>9.0</v>
      </c>
      <c r="I92" s="732" t="s">
        <v>714</v>
      </c>
      <c r="J92" s="714">
        <v>1.0</v>
      </c>
      <c r="K92" s="714">
        <v>1.0</v>
      </c>
      <c r="L92" s="714">
        <v>1.0</v>
      </c>
      <c r="M92" s="714">
        <v>1.0</v>
      </c>
      <c r="N92" s="651">
        <v>1.0</v>
      </c>
      <c r="O92" s="714">
        <v>1.0</v>
      </c>
      <c r="P92" s="651">
        <v>1.0</v>
      </c>
      <c r="Q92" s="714">
        <v>1.0</v>
      </c>
      <c r="R92" s="704"/>
    </row>
    <row r="93">
      <c r="A93" s="704"/>
      <c r="B93" s="634"/>
      <c r="C93" s="733" t="s">
        <v>1232</v>
      </c>
      <c r="D93" s="711"/>
      <c r="E93" s="712" t="s">
        <v>71</v>
      </c>
      <c r="F93" s="68"/>
      <c r="G93" s="68"/>
      <c r="H93" s="68">
        <v>8.0</v>
      </c>
      <c r="I93" s="713" t="s">
        <v>714</v>
      </c>
      <c r="J93" s="714">
        <v>2.0</v>
      </c>
      <c r="K93" s="714">
        <v>1.0</v>
      </c>
      <c r="L93" s="714">
        <v>3.0</v>
      </c>
      <c r="M93" s="714">
        <v>2.0</v>
      </c>
      <c r="N93" s="651">
        <v>1.0</v>
      </c>
      <c r="O93" s="714">
        <v>3.0</v>
      </c>
      <c r="P93" s="650">
        <v>2.0</v>
      </c>
      <c r="Q93" s="714">
        <v>2.0</v>
      </c>
      <c r="R93" s="704"/>
    </row>
    <row r="94">
      <c r="A94" s="704"/>
      <c r="B94" s="355"/>
      <c r="C94" s="735" t="s">
        <v>1233</v>
      </c>
      <c r="D94" s="730"/>
      <c r="E94" s="731" t="s">
        <v>71</v>
      </c>
      <c r="F94" s="557"/>
      <c r="G94" s="557"/>
      <c r="H94" s="557">
        <v>2.0</v>
      </c>
      <c r="I94" s="732" t="s">
        <v>714</v>
      </c>
      <c r="J94" s="714">
        <v>1.0</v>
      </c>
      <c r="K94" s="714">
        <v>1.0</v>
      </c>
      <c r="L94" s="714">
        <v>2.0</v>
      </c>
      <c r="M94" s="714">
        <v>1.0</v>
      </c>
      <c r="N94" s="650">
        <v>2.0</v>
      </c>
      <c r="O94" s="714">
        <v>3.0</v>
      </c>
      <c r="P94" s="650">
        <v>2.0</v>
      </c>
      <c r="Q94" s="714">
        <v>2.0</v>
      </c>
      <c r="R94" s="704"/>
    </row>
    <row r="95">
      <c r="A95" s="716"/>
      <c r="B95" s="635"/>
      <c r="C95" s="733" t="s">
        <v>1234</v>
      </c>
      <c r="D95" s="711"/>
      <c r="E95" s="712"/>
      <c r="F95" s="68">
        <v>4.0</v>
      </c>
      <c r="G95" s="68">
        <v>6.0</v>
      </c>
      <c r="H95" s="68">
        <v>5.0</v>
      </c>
      <c r="I95" s="713" t="s">
        <v>714</v>
      </c>
      <c r="J95" s="714">
        <v>2.0</v>
      </c>
      <c r="K95" s="714">
        <v>3.0</v>
      </c>
      <c r="L95" s="714">
        <v>2.0</v>
      </c>
      <c r="M95" s="714">
        <v>1.0</v>
      </c>
      <c r="N95" s="651">
        <v>1.0</v>
      </c>
      <c r="O95" s="714">
        <v>1.0</v>
      </c>
      <c r="P95" s="652">
        <v>4.0</v>
      </c>
      <c r="Q95" s="714">
        <v>2.0</v>
      </c>
      <c r="R95" s="716"/>
    </row>
    <row r="96">
      <c r="A96" s="716"/>
      <c r="B96" s="355"/>
      <c r="C96" s="735" t="s">
        <v>1235</v>
      </c>
      <c r="D96" s="730"/>
      <c r="E96" s="731"/>
      <c r="F96" s="557">
        <v>2.0</v>
      </c>
      <c r="G96" s="557">
        <v>2.0</v>
      </c>
      <c r="H96" s="557">
        <v>4.0</v>
      </c>
      <c r="I96" s="732" t="s">
        <v>714</v>
      </c>
      <c r="J96" s="714">
        <v>5.0</v>
      </c>
      <c r="K96" s="714">
        <v>4.0</v>
      </c>
      <c r="L96" s="714">
        <v>4.0</v>
      </c>
      <c r="M96" s="714">
        <v>2.0</v>
      </c>
      <c r="N96" s="650">
        <v>2.0</v>
      </c>
      <c r="O96" s="714">
        <v>4.0</v>
      </c>
      <c r="P96" s="652">
        <v>4.0</v>
      </c>
      <c r="Q96" s="714">
        <v>2.0</v>
      </c>
      <c r="R96" s="716"/>
    </row>
    <row r="97">
      <c r="A97" s="716"/>
      <c r="B97" s="605"/>
      <c r="C97" s="195" t="s">
        <v>147</v>
      </c>
      <c r="D97" s="82"/>
      <c r="E97" s="82"/>
      <c r="F97" s="82"/>
      <c r="G97" s="82"/>
      <c r="H97" s="82"/>
      <c r="I97" s="96"/>
      <c r="J97" s="128"/>
      <c r="K97" s="128"/>
      <c r="L97" s="128"/>
      <c r="M97" s="128"/>
      <c r="N97" s="128"/>
      <c r="O97" s="128"/>
      <c r="P97" s="130"/>
      <c r="Q97" s="128"/>
      <c r="R97" s="716"/>
    </row>
    <row r="98">
      <c r="A98" s="716"/>
      <c r="B98" s="636"/>
      <c r="C98" s="136"/>
      <c r="D98" s="699"/>
      <c r="E98" s="525"/>
      <c r="F98" s="85"/>
      <c r="G98" s="85"/>
      <c r="H98" s="85"/>
      <c r="I98" s="700"/>
      <c r="J98" s="701" t="s">
        <v>427</v>
      </c>
      <c r="K98" s="702" t="s">
        <v>208</v>
      </c>
      <c r="L98" s="702" t="s">
        <v>426</v>
      </c>
      <c r="M98" s="702" t="s">
        <v>2</v>
      </c>
      <c r="N98" s="702" t="s">
        <v>1</v>
      </c>
      <c r="O98" s="702" t="s">
        <v>4</v>
      </c>
      <c r="P98" s="728" t="s">
        <v>3</v>
      </c>
      <c r="Q98" s="703" t="s">
        <v>210</v>
      </c>
      <c r="R98" s="716"/>
    </row>
    <row r="99">
      <c r="A99" s="716"/>
      <c r="B99" s="631"/>
      <c r="C99" s="710" t="s">
        <v>1236</v>
      </c>
      <c r="D99" s="711"/>
      <c r="E99" s="712"/>
      <c r="F99" s="68">
        <v>1.0</v>
      </c>
      <c r="G99" s="68">
        <v>1.0</v>
      </c>
      <c r="H99" s="68">
        <v>1.0</v>
      </c>
      <c r="I99" s="713" t="s">
        <v>714</v>
      </c>
      <c r="J99" s="709">
        <v>3.0</v>
      </c>
      <c r="K99" s="709">
        <v>3.0</v>
      </c>
      <c r="L99" s="709">
        <v>3.0</v>
      </c>
      <c r="M99" s="709">
        <v>2.0</v>
      </c>
      <c r="N99" s="650">
        <v>2.0</v>
      </c>
      <c r="O99" s="709">
        <v>3.0</v>
      </c>
      <c r="P99" s="652">
        <v>4.0</v>
      </c>
      <c r="Q99" s="709">
        <v>2.0</v>
      </c>
      <c r="R99" s="716"/>
    </row>
    <row r="100">
      <c r="A100" s="716"/>
      <c r="B100" s="353"/>
      <c r="C100" s="710" t="s">
        <v>1237</v>
      </c>
      <c r="D100" s="711"/>
      <c r="E100" s="712" t="s">
        <v>497</v>
      </c>
      <c r="F100" s="68"/>
      <c r="G100" s="68"/>
      <c r="H100" s="68">
        <v>2.0</v>
      </c>
      <c r="I100" s="713" t="s">
        <v>714</v>
      </c>
      <c r="J100" s="714">
        <v>2.0</v>
      </c>
      <c r="K100" s="714">
        <v>3.0</v>
      </c>
      <c r="L100" s="714">
        <v>2.0</v>
      </c>
      <c r="M100" s="714">
        <v>3.0</v>
      </c>
      <c r="N100" s="651">
        <v>1.0</v>
      </c>
      <c r="O100" s="714">
        <v>1.0</v>
      </c>
      <c r="P100" s="650">
        <v>2.0</v>
      </c>
      <c r="Q100" s="714">
        <v>2.0</v>
      </c>
      <c r="R100" s="716"/>
    </row>
    <row r="101">
      <c r="A101" s="716"/>
      <c r="B101" s="632"/>
      <c r="C101" s="710" t="s">
        <v>1238</v>
      </c>
      <c r="D101" s="711"/>
      <c r="E101" s="712" t="s">
        <v>22</v>
      </c>
      <c r="F101" s="68">
        <v>1.0</v>
      </c>
      <c r="G101" s="68">
        <v>5.0</v>
      </c>
      <c r="H101" s="68">
        <v>2.0</v>
      </c>
      <c r="I101" s="713" t="s">
        <v>714</v>
      </c>
      <c r="J101" s="714">
        <v>1.0</v>
      </c>
      <c r="K101" s="714">
        <v>1.0</v>
      </c>
      <c r="L101" s="714">
        <v>1.0</v>
      </c>
      <c r="M101" s="714">
        <v>1.0</v>
      </c>
      <c r="N101" s="651">
        <v>1.0</v>
      </c>
      <c r="O101" s="714">
        <v>2.0</v>
      </c>
      <c r="P101" s="650">
        <v>2.0</v>
      </c>
      <c r="Q101" s="714">
        <v>2.0</v>
      </c>
      <c r="R101" s="716"/>
    </row>
    <row r="102">
      <c r="A102" s="716"/>
      <c r="B102" s="639"/>
      <c r="C102" s="710" t="s">
        <v>1239</v>
      </c>
      <c r="D102" s="711"/>
      <c r="E102" s="712" t="s">
        <v>1177</v>
      </c>
      <c r="F102" s="68">
        <v>5.0</v>
      </c>
      <c r="G102" s="68">
        <v>5.0</v>
      </c>
      <c r="H102" s="68">
        <v>5.0</v>
      </c>
      <c r="I102" s="713" t="s">
        <v>714</v>
      </c>
      <c r="J102" s="714">
        <v>1.0</v>
      </c>
      <c r="K102" s="714">
        <v>1.0</v>
      </c>
      <c r="L102" s="714">
        <v>1.0</v>
      </c>
      <c r="M102" s="714">
        <v>1.0</v>
      </c>
      <c r="N102" s="651">
        <v>1.0</v>
      </c>
      <c r="O102" s="714">
        <v>2.0</v>
      </c>
      <c r="P102" s="650">
        <v>2.0</v>
      </c>
      <c r="Q102" s="714">
        <v>2.0</v>
      </c>
      <c r="R102" s="716"/>
    </row>
    <row r="103">
      <c r="A103" s="716"/>
      <c r="B103" s="353"/>
      <c r="C103" s="710" t="s">
        <v>1240</v>
      </c>
      <c r="D103" s="711"/>
      <c r="E103" s="712" t="s">
        <v>71</v>
      </c>
      <c r="F103" s="68"/>
      <c r="G103" s="68"/>
      <c r="H103" s="68">
        <v>3.0</v>
      </c>
      <c r="I103" s="713" t="s">
        <v>714</v>
      </c>
      <c r="J103" s="714">
        <v>5.0</v>
      </c>
      <c r="K103" s="714">
        <v>4.0</v>
      </c>
      <c r="L103" s="714">
        <v>4.0</v>
      </c>
      <c r="M103" s="714">
        <v>4.0</v>
      </c>
      <c r="N103" s="652">
        <v>4.0</v>
      </c>
      <c r="O103" s="714">
        <v>4.0</v>
      </c>
      <c r="P103" s="652">
        <v>4.0</v>
      </c>
      <c r="Q103" s="714">
        <v>4.0</v>
      </c>
      <c r="R103" s="716"/>
    </row>
    <row r="104">
      <c r="A104" s="716"/>
      <c r="B104" s="355"/>
      <c r="C104" s="729" t="s">
        <v>1241</v>
      </c>
      <c r="D104" s="730"/>
      <c r="E104" s="731" t="s">
        <v>20</v>
      </c>
      <c r="F104" s="557">
        <v>8.0</v>
      </c>
      <c r="G104" s="557">
        <v>5.0</v>
      </c>
      <c r="H104" s="557">
        <v>7.0</v>
      </c>
      <c r="I104" s="732" t="s">
        <v>714</v>
      </c>
      <c r="J104" s="714">
        <v>1.0</v>
      </c>
      <c r="K104" s="714">
        <v>1.0</v>
      </c>
      <c r="L104" s="714">
        <v>1.0</v>
      </c>
      <c r="M104" s="714">
        <v>1.0</v>
      </c>
      <c r="N104" s="651">
        <v>1.0</v>
      </c>
      <c r="O104" s="714">
        <v>1.0</v>
      </c>
      <c r="P104" s="651">
        <v>1.0</v>
      </c>
      <c r="Q104" s="714">
        <v>2.0</v>
      </c>
      <c r="R104" s="716"/>
    </row>
    <row r="105">
      <c r="A105" s="716"/>
      <c r="B105" s="634"/>
      <c r="C105" s="733" t="s">
        <v>1242</v>
      </c>
      <c r="D105" s="711"/>
      <c r="E105" s="712" t="s">
        <v>71</v>
      </c>
      <c r="F105" s="68"/>
      <c r="G105" s="68"/>
      <c r="H105" s="68">
        <v>8.0</v>
      </c>
      <c r="I105" s="713" t="s">
        <v>714</v>
      </c>
      <c r="J105" s="714">
        <v>2.0</v>
      </c>
      <c r="K105" s="714">
        <v>1.0</v>
      </c>
      <c r="L105" s="714">
        <v>2.0</v>
      </c>
      <c r="M105" s="714">
        <v>2.0</v>
      </c>
      <c r="N105" s="650">
        <v>2.0</v>
      </c>
      <c r="O105" s="714">
        <v>2.0</v>
      </c>
      <c r="P105" s="715">
        <v>2.0</v>
      </c>
      <c r="Q105" s="714">
        <v>2.0</v>
      </c>
      <c r="R105" s="716"/>
    </row>
    <row r="106">
      <c r="A106" s="716"/>
      <c r="B106" s="355"/>
      <c r="C106" s="735" t="s">
        <v>1243</v>
      </c>
      <c r="D106" s="730"/>
      <c r="E106" s="731" t="s">
        <v>71</v>
      </c>
      <c r="F106" s="557"/>
      <c r="G106" s="557"/>
      <c r="H106" s="557">
        <v>2.0</v>
      </c>
      <c r="I106" s="732" t="s">
        <v>714</v>
      </c>
      <c r="J106" s="714">
        <v>1.0</v>
      </c>
      <c r="K106" s="714">
        <v>1.0</v>
      </c>
      <c r="L106" s="714">
        <v>1.0</v>
      </c>
      <c r="M106" s="714">
        <v>1.0</v>
      </c>
      <c r="N106" s="651">
        <v>1.0</v>
      </c>
      <c r="O106" s="714">
        <v>1.0</v>
      </c>
      <c r="P106" s="651">
        <v>1.0</v>
      </c>
      <c r="Q106" s="714">
        <v>1.0</v>
      </c>
      <c r="R106" s="716"/>
    </row>
    <row r="107">
      <c r="A107" s="716"/>
      <c r="B107" s="635"/>
      <c r="C107" s="733" t="s">
        <v>1244</v>
      </c>
      <c r="D107" s="711"/>
      <c r="E107" s="712" t="s">
        <v>77</v>
      </c>
      <c r="F107" s="68">
        <v>2.0</v>
      </c>
      <c r="G107" s="68">
        <v>2.0</v>
      </c>
      <c r="H107" s="68">
        <v>4.0</v>
      </c>
      <c r="I107" s="713" t="s">
        <v>714</v>
      </c>
      <c r="J107" s="714">
        <v>2.0</v>
      </c>
      <c r="K107" s="714">
        <v>4.0</v>
      </c>
      <c r="L107" s="714">
        <v>4.0</v>
      </c>
      <c r="M107" s="714">
        <v>4.0</v>
      </c>
      <c r="N107" s="654">
        <v>5.0</v>
      </c>
      <c r="O107" s="714">
        <v>5.0</v>
      </c>
      <c r="P107" s="654">
        <v>5.0</v>
      </c>
      <c r="Q107" s="714">
        <v>5.0</v>
      </c>
      <c r="R107" s="716"/>
    </row>
    <row r="108">
      <c r="A108" s="716"/>
      <c r="B108" s="355"/>
      <c r="C108" s="735" t="s">
        <v>1245</v>
      </c>
      <c r="D108" s="730"/>
      <c r="E108" s="731"/>
      <c r="F108" s="557">
        <v>4.0</v>
      </c>
      <c r="G108" s="557">
        <v>4.0</v>
      </c>
      <c r="H108" s="557">
        <v>6.0</v>
      </c>
      <c r="I108" s="732" t="s">
        <v>714</v>
      </c>
      <c r="J108" s="714">
        <v>1.0</v>
      </c>
      <c r="K108" s="714">
        <v>1.0</v>
      </c>
      <c r="L108" s="714">
        <v>1.0</v>
      </c>
      <c r="M108" s="714">
        <v>2.0</v>
      </c>
      <c r="N108" s="651">
        <v>1.0</v>
      </c>
      <c r="O108" s="714">
        <v>2.0</v>
      </c>
      <c r="P108" s="715">
        <v>4.0</v>
      </c>
      <c r="Q108" s="714">
        <v>2.0</v>
      </c>
      <c r="R108" s="716"/>
    </row>
    <row r="109">
      <c r="A109" s="716"/>
      <c r="B109" s="605"/>
      <c r="C109" s="195" t="s">
        <v>158</v>
      </c>
      <c r="D109" s="82"/>
      <c r="E109" s="82"/>
      <c r="F109" s="82"/>
      <c r="G109" s="82"/>
      <c r="H109" s="82"/>
      <c r="I109" s="96"/>
      <c r="J109" s="128"/>
      <c r="K109" s="128"/>
      <c r="L109" s="128"/>
      <c r="M109" s="128"/>
      <c r="N109" s="128"/>
      <c r="O109" s="128"/>
      <c r="P109" s="130"/>
      <c r="Q109" s="128"/>
      <c r="R109" s="716"/>
    </row>
    <row r="110">
      <c r="A110" s="716"/>
      <c r="B110" s="636"/>
      <c r="C110" s="136"/>
      <c r="D110" s="699"/>
      <c r="E110" s="525"/>
      <c r="F110" s="85"/>
      <c r="G110" s="85"/>
      <c r="H110" s="85"/>
      <c r="I110" s="700"/>
      <c r="J110" s="703" t="s">
        <v>427</v>
      </c>
      <c r="K110" s="702" t="s">
        <v>208</v>
      </c>
      <c r="L110" s="702" t="s">
        <v>426</v>
      </c>
      <c r="M110" s="702" t="s">
        <v>2</v>
      </c>
      <c r="N110" s="702" t="s">
        <v>1</v>
      </c>
      <c r="O110" s="702" t="s">
        <v>4</v>
      </c>
      <c r="P110" s="728" t="s">
        <v>3</v>
      </c>
      <c r="Q110" s="703" t="s">
        <v>210</v>
      </c>
      <c r="R110" s="716"/>
    </row>
    <row r="111">
      <c r="A111" s="716"/>
      <c r="B111" s="631"/>
      <c r="C111" s="710" t="s">
        <v>1246</v>
      </c>
      <c r="D111" s="711"/>
      <c r="E111" s="712" t="s">
        <v>71</v>
      </c>
      <c r="F111" s="68"/>
      <c r="G111" s="68"/>
      <c r="H111" s="68">
        <v>2.0</v>
      </c>
      <c r="I111" s="713" t="s">
        <v>714</v>
      </c>
      <c r="J111" s="738">
        <v>2.0</v>
      </c>
      <c r="K111" s="714">
        <v>2.0</v>
      </c>
      <c r="L111" s="714">
        <v>2.0</v>
      </c>
      <c r="M111" s="714">
        <v>2.0</v>
      </c>
      <c r="N111" s="651">
        <v>1.0</v>
      </c>
      <c r="O111" s="714">
        <v>3.0</v>
      </c>
      <c r="P111" s="650">
        <v>2.0</v>
      </c>
      <c r="Q111" s="714">
        <v>2.0</v>
      </c>
      <c r="R111" s="716"/>
    </row>
    <row r="112">
      <c r="A112" s="716"/>
      <c r="B112" s="353"/>
      <c r="C112" s="710" t="s">
        <v>1247</v>
      </c>
      <c r="D112" s="711"/>
      <c r="E112" s="712"/>
      <c r="F112" s="68">
        <v>4.0</v>
      </c>
      <c r="G112" s="68">
        <v>3.0</v>
      </c>
      <c r="H112" s="68">
        <v>3.0</v>
      </c>
      <c r="I112" s="713" t="s">
        <v>714</v>
      </c>
      <c r="J112" s="714">
        <v>1.0</v>
      </c>
      <c r="K112" s="714">
        <v>1.0</v>
      </c>
      <c r="L112" s="714">
        <v>1.0</v>
      </c>
      <c r="M112" s="714">
        <v>1.0</v>
      </c>
      <c r="N112" s="651">
        <v>1.0</v>
      </c>
      <c r="O112" s="714">
        <v>2.0</v>
      </c>
      <c r="P112" s="651">
        <v>1.0</v>
      </c>
      <c r="Q112" s="714">
        <v>1.0</v>
      </c>
      <c r="R112" s="716"/>
    </row>
    <row r="113">
      <c r="A113" s="716"/>
      <c r="B113" s="632"/>
      <c r="C113" s="729" t="s">
        <v>1248</v>
      </c>
      <c r="D113" s="730"/>
      <c r="E113" s="731" t="s">
        <v>20</v>
      </c>
      <c r="F113" s="557">
        <v>3.0</v>
      </c>
      <c r="G113" s="557">
        <v>3.0</v>
      </c>
      <c r="H113" s="557">
        <v>5.0</v>
      </c>
      <c r="I113" s="732" t="s">
        <v>714</v>
      </c>
      <c r="J113" s="714">
        <v>1.0</v>
      </c>
      <c r="K113" s="714">
        <v>1.0</v>
      </c>
      <c r="L113" s="714">
        <v>1.0</v>
      </c>
      <c r="M113" s="714">
        <v>1.0</v>
      </c>
      <c r="N113" s="651">
        <v>1.0</v>
      </c>
      <c r="O113" s="714">
        <v>1.0</v>
      </c>
      <c r="P113" s="651">
        <v>1.0</v>
      </c>
      <c r="Q113" s="714">
        <v>1.0</v>
      </c>
      <c r="R113" s="716"/>
    </row>
    <row r="114">
      <c r="A114" s="716"/>
      <c r="B114" s="639"/>
      <c r="C114" s="710" t="s">
        <v>1249</v>
      </c>
      <c r="D114" s="711"/>
      <c r="E114" s="712"/>
      <c r="F114" s="68">
        <v>2.0</v>
      </c>
      <c r="G114" s="68">
        <v>5.0</v>
      </c>
      <c r="H114" s="68">
        <v>3.0</v>
      </c>
      <c r="I114" s="713" t="s">
        <v>714</v>
      </c>
      <c r="J114" s="714">
        <v>2.0</v>
      </c>
      <c r="K114" s="714">
        <v>4.0</v>
      </c>
      <c r="L114" s="714">
        <v>4.0</v>
      </c>
      <c r="M114" s="714">
        <v>4.0</v>
      </c>
      <c r="N114" s="651">
        <v>1.0</v>
      </c>
      <c r="O114" s="714">
        <v>3.0</v>
      </c>
      <c r="P114" s="652">
        <v>4.0</v>
      </c>
      <c r="Q114" s="714">
        <v>2.0</v>
      </c>
      <c r="R114" s="716"/>
    </row>
    <row r="115">
      <c r="A115" s="716"/>
      <c r="B115" s="353"/>
      <c r="C115" s="710" t="s">
        <v>1250</v>
      </c>
      <c r="D115" s="711"/>
      <c r="E115" s="712" t="s">
        <v>71</v>
      </c>
      <c r="F115" s="68"/>
      <c r="G115" s="68"/>
      <c r="H115" s="68">
        <v>4.0</v>
      </c>
      <c r="I115" s="713" t="s">
        <v>714</v>
      </c>
      <c r="J115" s="714">
        <v>1.0</v>
      </c>
      <c r="K115" s="714">
        <v>1.0</v>
      </c>
      <c r="L115" s="714">
        <v>1.0</v>
      </c>
      <c r="M115" s="714">
        <v>1.0</v>
      </c>
      <c r="N115" s="651">
        <v>1.0</v>
      </c>
      <c r="O115" s="714">
        <v>1.0</v>
      </c>
      <c r="P115" s="651">
        <v>1.0</v>
      </c>
      <c r="Q115" s="714">
        <v>1.0</v>
      </c>
      <c r="R115" s="716"/>
    </row>
    <row r="116">
      <c r="A116" s="716"/>
      <c r="B116" s="355"/>
      <c r="C116" s="729" t="s">
        <v>1251</v>
      </c>
      <c r="D116" s="730"/>
      <c r="E116" s="731" t="s">
        <v>71</v>
      </c>
      <c r="F116" s="557"/>
      <c r="G116" s="557"/>
      <c r="H116" s="557">
        <v>3.0</v>
      </c>
      <c r="I116" s="732" t="s">
        <v>714</v>
      </c>
      <c r="J116" s="714">
        <v>3.0</v>
      </c>
      <c r="K116" s="714">
        <v>3.0</v>
      </c>
      <c r="L116" s="714">
        <v>3.0</v>
      </c>
      <c r="M116" s="714">
        <v>2.0</v>
      </c>
      <c r="N116" s="652">
        <v>4.0</v>
      </c>
      <c r="O116" s="714">
        <v>3.0</v>
      </c>
      <c r="P116" s="715">
        <v>4.0</v>
      </c>
      <c r="Q116" s="714">
        <v>4.0</v>
      </c>
      <c r="R116" s="716"/>
    </row>
    <row r="117">
      <c r="A117" s="716"/>
      <c r="B117" s="634"/>
      <c r="C117" s="733" t="s">
        <v>1252</v>
      </c>
      <c r="D117" s="711"/>
      <c r="E117" s="712" t="s">
        <v>455</v>
      </c>
      <c r="F117" s="68">
        <v>8.0</v>
      </c>
      <c r="G117" s="68">
        <v>8.0</v>
      </c>
      <c r="H117" s="68">
        <v>9.0</v>
      </c>
      <c r="I117" s="713" t="s">
        <v>714</v>
      </c>
      <c r="J117" s="714">
        <v>2.0</v>
      </c>
      <c r="K117" s="714">
        <v>3.0</v>
      </c>
      <c r="L117" s="714">
        <v>2.0</v>
      </c>
      <c r="M117" s="714">
        <v>2.0</v>
      </c>
      <c r="N117" s="651">
        <v>1.0</v>
      </c>
      <c r="O117" s="714">
        <v>3.0</v>
      </c>
      <c r="P117" s="715">
        <v>2.0</v>
      </c>
      <c r="Q117" s="714">
        <v>2.0</v>
      </c>
      <c r="R117" s="716"/>
    </row>
    <row r="118">
      <c r="A118" s="716"/>
      <c r="B118" s="355"/>
      <c r="C118" s="735" t="s">
        <v>1253</v>
      </c>
      <c r="D118" s="730"/>
      <c r="E118" s="731" t="s">
        <v>71</v>
      </c>
      <c r="F118" s="557"/>
      <c r="G118" s="557"/>
      <c r="H118" s="557">
        <v>8.0</v>
      </c>
      <c r="I118" s="732" t="s">
        <v>714</v>
      </c>
      <c r="J118" s="714">
        <v>2.0</v>
      </c>
      <c r="K118" s="714">
        <v>2.0</v>
      </c>
      <c r="L118" s="714">
        <v>2.0</v>
      </c>
      <c r="M118" s="714">
        <v>2.0</v>
      </c>
      <c r="N118" s="651">
        <v>1.0</v>
      </c>
      <c r="O118" s="714">
        <v>2.0</v>
      </c>
      <c r="P118" s="650">
        <v>2.0</v>
      </c>
      <c r="Q118" s="714">
        <v>2.0</v>
      </c>
      <c r="R118" s="716"/>
    </row>
    <row r="119">
      <c r="A119" s="716"/>
      <c r="B119" s="635"/>
      <c r="C119" s="733" t="s">
        <v>1254</v>
      </c>
      <c r="D119" s="711"/>
      <c r="E119" s="712"/>
      <c r="F119" s="68">
        <v>8.0</v>
      </c>
      <c r="G119" s="68">
        <v>8.0</v>
      </c>
      <c r="H119" s="68">
        <v>8.0</v>
      </c>
      <c r="I119" s="713" t="s">
        <v>714</v>
      </c>
      <c r="J119" s="714">
        <v>5.0</v>
      </c>
      <c r="K119" s="714">
        <v>5.0</v>
      </c>
      <c r="L119" s="714">
        <v>5.0</v>
      </c>
      <c r="M119" s="714">
        <v>5.0</v>
      </c>
      <c r="N119" s="654">
        <v>5.0</v>
      </c>
      <c r="O119" s="714">
        <v>5.0</v>
      </c>
      <c r="P119" s="652">
        <v>4.0</v>
      </c>
      <c r="Q119" s="714">
        <v>4.0</v>
      </c>
      <c r="R119" s="716"/>
    </row>
    <row r="120">
      <c r="A120" s="716"/>
      <c r="B120" s="355"/>
      <c r="C120" s="735" t="s">
        <v>1255</v>
      </c>
      <c r="D120" s="730"/>
      <c r="E120" s="731"/>
      <c r="F120" s="557">
        <v>4.0</v>
      </c>
      <c r="G120" s="557">
        <v>4.0</v>
      </c>
      <c r="H120" s="557">
        <v>4.0</v>
      </c>
      <c r="I120" s="732" t="s">
        <v>714</v>
      </c>
      <c r="J120" s="714">
        <v>5.0</v>
      </c>
      <c r="K120" s="714">
        <v>4.0</v>
      </c>
      <c r="L120" s="714">
        <v>4.0</v>
      </c>
      <c r="M120" s="714">
        <v>3.0</v>
      </c>
      <c r="N120" s="654">
        <v>5.0</v>
      </c>
      <c r="O120" s="714">
        <v>4.0</v>
      </c>
      <c r="P120" s="652">
        <v>4.0</v>
      </c>
      <c r="Q120" s="714">
        <v>4.0</v>
      </c>
      <c r="R120" s="716"/>
    </row>
    <row r="121">
      <c r="A121" s="716"/>
      <c r="B121" s="605"/>
      <c r="C121" s="195" t="s">
        <v>170</v>
      </c>
      <c r="D121" s="82"/>
      <c r="E121" s="82"/>
      <c r="F121" s="82"/>
      <c r="G121" s="82"/>
      <c r="H121" s="82"/>
      <c r="I121" s="96"/>
      <c r="J121" s="128"/>
      <c r="K121" s="128"/>
      <c r="L121" s="128"/>
      <c r="M121" s="128"/>
      <c r="N121" s="128"/>
      <c r="O121" s="128"/>
      <c r="P121" s="130"/>
      <c r="Q121" s="128"/>
      <c r="R121" s="716"/>
    </row>
    <row r="122">
      <c r="A122" s="716"/>
      <c r="B122" s="636"/>
      <c r="C122" s="136"/>
      <c r="D122" s="699"/>
      <c r="E122" s="525"/>
      <c r="F122" s="85"/>
      <c r="G122" s="85"/>
      <c r="H122" s="85"/>
      <c r="I122" s="700"/>
      <c r="J122" s="703" t="s">
        <v>427</v>
      </c>
      <c r="K122" s="702" t="s">
        <v>208</v>
      </c>
      <c r="L122" s="702" t="s">
        <v>426</v>
      </c>
      <c r="M122" s="702" t="s">
        <v>2</v>
      </c>
      <c r="N122" s="702" t="s">
        <v>1</v>
      </c>
      <c r="O122" s="702" t="s">
        <v>4</v>
      </c>
      <c r="P122" s="728" t="s">
        <v>3</v>
      </c>
      <c r="Q122" s="703" t="s">
        <v>210</v>
      </c>
      <c r="R122" s="716"/>
    </row>
    <row r="123">
      <c r="A123" s="716"/>
      <c r="B123" s="631"/>
      <c r="C123" s="710" t="s">
        <v>1256</v>
      </c>
      <c r="D123" s="711"/>
      <c r="E123" s="712" t="s">
        <v>27</v>
      </c>
      <c r="F123" s="68">
        <v>3.0</v>
      </c>
      <c r="G123" s="68">
        <v>2.0</v>
      </c>
      <c r="H123" s="68">
        <v>2.0</v>
      </c>
      <c r="I123" s="713" t="s">
        <v>714</v>
      </c>
      <c r="J123" s="738">
        <v>4.0</v>
      </c>
      <c r="K123" s="714">
        <v>4.0</v>
      </c>
      <c r="L123" s="714">
        <v>2.0</v>
      </c>
      <c r="M123" s="714">
        <v>3.0</v>
      </c>
      <c r="N123" s="650">
        <v>2.0</v>
      </c>
      <c r="O123" s="714">
        <v>3.0</v>
      </c>
      <c r="P123" s="652">
        <v>4.0</v>
      </c>
      <c r="Q123" s="714">
        <v>2.0</v>
      </c>
      <c r="R123" s="716"/>
    </row>
    <row r="124">
      <c r="A124" s="716"/>
      <c r="B124" s="353"/>
      <c r="C124" s="710" t="s">
        <v>1257</v>
      </c>
      <c r="D124" s="711"/>
      <c r="E124" s="712"/>
      <c r="F124" s="68">
        <v>2.0</v>
      </c>
      <c r="G124" s="68">
        <v>3.0</v>
      </c>
      <c r="H124" s="68">
        <v>2.0</v>
      </c>
      <c r="I124" s="713" t="s">
        <v>714</v>
      </c>
      <c r="J124" s="714">
        <v>2.0</v>
      </c>
      <c r="K124" s="714">
        <v>1.0</v>
      </c>
      <c r="L124" s="714">
        <v>2.0</v>
      </c>
      <c r="M124" s="714">
        <v>2.0</v>
      </c>
      <c r="N124" s="651">
        <v>1.0</v>
      </c>
      <c r="O124" s="714">
        <v>1.0</v>
      </c>
      <c r="P124" s="651">
        <v>1.0</v>
      </c>
      <c r="Q124" s="714">
        <v>2.0</v>
      </c>
      <c r="R124" s="716"/>
    </row>
    <row r="125">
      <c r="A125" s="716"/>
      <c r="B125" s="632"/>
      <c r="C125" s="710" t="s">
        <v>1258</v>
      </c>
      <c r="D125" s="711"/>
      <c r="E125" s="712" t="s">
        <v>27</v>
      </c>
      <c r="F125" s="68">
        <v>3.0</v>
      </c>
      <c r="G125" s="68">
        <v>5.0</v>
      </c>
      <c r="H125" s="68">
        <v>5.0</v>
      </c>
      <c r="I125" s="713" t="s">
        <v>714</v>
      </c>
      <c r="J125" s="714">
        <v>2.0</v>
      </c>
      <c r="K125" s="714">
        <v>1.0</v>
      </c>
      <c r="L125" s="714">
        <v>1.0</v>
      </c>
      <c r="M125" s="714">
        <v>1.0</v>
      </c>
      <c r="N125" s="651">
        <v>1.0</v>
      </c>
      <c r="O125" s="714">
        <v>2.0</v>
      </c>
      <c r="P125" s="651">
        <v>1.0</v>
      </c>
      <c r="Q125" s="714">
        <v>1.0</v>
      </c>
      <c r="R125" s="716"/>
    </row>
    <row r="126">
      <c r="A126" s="716"/>
      <c r="B126" s="639"/>
      <c r="C126" s="710" t="s">
        <v>1259</v>
      </c>
      <c r="D126" s="711"/>
      <c r="E126" s="712" t="s">
        <v>71</v>
      </c>
      <c r="F126" s="68"/>
      <c r="G126" s="68"/>
      <c r="H126" s="68">
        <v>7.0</v>
      </c>
      <c r="I126" s="713" t="s">
        <v>714</v>
      </c>
      <c r="J126" s="714">
        <v>1.0</v>
      </c>
      <c r="K126" s="714">
        <v>1.0</v>
      </c>
      <c r="L126" s="714">
        <v>1.0</v>
      </c>
      <c r="M126" s="714">
        <v>1.0</v>
      </c>
      <c r="N126" s="651">
        <v>1.0</v>
      </c>
      <c r="O126" s="714">
        <v>1.0</v>
      </c>
      <c r="P126" s="651">
        <v>1.0</v>
      </c>
      <c r="Q126" s="714">
        <v>1.0</v>
      </c>
      <c r="R126" s="716"/>
    </row>
    <row r="127">
      <c r="A127" s="716"/>
      <c r="B127" s="353"/>
      <c r="C127" s="710" t="s">
        <v>1260</v>
      </c>
      <c r="D127" s="711"/>
      <c r="E127" s="712" t="s">
        <v>71</v>
      </c>
      <c r="F127" s="68"/>
      <c r="G127" s="68"/>
      <c r="H127" s="68">
        <v>8.0</v>
      </c>
      <c r="I127" s="713" t="s">
        <v>714</v>
      </c>
      <c r="J127" s="714">
        <v>3.0</v>
      </c>
      <c r="K127" s="714">
        <v>2.0</v>
      </c>
      <c r="L127" s="714">
        <v>2.0</v>
      </c>
      <c r="M127" s="714">
        <v>1.0</v>
      </c>
      <c r="N127" s="656">
        <v>1.0</v>
      </c>
      <c r="O127" s="714">
        <v>2.0</v>
      </c>
      <c r="P127" s="650">
        <v>2.0</v>
      </c>
      <c r="Q127" s="714">
        <v>2.0</v>
      </c>
      <c r="R127" s="716"/>
    </row>
    <row r="128">
      <c r="A128" s="716"/>
      <c r="B128" s="355"/>
      <c r="C128" s="729" t="s">
        <v>1261</v>
      </c>
      <c r="D128" s="730"/>
      <c r="E128" s="731" t="s">
        <v>71</v>
      </c>
      <c r="F128" s="557"/>
      <c r="G128" s="557"/>
      <c r="H128" s="557">
        <v>4.0</v>
      </c>
      <c r="I128" s="732" t="s">
        <v>714</v>
      </c>
      <c r="J128" s="714">
        <v>3.0</v>
      </c>
      <c r="K128" s="714">
        <v>3.0</v>
      </c>
      <c r="L128" s="714">
        <v>3.0</v>
      </c>
      <c r="M128" s="714">
        <v>3.0</v>
      </c>
      <c r="N128" s="653">
        <v>3.0</v>
      </c>
      <c r="O128" s="714">
        <v>3.0</v>
      </c>
      <c r="P128" s="715">
        <v>2.0</v>
      </c>
      <c r="Q128" s="714">
        <v>3.0</v>
      </c>
      <c r="R128" s="716"/>
    </row>
    <row r="129">
      <c r="A129" s="716"/>
      <c r="B129" s="634"/>
      <c r="C129" s="733" t="s">
        <v>1262</v>
      </c>
      <c r="D129" s="711"/>
      <c r="E129" s="712" t="s">
        <v>497</v>
      </c>
      <c r="F129" s="68"/>
      <c r="G129" s="68"/>
      <c r="H129" s="68">
        <v>3.0</v>
      </c>
      <c r="I129" s="713" t="s">
        <v>714</v>
      </c>
      <c r="J129" s="714">
        <v>2.0</v>
      </c>
      <c r="K129" s="714">
        <v>1.0</v>
      </c>
      <c r="L129" s="714">
        <v>2.0</v>
      </c>
      <c r="M129" s="714">
        <v>2.0</v>
      </c>
      <c r="N129" s="653">
        <v>3.0</v>
      </c>
      <c r="O129" s="714">
        <v>1.0</v>
      </c>
      <c r="P129" s="651">
        <v>1.0</v>
      </c>
      <c r="Q129" s="714">
        <v>2.0</v>
      </c>
      <c r="R129" s="716"/>
    </row>
    <row r="130">
      <c r="A130" s="716"/>
      <c r="B130" s="355"/>
      <c r="C130" s="735" t="s">
        <v>1263</v>
      </c>
      <c r="D130" s="730"/>
      <c r="E130" s="731"/>
      <c r="F130" s="557">
        <v>4.0</v>
      </c>
      <c r="G130" s="557">
        <v>4.0</v>
      </c>
      <c r="H130" s="557">
        <v>4.0</v>
      </c>
      <c r="I130" s="732" t="s">
        <v>714</v>
      </c>
      <c r="J130" s="714">
        <v>2.0</v>
      </c>
      <c r="K130" s="714">
        <v>2.0</v>
      </c>
      <c r="L130" s="714">
        <v>2.0</v>
      </c>
      <c r="M130" s="714">
        <v>2.0</v>
      </c>
      <c r="N130" s="651">
        <v>1.0</v>
      </c>
      <c r="O130" s="714">
        <v>1.0</v>
      </c>
      <c r="P130" s="651">
        <v>1.0</v>
      </c>
      <c r="Q130" s="714">
        <v>1.0</v>
      </c>
      <c r="R130" s="716"/>
    </row>
    <row r="131">
      <c r="A131" s="716"/>
      <c r="B131" s="635"/>
      <c r="C131" s="733" t="s">
        <v>1264</v>
      </c>
      <c r="D131" s="711"/>
      <c r="E131" s="712" t="s">
        <v>71</v>
      </c>
      <c r="F131" s="68"/>
      <c r="G131" s="68"/>
      <c r="H131" s="68">
        <v>2.0</v>
      </c>
      <c r="I131" s="713" t="s">
        <v>714</v>
      </c>
      <c r="J131" s="714">
        <v>2.0</v>
      </c>
      <c r="K131" s="714">
        <v>5.0</v>
      </c>
      <c r="L131" s="714">
        <v>3.0</v>
      </c>
      <c r="M131" s="714">
        <v>3.0</v>
      </c>
      <c r="N131" s="650">
        <v>2.0</v>
      </c>
      <c r="O131" s="714">
        <v>2.0</v>
      </c>
      <c r="P131" s="654">
        <v>5.0</v>
      </c>
      <c r="Q131" s="714">
        <v>2.0</v>
      </c>
      <c r="R131" s="716"/>
    </row>
    <row r="132">
      <c r="A132" s="716"/>
      <c r="B132" s="355"/>
      <c r="C132" s="735" t="s">
        <v>1265</v>
      </c>
      <c r="D132" s="730"/>
      <c r="E132" s="731"/>
      <c r="F132" s="557">
        <v>5.0</v>
      </c>
      <c r="G132" s="557">
        <v>5.0</v>
      </c>
      <c r="H132" s="557">
        <v>6.0</v>
      </c>
      <c r="I132" s="732" t="s">
        <v>714</v>
      </c>
      <c r="J132" s="714">
        <v>2.0</v>
      </c>
      <c r="K132" s="714">
        <v>3.0</v>
      </c>
      <c r="L132" s="714">
        <v>2.0</v>
      </c>
      <c r="M132" s="714">
        <v>2.0</v>
      </c>
      <c r="N132" s="650">
        <v>2.0</v>
      </c>
      <c r="O132" s="714">
        <v>2.0</v>
      </c>
      <c r="P132" s="651">
        <v>1.0</v>
      </c>
      <c r="Q132" s="714">
        <v>2.0</v>
      </c>
      <c r="R132" s="716"/>
    </row>
    <row r="133">
      <c r="A133" s="716"/>
      <c r="B133" s="605"/>
      <c r="C133" s="195" t="s">
        <v>182</v>
      </c>
      <c r="D133" s="82"/>
      <c r="E133" s="82"/>
      <c r="F133" s="82"/>
      <c r="G133" s="82"/>
      <c r="H133" s="82"/>
      <c r="I133" s="96"/>
      <c r="J133" s="128"/>
      <c r="K133" s="128"/>
      <c r="L133" s="128"/>
      <c r="M133" s="128"/>
      <c r="N133" s="128"/>
      <c r="O133" s="128"/>
      <c r="P133" s="130"/>
      <c r="Q133" s="128"/>
      <c r="R133" s="716"/>
    </row>
    <row r="134">
      <c r="A134" s="716"/>
      <c r="B134" s="636"/>
      <c r="C134" s="136"/>
      <c r="D134" s="699"/>
      <c r="E134" s="525"/>
      <c r="F134" s="85"/>
      <c r="G134" s="85"/>
      <c r="H134" s="85"/>
      <c r="I134" s="700"/>
      <c r="J134" s="703" t="s">
        <v>427</v>
      </c>
      <c r="K134" s="702" t="s">
        <v>208</v>
      </c>
      <c r="L134" s="702" t="s">
        <v>426</v>
      </c>
      <c r="M134" s="702" t="s">
        <v>2</v>
      </c>
      <c r="N134" s="702" t="s">
        <v>1</v>
      </c>
      <c r="O134" s="702" t="s">
        <v>4</v>
      </c>
      <c r="P134" s="728" t="s">
        <v>3</v>
      </c>
      <c r="Q134" s="703" t="s">
        <v>210</v>
      </c>
      <c r="R134" s="716"/>
    </row>
    <row r="135">
      <c r="A135" s="716"/>
      <c r="B135" s="631"/>
      <c r="C135" s="710" t="s">
        <v>1266</v>
      </c>
      <c r="D135" s="711"/>
      <c r="E135" s="712" t="s">
        <v>51</v>
      </c>
      <c r="F135" s="68">
        <v>2.0</v>
      </c>
      <c r="G135" s="68">
        <v>3.0</v>
      </c>
      <c r="H135" s="68">
        <v>2.0</v>
      </c>
      <c r="I135" s="713" t="s">
        <v>714</v>
      </c>
      <c r="J135" s="738">
        <v>2.0</v>
      </c>
      <c r="K135" s="738">
        <v>2.0</v>
      </c>
      <c r="L135" s="738">
        <v>2.0</v>
      </c>
      <c r="M135" s="738">
        <v>4.0</v>
      </c>
      <c r="N135" s="653">
        <v>3.0</v>
      </c>
      <c r="O135" s="738">
        <v>4.0</v>
      </c>
      <c r="P135" s="715">
        <v>2.0</v>
      </c>
      <c r="Q135" s="714">
        <v>2.0</v>
      </c>
      <c r="R135" s="716"/>
    </row>
    <row r="136">
      <c r="A136" s="716"/>
      <c r="B136" s="353"/>
      <c r="C136" s="710" t="s">
        <v>1267</v>
      </c>
      <c r="D136" s="711"/>
      <c r="E136" s="712" t="s">
        <v>71</v>
      </c>
      <c r="F136" s="68"/>
      <c r="G136" s="68"/>
      <c r="H136" s="68">
        <v>3.0</v>
      </c>
      <c r="I136" s="713" t="s">
        <v>714</v>
      </c>
      <c r="J136" s="714">
        <v>1.0</v>
      </c>
      <c r="K136" s="738">
        <v>2.0</v>
      </c>
      <c r="L136" s="714">
        <v>2.0</v>
      </c>
      <c r="M136" s="714">
        <v>2.0</v>
      </c>
      <c r="N136" s="651">
        <v>1.0</v>
      </c>
      <c r="O136" s="714">
        <v>1.0</v>
      </c>
      <c r="P136" s="651">
        <v>1.0</v>
      </c>
      <c r="Q136" s="714">
        <v>2.0</v>
      </c>
      <c r="R136" s="716"/>
    </row>
    <row r="137">
      <c r="A137" s="716"/>
      <c r="B137" s="632"/>
      <c r="C137" s="729" t="s">
        <v>1268</v>
      </c>
      <c r="D137" s="730"/>
      <c r="E137" s="731" t="s">
        <v>20</v>
      </c>
      <c r="F137" s="557">
        <v>5.0</v>
      </c>
      <c r="G137" s="557">
        <v>5.0</v>
      </c>
      <c r="H137" s="557">
        <v>5.0</v>
      </c>
      <c r="I137" s="732" t="s">
        <v>714</v>
      </c>
      <c r="J137" s="714">
        <v>2.0</v>
      </c>
      <c r="K137" s="714">
        <v>3.0</v>
      </c>
      <c r="L137" s="714">
        <v>2.0</v>
      </c>
      <c r="M137" s="714">
        <v>1.0</v>
      </c>
      <c r="N137" s="650">
        <v>2.0</v>
      </c>
      <c r="O137" s="714">
        <v>3.0</v>
      </c>
      <c r="P137" s="651">
        <v>1.0</v>
      </c>
      <c r="Q137" s="714">
        <v>3.0</v>
      </c>
      <c r="R137" s="716"/>
    </row>
    <row r="138">
      <c r="A138" s="716"/>
      <c r="B138" s="639"/>
      <c r="C138" s="710" t="s">
        <v>1269</v>
      </c>
      <c r="D138" s="711"/>
      <c r="E138" s="712" t="s">
        <v>71</v>
      </c>
      <c r="F138" s="68"/>
      <c r="G138" s="68"/>
      <c r="H138" s="68">
        <v>2.0</v>
      </c>
      <c r="I138" s="713" t="s">
        <v>714</v>
      </c>
      <c r="J138" s="714">
        <v>3.0</v>
      </c>
      <c r="K138" s="714">
        <v>1.0</v>
      </c>
      <c r="L138" s="714">
        <v>2.0</v>
      </c>
      <c r="M138" s="714">
        <v>1.0</v>
      </c>
      <c r="N138" s="650">
        <v>2.0</v>
      </c>
      <c r="O138" s="714">
        <v>1.0</v>
      </c>
      <c r="P138" s="650">
        <v>2.0</v>
      </c>
      <c r="Q138" s="714">
        <v>3.0</v>
      </c>
      <c r="R138" s="716"/>
    </row>
    <row r="139">
      <c r="A139" s="716"/>
      <c r="B139" s="353"/>
      <c r="C139" s="710" t="s">
        <v>1270</v>
      </c>
      <c r="D139" s="711"/>
      <c r="E139" s="712"/>
      <c r="F139" s="68">
        <v>3.0</v>
      </c>
      <c r="G139" s="68">
        <v>2.0</v>
      </c>
      <c r="H139" s="68">
        <v>3.0</v>
      </c>
      <c r="I139" s="713" t="s">
        <v>714</v>
      </c>
      <c r="J139" s="714">
        <v>1.0</v>
      </c>
      <c r="K139" s="738">
        <v>2.0</v>
      </c>
      <c r="L139" s="714">
        <v>2.0</v>
      </c>
      <c r="M139" s="714">
        <v>1.0</v>
      </c>
      <c r="N139" s="651">
        <v>1.0</v>
      </c>
      <c r="O139" s="714">
        <v>1.0</v>
      </c>
      <c r="P139" s="650">
        <v>2.0</v>
      </c>
      <c r="Q139" s="714">
        <v>1.0</v>
      </c>
      <c r="R139" s="716"/>
    </row>
    <row r="140">
      <c r="A140" s="716"/>
      <c r="B140" s="355"/>
      <c r="C140" s="729" t="s">
        <v>1271</v>
      </c>
      <c r="D140" s="730"/>
      <c r="E140" s="731"/>
      <c r="F140" s="557">
        <v>3.0</v>
      </c>
      <c r="G140" s="557">
        <v>5.0</v>
      </c>
      <c r="H140" s="557">
        <v>4.0</v>
      </c>
      <c r="I140" s="732" t="s">
        <v>714</v>
      </c>
      <c r="J140" s="714">
        <v>1.0</v>
      </c>
      <c r="K140" s="714">
        <v>2.0</v>
      </c>
      <c r="L140" s="714">
        <v>2.0</v>
      </c>
      <c r="M140" s="714">
        <v>2.0</v>
      </c>
      <c r="N140" s="651">
        <v>1.0</v>
      </c>
      <c r="O140" s="714">
        <v>2.0</v>
      </c>
      <c r="P140" s="651">
        <v>1.0</v>
      </c>
      <c r="Q140" s="714">
        <v>2.0</v>
      </c>
      <c r="R140" s="716"/>
    </row>
    <row r="141">
      <c r="A141" s="716"/>
      <c r="B141" s="634"/>
      <c r="C141" s="733" t="s">
        <v>1272</v>
      </c>
      <c r="D141" s="711"/>
      <c r="E141" s="712" t="s">
        <v>497</v>
      </c>
      <c r="F141" s="68"/>
      <c r="G141" s="68"/>
      <c r="H141" s="68">
        <v>1.0</v>
      </c>
      <c r="I141" s="713" t="s">
        <v>714</v>
      </c>
      <c r="J141" s="714">
        <v>4.0</v>
      </c>
      <c r="K141" s="714">
        <v>3.0</v>
      </c>
      <c r="L141" s="714">
        <v>2.0</v>
      </c>
      <c r="M141" s="714">
        <v>2.0</v>
      </c>
      <c r="N141" s="651">
        <v>1.0</v>
      </c>
      <c r="O141" s="714">
        <v>2.0</v>
      </c>
      <c r="P141" s="652">
        <v>4.0</v>
      </c>
      <c r="Q141" s="714">
        <v>2.0</v>
      </c>
      <c r="R141" s="716"/>
    </row>
    <row r="142">
      <c r="A142" s="716"/>
      <c r="B142" s="355"/>
      <c r="C142" s="735" t="s">
        <v>1273</v>
      </c>
      <c r="D142" s="730"/>
      <c r="E142" s="731" t="s">
        <v>77</v>
      </c>
      <c r="F142" s="557">
        <v>3.0</v>
      </c>
      <c r="G142" s="557">
        <v>3.0</v>
      </c>
      <c r="H142" s="557">
        <v>6.0</v>
      </c>
      <c r="I142" s="732" t="s">
        <v>714</v>
      </c>
      <c r="J142" s="714">
        <v>2.0</v>
      </c>
      <c r="K142" s="714">
        <v>4.0</v>
      </c>
      <c r="L142" s="714">
        <v>3.0</v>
      </c>
      <c r="M142" s="714">
        <v>2.0</v>
      </c>
      <c r="N142" s="650">
        <v>2.0</v>
      </c>
      <c r="O142" s="714">
        <v>3.0</v>
      </c>
      <c r="P142" s="715">
        <v>2.0</v>
      </c>
      <c r="Q142" s="714">
        <v>2.0</v>
      </c>
      <c r="R142" s="716"/>
    </row>
    <row r="143">
      <c r="A143" s="716"/>
      <c r="B143" s="635"/>
      <c r="C143" s="733" t="s">
        <v>1274</v>
      </c>
      <c r="D143" s="711"/>
      <c r="E143" s="712" t="s">
        <v>97</v>
      </c>
      <c r="F143" s="68">
        <v>5.0</v>
      </c>
      <c r="G143" s="68">
        <v>5.0</v>
      </c>
      <c r="H143" s="68">
        <v>5.0</v>
      </c>
      <c r="I143" s="713" t="s">
        <v>714</v>
      </c>
      <c r="J143" s="714">
        <v>2.0</v>
      </c>
      <c r="K143" s="714">
        <v>2.0</v>
      </c>
      <c r="L143" s="714">
        <v>4.0</v>
      </c>
      <c r="M143" s="714">
        <v>5.0</v>
      </c>
      <c r="N143" s="651">
        <v>1.0</v>
      </c>
      <c r="O143" s="714">
        <v>4.0</v>
      </c>
      <c r="P143" s="652">
        <v>4.0</v>
      </c>
      <c r="Q143" s="714">
        <v>2.0</v>
      </c>
      <c r="R143" s="716"/>
    </row>
    <row r="144">
      <c r="A144" s="716"/>
      <c r="B144" s="355"/>
      <c r="C144" s="735" t="s">
        <v>1275</v>
      </c>
      <c r="D144" s="730"/>
      <c r="E144" s="731"/>
      <c r="F144" s="557">
        <v>7.0</v>
      </c>
      <c r="G144" s="557">
        <v>5.0</v>
      </c>
      <c r="H144" s="557">
        <v>8.0</v>
      </c>
      <c r="I144" s="732" t="s">
        <v>714</v>
      </c>
      <c r="J144" s="714">
        <v>4.0</v>
      </c>
      <c r="K144" s="714">
        <v>4.0</v>
      </c>
      <c r="L144" s="714">
        <v>3.0</v>
      </c>
      <c r="M144" s="714">
        <v>2.0</v>
      </c>
      <c r="N144" s="650">
        <v>2.0</v>
      </c>
      <c r="O144" s="714">
        <v>3.0</v>
      </c>
      <c r="P144" s="715">
        <v>4.0</v>
      </c>
      <c r="Q144" s="714">
        <v>4.0</v>
      </c>
      <c r="R144" s="716"/>
    </row>
    <row r="145">
      <c r="A145" s="716"/>
      <c r="B145" s="605"/>
      <c r="C145" s="195" t="s">
        <v>193</v>
      </c>
      <c r="D145" s="82"/>
      <c r="E145" s="82"/>
      <c r="F145" s="82"/>
      <c r="G145" s="82"/>
      <c r="H145" s="82"/>
      <c r="I145" s="96"/>
      <c r="J145" s="128"/>
      <c r="K145" s="128"/>
      <c r="L145" s="128"/>
      <c r="M145" s="128"/>
      <c r="N145" s="128"/>
      <c r="O145" s="128"/>
      <c r="P145" s="130"/>
      <c r="Q145" s="128"/>
      <c r="R145" s="716"/>
    </row>
    <row r="146">
      <c r="A146" s="716"/>
      <c r="B146" s="609"/>
      <c r="C146" s="136"/>
      <c r="D146" s="699"/>
      <c r="E146" s="525"/>
      <c r="F146" s="85"/>
      <c r="G146" s="85"/>
      <c r="H146" s="85"/>
      <c r="I146" s="700"/>
      <c r="J146" s="703" t="s">
        <v>427</v>
      </c>
      <c r="K146" s="702" t="s">
        <v>208</v>
      </c>
      <c r="L146" s="702" t="s">
        <v>426</v>
      </c>
      <c r="M146" s="702" t="s">
        <v>2</v>
      </c>
      <c r="N146" s="702" t="s">
        <v>1</v>
      </c>
      <c r="O146" s="702" t="s">
        <v>4</v>
      </c>
      <c r="P146" s="728" t="s">
        <v>3</v>
      </c>
      <c r="Q146" s="703" t="s">
        <v>210</v>
      </c>
      <c r="R146" s="716"/>
    </row>
    <row r="147">
      <c r="A147" s="739"/>
      <c r="B147" s="640"/>
      <c r="C147" s="710" t="s">
        <v>1276</v>
      </c>
      <c r="D147" s="711"/>
      <c r="E147" s="712" t="s">
        <v>71</v>
      </c>
      <c r="F147" s="68"/>
      <c r="G147" s="68"/>
      <c r="H147" s="68">
        <v>3.0</v>
      </c>
      <c r="I147" s="713" t="s">
        <v>714</v>
      </c>
      <c r="J147" s="738">
        <v>1.0</v>
      </c>
      <c r="K147" s="714">
        <v>3.0</v>
      </c>
      <c r="L147" s="714">
        <v>1.0</v>
      </c>
      <c r="M147" s="714">
        <v>1.0</v>
      </c>
      <c r="N147" s="650">
        <v>2.0</v>
      </c>
      <c r="O147" s="714">
        <v>1.0</v>
      </c>
      <c r="P147" s="651">
        <v>1.0</v>
      </c>
      <c r="Q147" s="714">
        <v>1.0</v>
      </c>
      <c r="R147" s="739"/>
    </row>
    <row r="148">
      <c r="B148" s="353"/>
      <c r="C148" s="710" t="s">
        <v>1277</v>
      </c>
      <c r="D148" s="711"/>
      <c r="E148" s="712"/>
      <c r="F148" s="68">
        <v>2.0</v>
      </c>
      <c r="G148" s="68">
        <v>3.0</v>
      </c>
      <c r="H148" s="68">
        <v>2.0</v>
      </c>
      <c r="I148" s="713" t="s">
        <v>714</v>
      </c>
      <c r="J148" s="714">
        <v>1.0</v>
      </c>
      <c r="K148" s="714">
        <v>1.0</v>
      </c>
      <c r="L148" s="714">
        <v>1.0</v>
      </c>
      <c r="M148" s="714">
        <v>2.0</v>
      </c>
      <c r="N148" s="651">
        <v>1.0</v>
      </c>
      <c r="O148" s="714">
        <v>3.0</v>
      </c>
      <c r="P148" s="651">
        <v>1.0</v>
      </c>
      <c r="Q148" s="714">
        <v>2.0</v>
      </c>
    </row>
    <row r="149">
      <c r="B149" s="353"/>
      <c r="C149" s="710" t="s">
        <v>1278</v>
      </c>
      <c r="D149" s="711"/>
      <c r="E149" s="712" t="s">
        <v>71</v>
      </c>
      <c r="F149" s="68"/>
      <c r="G149" s="68"/>
      <c r="H149" s="68">
        <v>2.0</v>
      </c>
      <c r="I149" s="713" t="s">
        <v>714</v>
      </c>
      <c r="J149" s="714">
        <v>3.0</v>
      </c>
      <c r="K149" s="714">
        <v>2.0</v>
      </c>
      <c r="L149" s="714">
        <v>2.0</v>
      </c>
      <c r="M149" s="714">
        <v>2.0</v>
      </c>
      <c r="N149" s="652">
        <v>4.0</v>
      </c>
      <c r="O149" s="714">
        <v>3.0</v>
      </c>
      <c r="P149" s="715">
        <v>4.0</v>
      </c>
      <c r="Q149" s="714">
        <v>2.0</v>
      </c>
    </row>
    <row r="150">
      <c r="B150" s="353"/>
      <c r="C150" s="710" t="s">
        <v>1279</v>
      </c>
      <c r="D150" s="711"/>
      <c r="E150" s="712"/>
      <c r="F150" s="68">
        <v>3.0</v>
      </c>
      <c r="G150" s="68">
        <v>3.0</v>
      </c>
      <c r="H150" s="68">
        <v>4.0</v>
      </c>
      <c r="I150" s="713" t="s">
        <v>714</v>
      </c>
      <c r="J150" s="714">
        <v>1.0</v>
      </c>
      <c r="K150" s="714">
        <v>1.0</v>
      </c>
      <c r="L150" s="714">
        <v>1.0</v>
      </c>
      <c r="M150" s="714">
        <v>2.0</v>
      </c>
      <c r="N150" s="650">
        <v>2.0</v>
      </c>
      <c r="O150" s="714">
        <v>3.0</v>
      </c>
      <c r="P150" s="651">
        <v>1.0</v>
      </c>
      <c r="Q150" s="714">
        <v>2.0</v>
      </c>
    </row>
    <row r="151">
      <c r="B151" s="353"/>
      <c r="C151" s="710" t="s">
        <v>1280</v>
      </c>
      <c r="D151" s="711"/>
      <c r="E151" s="712" t="s">
        <v>71</v>
      </c>
      <c r="F151" s="68"/>
      <c r="G151" s="68"/>
      <c r="H151" s="68">
        <v>1.0</v>
      </c>
      <c r="I151" s="713" t="s">
        <v>714</v>
      </c>
      <c r="J151" s="714">
        <v>1.0</v>
      </c>
      <c r="K151" s="714">
        <v>2.0</v>
      </c>
      <c r="L151" s="714">
        <v>1.0</v>
      </c>
      <c r="M151" s="714">
        <v>1.0</v>
      </c>
      <c r="N151" s="651">
        <v>1.0</v>
      </c>
      <c r="O151" s="714">
        <v>1.0</v>
      </c>
      <c r="P151" s="651">
        <v>1.0</v>
      </c>
      <c r="Q151" s="714">
        <v>1.0</v>
      </c>
    </row>
    <row r="152">
      <c r="B152" s="353"/>
      <c r="C152" s="710" t="s">
        <v>1281</v>
      </c>
      <c r="D152" s="711"/>
      <c r="E152" s="712" t="s">
        <v>97</v>
      </c>
      <c r="F152" s="68">
        <v>2.0</v>
      </c>
      <c r="G152" s="68">
        <v>5.0</v>
      </c>
      <c r="H152" s="68">
        <v>3.0</v>
      </c>
      <c r="I152" s="713" t="s">
        <v>714</v>
      </c>
      <c r="J152" s="714">
        <v>1.0</v>
      </c>
      <c r="K152" s="714">
        <v>1.0</v>
      </c>
      <c r="L152" s="714">
        <v>1.0</v>
      </c>
      <c r="M152" s="714">
        <v>1.0</v>
      </c>
      <c r="N152" s="651">
        <v>1.0</v>
      </c>
      <c r="O152" s="714">
        <v>3.0</v>
      </c>
      <c r="P152" s="651">
        <v>1.0</v>
      </c>
      <c r="Q152" s="714">
        <v>1.0</v>
      </c>
    </row>
    <row r="153">
      <c r="B153" s="353"/>
      <c r="C153" s="729" t="s">
        <v>1282</v>
      </c>
      <c r="D153" s="730"/>
      <c r="E153" s="731" t="s">
        <v>77</v>
      </c>
      <c r="F153" s="557">
        <v>3.0</v>
      </c>
      <c r="G153" s="557">
        <v>2.0</v>
      </c>
      <c r="H153" s="557">
        <v>3.0</v>
      </c>
      <c r="I153" s="732" t="s">
        <v>714</v>
      </c>
      <c r="J153" s="714">
        <v>1.0</v>
      </c>
      <c r="K153" s="714">
        <v>1.0</v>
      </c>
      <c r="L153" s="714">
        <v>1.0</v>
      </c>
      <c r="M153" s="714">
        <v>2.0</v>
      </c>
      <c r="N153" s="651">
        <v>1.0</v>
      </c>
      <c r="O153" s="714">
        <v>3.0</v>
      </c>
      <c r="P153" s="651">
        <v>1.0</v>
      </c>
      <c r="Q153" s="714">
        <v>2.0</v>
      </c>
    </row>
    <row r="154">
      <c r="B154" s="641"/>
      <c r="C154" s="733" t="s">
        <v>1283</v>
      </c>
      <c r="D154" s="711"/>
      <c r="E154" s="712"/>
      <c r="F154" s="68">
        <v>3.0</v>
      </c>
      <c r="G154" s="68">
        <v>3.0</v>
      </c>
      <c r="H154" s="68">
        <v>4.0</v>
      </c>
      <c r="I154" s="713" t="s">
        <v>714</v>
      </c>
      <c r="J154" s="714">
        <v>1.0</v>
      </c>
      <c r="K154" s="714">
        <v>1.0</v>
      </c>
      <c r="L154" s="714">
        <v>1.0</v>
      </c>
      <c r="M154" s="714">
        <v>1.0</v>
      </c>
      <c r="N154" s="651">
        <v>1.0</v>
      </c>
      <c r="O154" s="714">
        <v>1.0</v>
      </c>
      <c r="P154" s="651">
        <v>1.0</v>
      </c>
      <c r="Q154" s="714">
        <v>1.0</v>
      </c>
    </row>
    <row r="155">
      <c r="B155" s="353"/>
      <c r="C155" s="710" t="s">
        <v>1284</v>
      </c>
      <c r="D155" s="711"/>
      <c r="E155" s="712" t="s">
        <v>71</v>
      </c>
      <c r="F155" s="68"/>
      <c r="G155" s="68"/>
      <c r="H155" s="68">
        <v>1.0</v>
      </c>
      <c r="I155" s="713" t="s">
        <v>714</v>
      </c>
      <c r="J155" s="714">
        <v>3.0</v>
      </c>
      <c r="K155" s="714">
        <v>2.0</v>
      </c>
      <c r="L155" s="714">
        <v>2.0</v>
      </c>
      <c r="M155" s="714">
        <v>1.0</v>
      </c>
      <c r="N155" s="651">
        <v>1.0</v>
      </c>
      <c r="O155" s="714">
        <v>2.0</v>
      </c>
      <c r="P155" s="651">
        <v>1.0</v>
      </c>
      <c r="Q155" s="714">
        <v>1.0</v>
      </c>
    </row>
    <row r="156">
      <c r="B156" s="353"/>
      <c r="C156" s="729" t="s">
        <v>1285</v>
      </c>
      <c r="D156" s="730"/>
      <c r="E156" s="731" t="s">
        <v>97</v>
      </c>
      <c r="F156" s="557">
        <v>6.0</v>
      </c>
      <c r="G156" s="557">
        <v>6.0</v>
      </c>
      <c r="H156" s="557">
        <v>6.0</v>
      </c>
      <c r="I156" s="732" t="s">
        <v>714</v>
      </c>
      <c r="J156" s="714">
        <v>4.0</v>
      </c>
      <c r="K156" s="714">
        <v>4.0</v>
      </c>
      <c r="L156" s="714">
        <v>5.0</v>
      </c>
      <c r="M156" s="714">
        <v>5.0</v>
      </c>
      <c r="N156" s="654">
        <v>5.0</v>
      </c>
      <c r="O156" s="714">
        <v>4.0</v>
      </c>
      <c r="P156" s="652">
        <v>4.0</v>
      </c>
      <c r="Q156" s="714">
        <v>5.0</v>
      </c>
    </row>
    <row r="157">
      <c r="B157" s="634"/>
      <c r="C157" s="733" t="s">
        <v>1286</v>
      </c>
      <c r="D157" s="711"/>
      <c r="E157" s="712" t="s">
        <v>455</v>
      </c>
      <c r="F157" s="68">
        <v>4.0</v>
      </c>
      <c r="G157" s="68">
        <v>3.0</v>
      </c>
      <c r="H157" s="68">
        <v>3.0</v>
      </c>
      <c r="I157" s="713" t="s">
        <v>714</v>
      </c>
      <c r="J157" s="714">
        <v>2.0</v>
      </c>
      <c r="K157" s="714">
        <v>3.0</v>
      </c>
      <c r="L157" s="714">
        <v>2.0</v>
      </c>
      <c r="M157" s="714">
        <v>2.0</v>
      </c>
      <c r="N157" s="652">
        <v>4.0</v>
      </c>
      <c r="O157" s="714">
        <v>3.0</v>
      </c>
      <c r="P157" s="651">
        <v>1.0</v>
      </c>
      <c r="Q157" s="714">
        <v>2.0</v>
      </c>
    </row>
    <row r="158">
      <c r="B158" s="353"/>
      <c r="C158" s="733" t="s">
        <v>1287</v>
      </c>
      <c r="D158" s="711"/>
      <c r="E158" s="712"/>
      <c r="F158" s="68">
        <v>4.0</v>
      </c>
      <c r="G158" s="68">
        <v>1.0</v>
      </c>
      <c r="H158" s="68">
        <v>3.0</v>
      </c>
      <c r="I158" s="713" t="s">
        <v>714</v>
      </c>
      <c r="J158" s="714">
        <v>1.0</v>
      </c>
      <c r="K158" s="714">
        <v>1.0</v>
      </c>
      <c r="L158" s="714">
        <v>2.0</v>
      </c>
      <c r="M158" s="714">
        <v>3.0</v>
      </c>
      <c r="N158" s="651">
        <v>1.0</v>
      </c>
      <c r="O158" s="714">
        <v>2.0</v>
      </c>
      <c r="P158" s="651">
        <v>1.0</v>
      </c>
      <c r="Q158" s="714">
        <v>3.0</v>
      </c>
    </row>
    <row r="159">
      <c r="B159" s="355"/>
      <c r="C159" s="735" t="s">
        <v>1288</v>
      </c>
      <c r="D159" s="730"/>
      <c r="E159" s="731" t="s">
        <v>71</v>
      </c>
      <c r="F159" s="557"/>
      <c r="G159" s="557"/>
      <c r="H159" s="557">
        <v>7.0</v>
      </c>
      <c r="I159" s="732" t="s">
        <v>714</v>
      </c>
      <c r="J159" s="714">
        <v>1.0</v>
      </c>
      <c r="K159" s="714">
        <v>1.0</v>
      </c>
      <c r="L159" s="714">
        <v>2.0</v>
      </c>
      <c r="M159" s="714">
        <v>1.0</v>
      </c>
      <c r="N159" s="651">
        <v>1.0</v>
      </c>
      <c r="O159" s="714">
        <v>1.0</v>
      </c>
      <c r="P159" s="651">
        <v>1.0</v>
      </c>
      <c r="Q159" s="714">
        <v>1.0</v>
      </c>
    </row>
    <row r="160">
      <c r="B160" s="635"/>
      <c r="C160" s="733" t="s">
        <v>1289</v>
      </c>
      <c r="D160" s="711"/>
      <c r="E160" s="712"/>
      <c r="F160" s="68">
        <v>5.0</v>
      </c>
      <c r="G160" s="68">
        <v>3.0</v>
      </c>
      <c r="H160" s="68">
        <v>5.0</v>
      </c>
      <c r="I160" s="713" t="s">
        <v>714</v>
      </c>
      <c r="J160" s="714">
        <v>2.0</v>
      </c>
      <c r="K160" s="714">
        <v>3.0</v>
      </c>
      <c r="L160" s="714">
        <v>2.0</v>
      </c>
      <c r="M160" s="714">
        <v>2.0</v>
      </c>
      <c r="N160" s="651">
        <v>1.0</v>
      </c>
      <c r="O160" s="714">
        <v>3.0</v>
      </c>
      <c r="P160" s="652">
        <v>4.0</v>
      </c>
      <c r="Q160" s="714">
        <v>2.0</v>
      </c>
    </row>
    <row r="161">
      <c r="B161" s="355"/>
      <c r="C161" s="735" t="s">
        <v>1290</v>
      </c>
      <c r="D161" s="730"/>
      <c r="E161" s="731"/>
      <c r="F161" s="557">
        <v>2.0</v>
      </c>
      <c r="G161" s="557">
        <v>6.0</v>
      </c>
      <c r="H161" s="557">
        <v>4.0</v>
      </c>
      <c r="I161" s="732" t="s">
        <v>714</v>
      </c>
      <c r="J161" s="714">
        <v>2.0</v>
      </c>
      <c r="K161" s="714">
        <v>5.0</v>
      </c>
      <c r="L161" s="714">
        <v>4.0</v>
      </c>
      <c r="M161" s="714">
        <v>3.0</v>
      </c>
      <c r="N161" s="654">
        <v>5.0</v>
      </c>
      <c r="O161" s="714">
        <v>3.0</v>
      </c>
      <c r="P161" s="652">
        <v>4.0</v>
      </c>
      <c r="Q161" s="714">
        <v>3.0</v>
      </c>
    </row>
    <row r="162">
      <c r="A162" s="332"/>
      <c r="B162" s="332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33"/>
      <c r="P162" s="333"/>
      <c r="Q162" s="333"/>
      <c r="R162" s="328"/>
    </row>
    <row r="163">
      <c r="A163" s="716"/>
      <c r="B163" s="609"/>
      <c r="C163" s="740"/>
      <c r="D163" s="741"/>
      <c r="E163" s="742"/>
      <c r="F163" s="743"/>
      <c r="G163" s="743"/>
      <c r="H163" s="743"/>
      <c r="I163" s="744"/>
      <c r="J163" s="701" t="s">
        <v>427</v>
      </c>
      <c r="K163" s="745" t="s">
        <v>208</v>
      </c>
      <c r="L163" s="745" t="s">
        <v>426</v>
      </c>
      <c r="M163" s="745" t="s">
        <v>2</v>
      </c>
      <c r="N163" s="745" t="s">
        <v>1</v>
      </c>
      <c r="O163" s="701" t="s">
        <v>4</v>
      </c>
      <c r="P163" s="745" t="s">
        <v>3</v>
      </c>
      <c r="Q163" s="745" t="s">
        <v>210</v>
      </c>
      <c r="R163" s="328"/>
    </row>
    <row r="164" ht="9.0" customHeight="1">
      <c r="A164" s="746"/>
      <c r="B164" s="332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28"/>
    </row>
    <row r="165">
      <c r="A165" s="328"/>
      <c r="B165" s="307"/>
      <c r="C165" s="307"/>
      <c r="D165" s="747"/>
      <c r="E165" s="748"/>
      <c r="F165" s="749"/>
      <c r="G165" s="749"/>
      <c r="H165" s="750" t="s">
        <v>204</v>
      </c>
      <c r="I165" s="751"/>
      <c r="J165" s="752">
        <f>AVERAGE(J6:J23,J26:J36,J39:J48,J51:J60,J63:J72,J75:J84,J87:J96,J99:J108,J111:J120,J123:J132,J135:J144,J147:J161)</f>
        <v>2.186567164</v>
      </c>
      <c r="K165" s="752">
        <f>AVERAGE(K6:K23,K26:K36,K39:K48,K51:K60,K63:K72,K75:K84,K87:K96,K99:K108,K112:K120,K123:K132,K135:K144,K147:K161)</f>
        <v>2.240601504</v>
      </c>
      <c r="L165" s="752">
        <f t="shared" ref="L165:Q165" si="1">AVERAGE(L6:L23,L26:L36,L39:L48,L51:L60,L63:L72,L75:L84,L87:L96,L99:L108,L111:L120,L123:L132,L135:L144,L147:L161)</f>
        <v>2.194029851</v>
      </c>
      <c r="M165" s="752">
        <f t="shared" si="1"/>
        <v>2.044776119</v>
      </c>
      <c r="N165" s="752">
        <f t="shared" si="1"/>
        <v>2.074626866</v>
      </c>
      <c r="O165" s="752">
        <f t="shared" si="1"/>
        <v>2.246268657</v>
      </c>
      <c r="P165" s="752">
        <f t="shared" si="1"/>
        <v>2.149253731</v>
      </c>
      <c r="Q165" s="752">
        <f t="shared" si="1"/>
        <v>2.194029851</v>
      </c>
      <c r="R165" s="328"/>
    </row>
    <row r="166" ht="9.0" customHeight="1">
      <c r="A166" s="328"/>
      <c r="B166" s="301"/>
      <c r="C166" s="301"/>
      <c r="D166" s="753"/>
      <c r="E166" s="754"/>
      <c r="F166" s="755"/>
      <c r="G166" s="755"/>
      <c r="H166" s="314"/>
      <c r="I166" s="319"/>
      <c r="J166" s="756"/>
      <c r="K166" s="757"/>
      <c r="L166" s="757"/>
      <c r="M166" s="757"/>
      <c r="N166" s="757"/>
      <c r="O166" s="756"/>
      <c r="P166" s="757"/>
      <c r="Q166" s="757"/>
      <c r="R166" s="328"/>
    </row>
    <row r="167">
      <c r="A167" s="328"/>
      <c r="B167" s="609"/>
      <c r="C167" s="740"/>
      <c r="D167" s="758"/>
      <c r="E167" s="759"/>
      <c r="F167" s="760"/>
      <c r="G167" s="743"/>
      <c r="H167" s="761" t="s">
        <v>206</v>
      </c>
      <c r="I167" s="744"/>
      <c r="J167" s="701"/>
      <c r="K167" s="745"/>
      <c r="L167" s="745"/>
      <c r="M167" s="745"/>
      <c r="N167" s="745"/>
      <c r="O167" s="701"/>
      <c r="P167" s="745"/>
      <c r="Q167" s="745"/>
      <c r="R167" s="328"/>
    </row>
    <row r="168">
      <c r="A168" s="328"/>
      <c r="B168" s="328"/>
      <c r="C168" s="323"/>
      <c r="F168" s="17"/>
      <c r="G168" s="750"/>
      <c r="H168" s="750">
        <v>1.0</v>
      </c>
      <c r="I168" s="323"/>
      <c r="J168" s="750">
        <f t="shared" ref="J168:Q168" si="2">COUNTIF(J6:J161,$H$168)</f>
        <v>49</v>
      </c>
      <c r="K168" s="750">
        <f t="shared" si="2"/>
        <v>56</v>
      </c>
      <c r="L168" s="750">
        <f t="shared" si="2"/>
        <v>43</v>
      </c>
      <c r="M168" s="750">
        <f t="shared" si="2"/>
        <v>50</v>
      </c>
      <c r="N168" s="750">
        <f t="shared" si="2"/>
        <v>68</v>
      </c>
      <c r="O168" s="750">
        <f t="shared" si="2"/>
        <v>46</v>
      </c>
      <c r="P168" s="750">
        <f t="shared" si="2"/>
        <v>61</v>
      </c>
      <c r="Q168" s="750">
        <f t="shared" si="2"/>
        <v>38</v>
      </c>
      <c r="R168" s="328"/>
    </row>
    <row r="169">
      <c r="A169" s="328"/>
      <c r="B169" s="328"/>
      <c r="C169" s="323"/>
      <c r="F169" s="17"/>
      <c r="G169" s="750"/>
      <c r="H169" s="750">
        <v>2.0</v>
      </c>
      <c r="I169" s="323"/>
      <c r="J169" s="750">
        <f t="shared" ref="J169:Q169" si="3">COUNTIF(J7:J162,$H$169)</f>
        <v>45</v>
      </c>
      <c r="K169" s="750">
        <f t="shared" si="3"/>
        <v>26</v>
      </c>
      <c r="L169" s="750">
        <f t="shared" si="3"/>
        <v>50</v>
      </c>
      <c r="M169" s="750">
        <f t="shared" si="3"/>
        <v>48</v>
      </c>
      <c r="N169" s="750">
        <f t="shared" si="3"/>
        <v>26</v>
      </c>
      <c r="O169" s="750">
        <f t="shared" si="3"/>
        <v>36</v>
      </c>
      <c r="P169" s="750">
        <f t="shared" si="3"/>
        <v>37</v>
      </c>
      <c r="Q169" s="750">
        <f t="shared" si="3"/>
        <v>59</v>
      </c>
      <c r="R169" s="328"/>
    </row>
    <row r="170">
      <c r="A170" s="328"/>
      <c r="B170" s="328"/>
      <c r="C170" s="323"/>
      <c r="F170" s="17"/>
      <c r="G170" s="750"/>
      <c r="H170" s="762">
        <v>3.0</v>
      </c>
      <c r="I170" s="763"/>
      <c r="J170" s="762">
        <f t="shared" ref="J170:Q170" si="4">COUNTIF(J8:J163,$H$170)</f>
        <v>13</v>
      </c>
      <c r="K170" s="762">
        <f t="shared" si="4"/>
        <v>25</v>
      </c>
      <c r="L170" s="762">
        <f t="shared" si="4"/>
        <v>18</v>
      </c>
      <c r="M170" s="762">
        <f t="shared" si="4"/>
        <v>19</v>
      </c>
      <c r="N170" s="762">
        <f t="shared" si="4"/>
        <v>15</v>
      </c>
      <c r="O170" s="762">
        <f t="shared" si="4"/>
        <v>31</v>
      </c>
      <c r="P170" s="762">
        <f t="shared" si="4"/>
        <v>0</v>
      </c>
      <c r="Q170" s="762">
        <f t="shared" si="4"/>
        <v>17</v>
      </c>
      <c r="R170" s="328"/>
    </row>
    <row r="171">
      <c r="A171" s="328"/>
      <c r="B171" s="328"/>
      <c r="C171" s="323"/>
      <c r="F171" s="17"/>
      <c r="G171" s="750"/>
      <c r="H171" s="750">
        <v>4.0</v>
      </c>
      <c r="I171" s="323"/>
      <c r="J171" s="750">
        <f t="shared" ref="J171:Q171" si="5">COUNTIF(J9:J165,$H$171)</f>
        <v>19</v>
      </c>
      <c r="K171" s="750">
        <f t="shared" si="5"/>
        <v>22</v>
      </c>
      <c r="L171" s="750">
        <f t="shared" si="5"/>
        <v>19</v>
      </c>
      <c r="M171" s="750">
        <f t="shared" si="5"/>
        <v>13</v>
      </c>
      <c r="N171" s="750">
        <f t="shared" si="5"/>
        <v>14</v>
      </c>
      <c r="O171" s="750">
        <f t="shared" si="5"/>
        <v>16</v>
      </c>
      <c r="P171" s="750">
        <f t="shared" si="5"/>
        <v>31</v>
      </c>
      <c r="Q171" s="750">
        <f t="shared" si="5"/>
        <v>16</v>
      </c>
      <c r="R171" s="328"/>
    </row>
    <row r="172">
      <c r="A172" s="328"/>
      <c r="B172" s="328"/>
      <c r="C172" s="323"/>
      <c r="F172" s="17"/>
      <c r="G172" s="750"/>
      <c r="H172" s="762">
        <v>5.0</v>
      </c>
      <c r="I172" s="763"/>
      <c r="J172" s="762">
        <f t="shared" ref="J172:Q172" si="6">COUNTIF(J10:J167,$H$172)</f>
        <v>7</v>
      </c>
      <c r="K172" s="762">
        <f t="shared" si="6"/>
        <v>6</v>
      </c>
      <c r="L172" s="762">
        <f t="shared" si="6"/>
        <v>4</v>
      </c>
      <c r="M172" s="762">
        <f t="shared" si="6"/>
        <v>4</v>
      </c>
      <c r="N172" s="762">
        <f t="shared" si="6"/>
        <v>10</v>
      </c>
      <c r="O172" s="762">
        <f t="shared" si="6"/>
        <v>5</v>
      </c>
      <c r="P172" s="762">
        <f t="shared" si="6"/>
        <v>6</v>
      </c>
      <c r="Q172" s="762">
        <f t="shared" si="6"/>
        <v>4</v>
      </c>
      <c r="R172" s="328"/>
    </row>
    <row r="173">
      <c r="A173" s="332"/>
      <c r="B173" s="332"/>
      <c r="C173" s="333"/>
      <c r="D173" s="334"/>
      <c r="E173" s="334"/>
      <c r="F173" s="287"/>
      <c r="G173" s="333"/>
      <c r="H173" s="333"/>
      <c r="I173" s="333"/>
      <c r="J173" s="333"/>
      <c r="K173" s="333"/>
      <c r="L173" s="333"/>
      <c r="M173" s="333"/>
      <c r="N173" s="333"/>
      <c r="O173" s="333"/>
      <c r="P173" s="333"/>
      <c r="Q173" s="333"/>
      <c r="R173" s="328"/>
    </row>
  </sheetData>
  <mergeCells count="66">
    <mergeCell ref="B99:B101"/>
    <mergeCell ref="B102:B104"/>
    <mergeCell ref="B105:B106"/>
    <mergeCell ref="B107:B108"/>
    <mergeCell ref="C109:I109"/>
    <mergeCell ref="A147:A161"/>
    <mergeCell ref="B147:B153"/>
    <mergeCell ref="B154:B156"/>
    <mergeCell ref="B157:B159"/>
    <mergeCell ref="B160:B161"/>
    <mergeCell ref="D167:F173"/>
    <mergeCell ref="B111:B113"/>
    <mergeCell ref="B114:B116"/>
    <mergeCell ref="B117:B118"/>
    <mergeCell ref="B119:B120"/>
    <mergeCell ref="C121:I121"/>
    <mergeCell ref="B123:B125"/>
    <mergeCell ref="B126:B128"/>
    <mergeCell ref="K1:K3"/>
    <mergeCell ref="L1:L3"/>
    <mergeCell ref="M1:M3"/>
    <mergeCell ref="N1:N3"/>
    <mergeCell ref="O1:O3"/>
    <mergeCell ref="P1:P3"/>
    <mergeCell ref="Q1:Q3"/>
    <mergeCell ref="J1:J3"/>
    <mergeCell ref="C4:I4"/>
    <mergeCell ref="B6:B24"/>
    <mergeCell ref="B26:B28"/>
    <mergeCell ref="B29:B31"/>
    <mergeCell ref="B32:B36"/>
    <mergeCell ref="C37:I37"/>
    <mergeCell ref="B39:B41"/>
    <mergeCell ref="B42:B44"/>
    <mergeCell ref="B45:B46"/>
    <mergeCell ref="B47:B48"/>
    <mergeCell ref="C49:I49"/>
    <mergeCell ref="B51:B53"/>
    <mergeCell ref="B54:B56"/>
    <mergeCell ref="B57:B58"/>
    <mergeCell ref="B59:B60"/>
    <mergeCell ref="C61:I61"/>
    <mergeCell ref="B63:B65"/>
    <mergeCell ref="B66:B68"/>
    <mergeCell ref="B69:B70"/>
    <mergeCell ref="C73:I73"/>
    <mergeCell ref="C85:I85"/>
    <mergeCell ref="B93:B94"/>
    <mergeCell ref="B95:B96"/>
    <mergeCell ref="C97:I97"/>
    <mergeCell ref="B71:B72"/>
    <mergeCell ref="B75:B77"/>
    <mergeCell ref="B78:B80"/>
    <mergeCell ref="B81:B82"/>
    <mergeCell ref="B83:B84"/>
    <mergeCell ref="B87:B89"/>
    <mergeCell ref="B90:B92"/>
    <mergeCell ref="C145:I145"/>
    <mergeCell ref="R147:R161"/>
    <mergeCell ref="B129:B130"/>
    <mergeCell ref="B131:B132"/>
    <mergeCell ref="C133:I133"/>
    <mergeCell ref="B135:B137"/>
    <mergeCell ref="B138:B140"/>
    <mergeCell ref="B141:B142"/>
    <mergeCell ref="B143:B144"/>
  </mergeCells>
  <conditionalFormatting sqref="J6:Q24 J26:Q36 J39:Q48 J51:Q60 J63:Q72 J75:Q84 J87:Q96 J99:Q108 J111:Q120 J123:Q132 J135:Q144 J147:Q161">
    <cfRule type="cellIs" dxfId="0" priority="1" operator="equal">
      <formula>1</formula>
    </cfRule>
  </conditionalFormatting>
  <conditionalFormatting sqref="J6:Q24 J26:Q36 J39:Q48 J51:Q60 J63:Q72 J75:Q84 J87:Q96 J99:Q108 J111:Q120 J123:Q132 J135:Q144 J147:Q161">
    <cfRule type="cellIs" dxfId="1" priority="2" operator="equal">
      <formula>2</formula>
    </cfRule>
  </conditionalFormatting>
  <conditionalFormatting sqref="J6:Q24 J26:Q36 J39:Q48 J51:Q60 J63:Q72 J75:Q84 J87:Q96 J99:Q108 J111:Q120 J123:Q132 J135:Q144 J147:Q161">
    <cfRule type="cellIs" dxfId="2" priority="3" operator="equal">
      <formula>5</formula>
    </cfRule>
  </conditionalFormatting>
  <conditionalFormatting sqref="J6:Q24 J26:Q36 J39:Q48 J51:Q60 J63:Q72 J75:Q84 J87:Q96 J99:Q108 J111:Q120 J123:Q132 J135:Q144 J147:Q161">
    <cfRule type="cellIs" dxfId="3" priority="4" operator="equal">
      <formula>3</formula>
    </cfRule>
  </conditionalFormatting>
  <conditionalFormatting sqref="J6:Q24 J26:Q36 J39:Q48 J51:Q60 J63:Q72 J75:Q84 J87:Q96 J99:Q108 J111:Q120 J123:Q132 J135:Q144 J147:Q161">
    <cfRule type="cellIs" dxfId="4" priority="5" operator="equal">
      <formula>4</formula>
    </cfRule>
  </conditionalFormatting>
  <conditionalFormatting sqref="A1:A15 R1 B2:I2 A162 R162:R173 A166:A173">
    <cfRule type="notContainsBlanks" dxfId="5" priority="6">
      <formula>LEN(TRIM(A1))&gt;0</formula>
    </cfRule>
  </conditionalFormatting>
  <conditionalFormatting sqref="O155 O158">
    <cfRule type="notContainsBlanks" dxfId="5" priority="7">
      <formula>LEN(TRIM(O155))&gt;0</formula>
    </cfRule>
  </conditionalFormatting>
  <hyperlinks>
    <hyperlink r:id="rId1" ref="D1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9"/>
    <hyperlink r:id="rId33" ref="I40"/>
    <hyperlink r:id="rId34" ref="I41"/>
    <hyperlink r:id="rId35" ref="I42"/>
    <hyperlink r:id="rId36" ref="I43"/>
    <hyperlink r:id="rId37" ref="I44"/>
    <hyperlink r:id="rId38" ref="I45"/>
    <hyperlink r:id="rId39" ref="I46"/>
    <hyperlink r:id="rId40" ref="I47"/>
    <hyperlink r:id="rId41" ref="I48"/>
    <hyperlink r:id="rId42" ref="I51"/>
    <hyperlink r:id="rId43" ref="I52"/>
    <hyperlink r:id="rId44" ref="I53"/>
    <hyperlink r:id="rId45" ref="I54"/>
    <hyperlink r:id="rId46" ref="I55"/>
    <hyperlink r:id="rId47" ref="I56"/>
    <hyperlink r:id="rId48" ref="I57"/>
    <hyperlink r:id="rId49" ref="I58"/>
    <hyperlink r:id="rId50" ref="I59"/>
    <hyperlink r:id="rId51" ref="I60"/>
    <hyperlink r:id="rId52" ref="I63"/>
    <hyperlink r:id="rId53" ref="I64"/>
    <hyperlink r:id="rId54" ref="I65"/>
    <hyperlink r:id="rId55" ref="I66"/>
    <hyperlink r:id="rId56" ref="I67"/>
    <hyperlink r:id="rId57" ref="I68"/>
    <hyperlink r:id="rId58" ref="I69"/>
    <hyperlink r:id="rId59" ref="I70"/>
    <hyperlink r:id="rId60" ref="I71"/>
    <hyperlink r:id="rId61" ref="I72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7"/>
    <hyperlink r:id="rId73" ref="I88"/>
    <hyperlink r:id="rId74" ref="I89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9"/>
    <hyperlink r:id="rId83" ref="I100"/>
    <hyperlink r:id="rId84" ref="I101"/>
    <hyperlink r:id="rId85" ref="I102"/>
    <hyperlink r:id="rId86" ref="I103"/>
    <hyperlink r:id="rId87" ref="I104"/>
    <hyperlink r:id="rId88" ref="I105"/>
    <hyperlink r:id="rId89" ref="I106"/>
    <hyperlink r:id="rId90" ref="I107"/>
    <hyperlink r:id="rId91" ref="I108"/>
    <hyperlink r:id="rId92" ref="I111"/>
    <hyperlink r:id="rId93" ref="I112"/>
    <hyperlink r:id="rId94" ref="I113"/>
    <hyperlink r:id="rId95" ref="I114"/>
    <hyperlink r:id="rId96" ref="I115"/>
    <hyperlink r:id="rId97" ref="I116"/>
    <hyperlink r:id="rId98" ref="I117"/>
    <hyperlink r:id="rId99" ref="I118"/>
    <hyperlink r:id="rId100" ref="I119"/>
    <hyperlink r:id="rId101" ref="I120"/>
    <hyperlink r:id="rId102" ref="I123"/>
    <hyperlink r:id="rId103" ref="I124"/>
    <hyperlink r:id="rId104" ref="I125"/>
    <hyperlink r:id="rId105" ref="I126"/>
    <hyperlink r:id="rId106" ref="I127"/>
    <hyperlink r:id="rId107" ref="I128"/>
    <hyperlink r:id="rId108" ref="I129"/>
    <hyperlink r:id="rId109" ref="I130"/>
    <hyperlink r:id="rId110" ref="I131"/>
    <hyperlink r:id="rId111" ref="I132"/>
    <hyperlink r:id="rId112" ref="I135"/>
    <hyperlink r:id="rId113" ref="I136"/>
    <hyperlink r:id="rId114" ref="I137"/>
    <hyperlink r:id="rId115" ref="I138"/>
    <hyperlink r:id="rId116" ref="I139"/>
    <hyperlink r:id="rId117" ref="I140"/>
    <hyperlink r:id="rId118" ref="I141"/>
    <hyperlink r:id="rId119" ref="I142"/>
    <hyperlink r:id="rId120" ref="I143"/>
    <hyperlink r:id="rId121" ref="I144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</hyperlinks>
  <drawing r:id="rId1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25.13"/>
    <col customWidth="1" min="4" max="4" width="6.63"/>
    <col customWidth="1" min="5" max="5" width="9.63"/>
    <col customWidth="1" min="6" max="8" width="6.38"/>
    <col customWidth="1" min="9" max="9" width="7.63"/>
    <col customWidth="1" min="10" max="10" width="11.38"/>
    <col customWidth="1" min="11" max="11" width="13.13"/>
    <col customWidth="1" min="12" max="14" width="13.0"/>
    <col customWidth="1" min="15" max="17" width="11.38"/>
    <col customWidth="1" min="18" max="18" width="2.75"/>
  </cols>
  <sheetData>
    <row r="1">
      <c r="A1" s="332"/>
      <c r="B1" s="300"/>
      <c r="C1" s="690" t="s">
        <v>1151</v>
      </c>
      <c r="D1" s="764" t="s">
        <v>1291</v>
      </c>
      <c r="E1" s="595"/>
      <c r="F1" s="596"/>
      <c r="G1" s="597"/>
      <c r="H1" s="598"/>
      <c r="I1" s="599"/>
      <c r="J1" s="601" t="s">
        <v>2</v>
      </c>
      <c r="K1" s="601" t="s">
        <v>426</v>
      </c>
      <c r="L1" s="601" t="s">
        <v>1</v>
      </c>
      <c r="M1" s="600" t="s">
        <v>4</v>
      </c>
      <c r="N1" s="601" t="s">
        <v>208</v>
      </c>
      <c r="O1" s="601" t="s">
        <v>3</v>
      </c>
      <c r="P1" s="600" t="s">
        <v>427</v>
      </c>
      <c r="Q1" s="600" t="s">
        <v>210</v>
      </c>
      <c r="R1" s="332"/>
    </row>
    <row r="2">
      <c r="A2" s="765" t="s">
        <v>1292</v>
      </c>
      <c r="B2" s="3"/>
      <c r="C2" s="3"/>
      <c r="D2" s="3"/>
      <c r="E2" s="3"/>
      <c r="F2" s="766"/>
      <c r="G2" s="767" t="s">
        <v>1293</v>
      </c>
      <c r="H2" s="768"/>
      <c r="I2" s="769"/>
      <c r="J2" s="11"/>
      <c r="K2" s="11"/>
      <c r="L2" s="11"/>
      <c r="M2" s="11"/>
      <c r="N2" s="11"/>
      <c r="O2" s="11"/>
      <c r="P2" s="11"/>
      <c r="Q2" s="11"/>
      <c r="R2" s="692"/>
    </row>
    <row r="3" ht="11.25" customHeight="1">
      <c r="A3" s="697"/>
      <c r="B3" s="693"/>
      <c r="C3" s="692"/>
      <c r="D3" s="694"/>
      <c r="E3" s="695"/>
      <c r="F3" s="692"/>
      <c r="G3" s="696"/>
      <c r="H3" s="696"/>
      <c r="I3" s="693"/>
      <c r="J3" s="286"/>
      <c r="K3" s="286"/>
      <c r="L3" s="286"/>
      <c r="M3" s="286"/>
      <c r="N3" s="286"/>
      <c r="O3" s="286"/>
      <c r="P3" s="286"/>
      <c r="Q3" s="286"/>
      <c r="R3" s="697"/>
    </row>
    <row r="4">
      <c r="A4" s="698"/>
      <c r="B4" s="605"/>
      <c r="C4" s="122" t="s">
        <v>11</v>
      </c>
      <c r="D4" s="22"/>
      <c r="E4" s="22"/>
      <c r="F4" s="22"/>
      <c r="G4" s="22"/>
      <c r="H4" s="22"/>
      <c r="I4" s="23"/>
      <c r="J4" s="607"/>
      <c r="K4" s="607"/>
      <c r="L4" s="607"/>
      <c r="M4" s="607"/>
      <c r="N4" s="607"/>
      <c r="O4" s="607"/>
      <c r="P4" s="607"/>
      <c r="Q4" s="607"/>
      <c r="R4" s="698"/>
    </row>
    <row r="5">
      <c r="A5" s="704"/>
      <c r="B5" s="609"/>
      <c r="C5" s="136"/>
      <c r="D5" s="699"/>
      <c r="E5" s="525"/>
      <c r="F5" s="85"/>
      <c r="G5" s="85"/>
      <c r="H5" s="85"/>
      <c r="I5" s="700"/>
      <c r="J5" s="702" t="s">
        <v>2</v>
      </c>
      <c r="K5" s="702" t="s">
        <v>426</v>
      </c>
      <c r="L5" s="702" t="s">
        <v>1</v>
      </c>
      <c r="M5" s="702" t="s">
        <v>4</v>
      </c>
      <c r="N5" s="702" t="s">
        <v>208</v>
      </c>
      <c r="O5" s="702" t="s">
        <v>3</v>
      </c>
      <c r="P5" s="702" t="s">
        <v>427</v>
      </c>
      <c r="Q5" s="703" t="s">
        <v>210</v>
      </c>
      <c r="R5" s="704"/>
    </row>
    <row r="6">
      <c r="A6" s="704"/>
      <c r="B6" s="613">
        <v>1.0</v>
      </c>
      <c r="C6" s="705" t="s">
        <v>1294</v>
      </c>
      <c r="D6" s="706"/>
      <c r="E6" s="707"/>
      <c r="F6" s="185">
        <v>1.0</v>
      </c>
      <c r="G6" s="185">
        <v>1.0</v>
      </c>
      <c r="H6" s="185">
        <v>1.0</v>
      </c>
      <c r="I6" s="708" t="s">
        <v>714</v>
      </c>
      <c r="J6" s="709">
        <v>1.0</v>
      </c>
      <c r="K6" s="709">
        <v>1.0</v>
      </c>
      <c r="L6" s="709">
        <v>2.0</v>
      </c>
      <c r="M6" s="709">
        <v>2.0</v>
      </c>
      <c r="N6" s="709">
        <v>1.0</v>
      </c>
      <c r="O6" s="709">
        <v>2.0</v>
      </c>
      <c r="P6" s="709"/>
      <c r="Q6" s="709">
        <v>1.0</v>
      </c>
      <c r="R6" s="704"/>
    </row>
    <row r="7">
      <c r="A7" s="704"/>
      <c r="B7" s="353"/>
      <c r="C7" s="710" t="s">
        <v>1295</v>
      </c>
      <c r="D7" s="711"/>
      <c r="E7" s="712"/>
      <c r="F7" s="68">
        <v>2.0</v>
      </c>
      <c r="G7" s="68">
        <v>2.0</v>
      </c>
      <c r="H7" s="68">
        <v>2.0</v>
      </c>
      <c r="I7" s="713" t="s">
        <v>714</v>
      </c>
      <c r="J7" s="714">
        <v>1.0</v>
      </c>
      <c r="K7" s="770">
        <v>1.0</v>
      </c>
      <c r="L7" s="714">
        <v>1.0</v>
      </c>
      <c r="M7" s="714">
        <v>2.0</v>
      </c>
      <c r="N7" s="714">
        <v>1.0</v>
      </c>
      <c r="O7" s="714">
        <v>2.0</v>
      </c>
      <c r="P7" s="714"/>
      <c r="Q7" s="714">
        <v>2.0</v>
      </c>
      <c r="R7" s="704"/>
    </row>
    <row r="8">
      <c r="A8" s="704"/>
      <c r="B8" s="353"/>
      <c r="C8" s="710" t="s">
        <v>1296</v>
      </c>
      <c r="D8" s="711"/>
      <c r="E8" s="712"/>
      <c r="F8" s="68">
        <v>1.0</v>
      </c>
      <c r="G8" s="68">
        <v>1.0</v>
      </c>
      <c r="H8" s="68">
        <v>1.0</v>
      </c>
      <c r="I8" s="713" t="s">
        <v>714</v>
      </c>
      <c r="J8" s="714">
        <v>1.0</v>
      </c>
      <c r="K8" s="770">
        <v>1.0</v>
      </c>
      <c r="L8" s="714">
        <v>1.0</v>
      </c>
      <c r="M8" s="714">
        <v>1.0</v>
      </c>
      <c r="N8" s="714">
        <v>1.0</v>
      </c>
      <c r="O8" s="714">
        <v>1.0</v>
      </c>
      <c r="P8" s="714"/>
      <c r="Q8" s="714">
        <v>1.0</v>
      </c>
      <c r="R8" s="704"/>
    </row>
    <row r="9">
      <c r="A9" s="704"/>
      <c r="B9" s="353"/>
      <c r="C9" s="729" t="s">
        <v>1297</v>
      </c>
      <c r="D9" s="730"/>
      <c r="E9" s="731"/>
      <c r="F9" s="557">
        <v>2.0</v>
      </c>
      <c r="G9" s="557">
        <v>5.0</v>
      </c>
      <c r="H9" s="557">
        <v>4.0</v>
      </c>
      <c r="I9" s="732" t="s">
        <v>714</v>
      </c>
      <c r="J9" s="714">
        <v>2.0</v>
      </c>
      <c r="K9" s="770">
        <v>2.0</v>
      </c>
      <c r="L9" s="714">
        <v>2.0</v>
      </c>
      <c r="M9" s="714">
        <v>1.0</v>
      </c>
      <c r="N9" s="714">
        <v>3.0</v>
      </c>
      <c r="O9" s="714">
        <v>1.0</v>
      </c>
      <c r="P9" s="714"/>
      <c r="Q9" s="714">
        <v>1.0</v>
      </c>
      <c r="R9" s="704"/>
    </row>
    <row r="10">
      <c r="A10" s="704"/>
      <c r="B10" s="353"/>
      <c r="C10" s="710" t="s">
        <v>1298</v>
      </c>
      <c r="D10" s="711"/>
      <c r="E10" s="712"/>
      <c r="F10" s="68">
        <v>4.0</v>
      </c>
      <c r="G10" s="68">
        <v>9.0</v>
      </c>
      <c r="H10" s="68">
        <v>6.0</v>
      </c>
      <c r="I10" s="713" t="s">
        <v>714</v>
      </c>
      <c r="J10" s="714">
        <v>1.0</v>
      </c>
      <c r="K10" s="770">
        <v>2.0</v>
      </c>
      <c r="L10" s="714">
        <v>1.0</v>
      </c>
      <c r="M10" s="714">
        <v>2.0</v>
      </c>
      <c r="N10" s="714">
        <v>2.0</v>
      </c>
      <c r="O10" s="714">
        <v>2.0</v>
      </c>
      <c r="P10" s="714"/>
      <c r="Q10" s="714">
        <v>1.0</v>
      </c>
      <c r="R10" s="704"/>
    </row>
    <row r="11">
      <c r="A11" s="704"/>
      <c r="B11" s="353"/>
      <c r="C11" s="710" t="s">
        <v>1299</v>
      </c>
      <c r="D11" s="711"/>
      <c r="E11" s="712"/>
      <c r="F11" s="68">
        <v>4.0</v>
      </c>
      <c r="G11" s="68">
        <v>4.0</v>
      </c>
      <c r="H11" s="68">
        <v>5.0</v>
      </c>
      <c r="I11" s="713" t="s">
        <v>714</v>
      </c>
      <c r="J11" s="714">
        <v>1.0</v>
      </c>
      <c r="K11" s="770">
        <v>1.0</v>
      </c>
      <c r="L11" s="714">
        <v>1.0</v>
      </c>
      <c r="M11" s="714">
        <v>2.0</v>
      </c>
      <c r="N11" s="714">
        <v>1.0</v>
      </c>
      <c r="O11" s="714">
        <v>2.0</v>
      </c>
      <c r="P11" s="714"/>
      <c r="Q11" s="714">
        <v>1.0</v>
      </c>
      <c r="R11" s="704"/>
    </row>
    <row r="12">
      <c r="A12" s="704"/>
      <c r="B12" s="353"/>
      <c r="C12" s="729" t="s">
        <v>1300</v>
      </c>
      <c r="D12" s="730"/>
      <c r="E12" s="731"/>
      <c r="F12" s="557">
        <v>2.0</v>
      </c>
      <c r="G12" s="557">
        <v>3.0</v>
      </c>
      <c r="H12" s="557">
        <v>2.0</v>
      </c>
      <c r="I12" s="732" t="s">
        <v>714</v>
      </c>
      <c r="J12" s="714">
        <v>3.0</v>
      </c>
      <c r="K12" s="770">
        <v>3.0</v>
      </c>
      <c r="L12" s="714">
        <v>3.0</v>
      </c>
      <c r="M12" s="714">
        <v>3.0</v>
      </c>
      <c r="N12" s="714">
        <v>3.0</v>
      </c>
      <c r="O12" s="714">
        <v>2.0</v>
      </c>
      <c r="P12" s="714"/>
      <c r="Q12" s="714">
        <v>1.0</v>
      </c>
      <c r="R12" s="704"/>
    </row>
    <row r="13">
      <c r="A13" s="704"/>
      <c r="B13" s="353"/>
      <c r="C13" s="710" t="s">
        <v>1301</v>
      </c>
      <c r="D13" s="711"/>
      <c r="E13" s="712"/>
      <c r="F13" s="68">
        <v>6.0</v>
      </c>
      <c r="G13" s="68">
        <v>6.0</v>
      </c>
      <c r="H13" s="68">
        <v>6.0</v>
      </c>
      <c r="I13" s="713" t="s">
        <v>714</v>
      </c>
      <c r="J13" s="714">
        <v>3.0</v>
      </c>
      <c r="K13" s="770">
        <v>3.0</v>
      </c>
      <c r="L13" s="714">
        <v>3.0</v>
      </c>
      <c r="M13" s="714">
        <v>3.0</v>
      </c>
      <c r="N13" s="714">
        <v>3.0</v>
      </c>
      <c r="O13" s="714">
        <v>2.0</v>
      </c>
      <c r="P13" s="714"/>
      <c r="Q13" s="714">
        <v>2.0</v>
      </c>
      <c r="R13" s="704"/>
    </row>
    <row r="14">
      <c r="A14" s="704"/>
      <c r="B14" s="353"/>
      <c r="C14" s="710" t="s">
        <v>1302</v>
      </c>
      <c r="D14" s="711"/>
      <c r="E14" s="712"/>
      <c r="F14" s="68">
        <v>1.0</v>
      </c>
      <c r="G14" s="68">
        <v>2.0</v>
      </c>
      <c r="H14" s="68">
        <v>1.0</v>
      </c>
      <c r="I14" s="713" t="s">
        <v>714</v>
      </c>
      <c r="J14" s="714">
        <v>4.0</v>
      </c>
      <c r="K14" s="770">
        <v>3.0</v>
      </c>
      <c r="L14" s="714">
        <v>3.0</v>
      </c>
      <c r="M14" s="714">
        <v>4.0</v>
      </c>
      <c r="N14" s="714">
        <v>4.0</v>
      </c>
      <c r="O14" s="714">
        <v>3.0</v>
      </c>
      <c r="P14" s="714"/>
      <c r="Q14" s="714">
        <v>3.0</v>
      </c>
      <c r="R14" s="704"/>
    </row>
    <row r="15">
      <c r="A15" s="704"/>
      <c r="B15" s="353"/>
      <c r="C15" s="729" t="s">
        <v>1303</v>
      </c>
      <c r="D15" s="730"/>
      <c r="E15" s="731"/>
      <c r="F15" s="557">
        <v>3.0</v>
      </c>
      <c r="G15" s="557">
        <v>1.0</v>
      </c>
      <c r="H15" s="557">
        <v>2.0</v>
      </c>
      <c r="I15" s="732" t="s">
        <v>714</v>
      </c>
      <c r="J15" s="714">
        <v>1.0</v>
      </c>
      <c r="K15" s="770">
        <v>1.0</v>
      </c>
      <c r="L15" s="714">
        <v>1.0</v>
      </c>
      <c r="M15" s="714">
        <v>1.0</v>
      </c>
      <c r="N15" s="714">
        <v>1.0</v>
      </c>
      <c r="O15" s="714">
        <v>1.0</v>
      </c>
      <c r="P15" s="714"/>
      <c r="Q15" s="714">
        <v>1.0</v>
      </c>
      <c r="R15" s="704"/>
    </row>
    <row r="16">
      <c r="A16" s="716"/>
      <c r="B16" s="353"/>
      <c r="C16" s="710" t="s">
        <v>1304</v>
      </c>
      <c r="D16" s="711"/>
      <c r="E16" s="712"/>
      <c r="F16" s="68">
        <v>5.0</v>
      </c>
      <c r="G16" s="68">
        <v>1.0</v>
      </c>
      <c r="H16" s="68">
        <v>4.0</v>
      </c>
      <c r="I16" s="713" t="s">
        <v>714</v>
      </c>
      <c r="J16" s="714">
        <v>1.0</v>
      </c>
      <c r="K16" s="770">
        <v>1.0</v>
      </c>
      <c r="L16" s="714">
        <v>1.0</v>
      </c>
      <c r="M16" s="727">
        <v>1.0</v>
      </c>
      <c r="N16" s="714">
        <v>1.0</v>
      </c>
      <c r="O16" s="714">
        <v>1.0</v>
      </c>
      <c r="P16" s="714"/>
      <c r="Q16" s="714">
        <v>1.0</v>
      </c>
      <c r="R16" s="716"/>
    </row>
    <row r="17">
      <c r="A17" s="704"/>
      <c r="B17" s="353"/>
      <c r="C17" s="710" t="s">
        <v>1305</v>
      </c>
      <c r="D17" s="711"/>
      <c r="E17" s="712"/>
      <c r="F17" s="68">
        <v>4.0</v>
      </c>
      <c r="G17" s="68">
        <v>3.0</v>
      </c>
      <c r="H17" s="68">
        <v>4.0</v>
      </c>
      <c r="I17" s="713" t="s">
        <v>714</v>
      </c>
      <c r="J17" s="714">
        <v>1.0</v>
      </c>
      <c r="K17" s="770">
        <v>1.0</v>
      </c>
      <c r="L17" s="714">
        <v>1.0</v>
      </c>
      <c r="M17" s="714">
        <v>1.0</v>
      </c>
      <c r="N17" s="714">
        <v>1.0</v>
      </c>
      <c r="O17" s="714">
        <v>1.0</v>
      </c>
      <c r="P17" s="714"/>
      <c r="Q17" s="714">
        <v>1.0</v>
      </c>
      <c r="R17" s="704"/>
    </row>
    <row r="18">
      <c r="A18" s="716"/>
      <c r="B18" s="353"/>
      <c r="C18" s="710" t="s">
        <v>1306</v>
      </c>
      <c r="D18" s="711"/>
      <c r="E18" s="712"/>
      <c r="F18" s="68">
        <v>3.0</v>
      </c>
      <c r="G18" s="68">
        <v>7.0</v>
      </c>
      <c r="H18" s="68">
        <v>5.0</v>
      </c>
      <c r="I18" s="713" t="s">
        <v>714</v>
      </c>
      <c r="J18" s="714">
        <v>1.0</v>
      </c>
      <c r="K18" s="770">
        <v>1.0</v>
      </c>
      <c r="L18" s="714">
        <v>1.0</v>
      </c>
      <c r="M18" s="714">
        <v>1.0</v>
      </c>
      <c r="N18" s="714">
        <v>1.0</v>
      </c>
      <c r="O18" s="714">
        <v>2.0</v>
      </c>
      <c r="P18" s="714"/>
      <c r="Q18" s="714">
        <v>2.0</v>
      </c>
      <c r="R18" s="716"/>
    </row>
    <row r="19">
      <c r="A19" s="704"/>
      <c r="B19" s="353"/>
      <c r="C19" s="729" t="s">
        <v>1307</v>
      </c>
      <c r="D19" s="730"/>
      <c r="E19" s="731"/>
      <c r="F19" s="557">
        <v>5.0</v>
      </c>
      <c r="G19" s="557">
        <v>7.0</v>
      </c>
      <c r="H19" s="557">
        <v>6.0</v>
      </c>
      <c r="I19" s="732" t="s">
        <v>714</v>
      </c>
      <c r="J19" s="714">
        <v>1.0</v>
      </c>
      <c r="K19" s="770">
        <v>1.0</v>
      </c>
      <c r="L19" s="714">
        <v>1.0</v>
      </c>
      <c r="M19" s="714">
        <v>1.0</v>
      </c>
      <c r="N19" s="714">
        <v>1.0</v>
      </c>
      <c r="O19" s="714">
        <v>1.0</v>
      </c>
      <c r="P19" s="714"/>
      <c r="Q19" s="714">
        <v>1.0</v>
      </c>
      <c r="R19" s="704"/>
    </row>
    <row r="20">
      <c r="A20" s="704"/>
      <c r="B20" s="353"/>
      <c r="C20" s="710" t="s">
        <v>1308</v>
      </c>
      <c r="D20" s="711"/>
      <c r="E20" s="712"/>
      <c r="F20" s="68">
        <v>4.0</v>
      </c>
      <c r="G20" s="68">
        <v>6.0</v>
      </c>
      <c r="H20" s="68">
        <v>5.0</v>
      </c>
      <c r="I20" s="713" t="s">
        <v>714</v>
      </c>
      <c r="J20" s="714">
        <v>2.0</v>
      </c>
      <c r="K20" s="770">
        <v>1.0</v>
      </c>
      <c r="L20" s="714">
        <v>1.0</v>
      </c>
      <c r="M20" s="714">
        <v>2.0</v>
      </c>
      <c r="N20" s="714">
        <v>3.0</v>
      </c>
      <c r="O20" s="714">
        <v>2.0</v>
      </c>
      <c r="P20" s="714"/>
      <c r="Q20" s="714">
        <v>2.0</v>
      </c>
      <c r="R20" s="704"/>
    </row>
    <row r="21">
      <c r="A21" s="704"/>
      <c r="B21" s="353"/>
      <c r="C21" s="710" t="s">
        <v>1309</v>
      </c>
      <c r="D21" s="711"/>
      <c r="E21" s="712"/>
      <c r="F21" s="68">
        <v>1.0</v>
      </c>
      <c r="G21" s="68">
        <v>1.0</v>
      </c>
      <c r="H21" s="68">
        <v>0.0</v>
      </c>
      <c r="I21" s="713" t="s">
        <v>714</v>
      </c>
      <c r="J21" s="714">
        <v>2.0</v>
      </c>
      <c r="K21" s="770">
        <v>3.0</v>
      </c>
      <c r="L21" s="714">
        <v>1.0</v>
      </c>
      <c r="M21" s="714">
        <v>1.0</v>
      </c>
      <c r="N21" s="714">
        <v>3.0</v>
      </c>
      <c r="O21" s="714">
        <v>2.0</v>
      </c>
      <c r="P21" s="714"/>
      <c r="Q21" s="714">
        <v>2.0</v>
      </c>
      <c r="R21" s="704"/>
    </row>
    <row r="22">
      <c r="A22" s="704"/>
      <c r="B22" s="353"/>
      <c r="C22" s="710" t="s">
        <v>1310</v>
      </c>
      <c r="D22" s="711"/>
      <c r="E22" s="712"/>
      <c r="F22" s="68">
        <v>1.0</v>
      </c>
      <c r="G22" s="68">
        <v>1.0</v>
      </c>
      <c r="H22" s="68">
        <v>1.0</v>
      </c>
      <c r="I22" s="713" t="s">
        <v>714</v>
      </c>
      <c r="J22" s="714">
        <v>3.0</v>
      </c>
      <c r="K22" s="770">
        <v>4.0</v>
      </c>
      <c r="L22" s="714">
        <v>2.0</v>
      </c>
      <c r="M22" s="714">
        <v>2.0</v>
      </c>
      <c r="N22" s="714">
        <v>4.0</v>
      </c>
      <c r="O22" s="714">
        <v>3.0</v>
      </c>
      <c r="P22" s="714"/>
      <c r="Q22" s="714">
        <v>2.0</v>
      </c>
      <c r="R22" s="704"/>
    </row>
    <row r="23">
      <c r="A23" s="704"/>
      <c r="B23" s="353"/>
      <c r="C23" s="710" t="s">
        <v>1311</v>
      </c>
      <c r="D23" s="711"/>
      <c r="E23" s="712"/>
      <c r="F23" s="68">
        <v>3.0</v>
      </c>
      <c r="G23" s="68">
        <v>6.0</v>
      </c>
      <c r="H23" s="68">
        <v>4.0</v>
      </c>
      <c r="I23" s="713" t="s">
        <v>714</v>
      </c>
      <c r="J23" s="714">
        <v>2.0</v>
      </c>
      <c r="K23" s="770">
        <v>2.0</v>
      </c>
      <c r="L23" s="714">
        <v>1.0</v>
      </c>
      <c r="M23" s="714">
        <v>3.0</v>
      </c>
      <c r="N23" s="714">
        <v>2.0</v>
      </c>
      <c r="O23" s="714">
        <v>1.0</v>
      </c>
      <c r="P23" s="714"/>
      <c r="Q23" s="714">
        <v>2.0</v>
      </c>
      <c r="R23" s="704"/>
    </row>
    <row r="24">
      <c r="A24" s="704"/>
      <c r="B24" s="355"/>
      <c r="C24" s="710" t="s">
        <v>1312</v>
      </c>
      <c r="D24" s="711"/>
      <c r="E24" s="712"/>
      <c r="F24" s="68">
        <v>8.0</v>
      </c>
      <c r="G24" s="68">
        <v>8.0</v>
      </c>
      <c r="H24" s="68">
        <v>8.0</v>
      </c>
      <c r="I24" s="713" t="s">
        <v>714</v>
      </c>
      <c r="J24" s="714">
        <v>1.0</v>
      </c>
      <c r="K24" s="770">
        <v>2.0</v>
      </c>
      <c r="L24" s="714">
        <v>1.0</v>
      </c>
      <c r="M24" s="714">
        <v>1.0</v>
      </c>
      <c r="N24" s="714">
        <v>1.0</v>
      </c>
      <c r="O24" s="714">
        <v>1.0</v>
      </c>
      <c r="P24" s="714"/>
      <c r="Q24" s="714">
        <v>1.0</v>
      </c>
      <c r="R24" s="704"/>
    </row>
    <row r="25">
      <c r="A25" s="716"/>
      <c r="B25" s="609"/>
      <c r="C25" s="136"/>
      <c r="D25" s="699"/>
      <c r="E25" s="525"/>
      <c r="F25" s="85"/>
      <c r="G25" s="85"/>
      <c r="H25" s="85"/>
      <c r="I25" s="700"/>
      <c r="J25" s="702" t="s">
        <v>2</v>
      </c>
      <c r="K25" s="702" t="s">
        <v>426</v>
      </c>
      <c r="L25" s="702" t="s">
        <v>1</v>
      </c>
      <c r="M25" s="702" t="s">
        <v>4</v>
      </c>
      <c r="N25" s="702" t="s">
        <v>208</v>
      </c>
      <c r="O25" s="702" t="s">
        <v>3</v>
      </c>
      <c r="P25" s="702" t="s">
        <v>427</v>
      </c>
      <c r="Q25" s="703" t="s">
        <v>210</v>
      </c>
      <c r="R25" s="716"/>
    </row>
    <row r="26">
      <c r="A26" s="704"/>
      <c r="B26" s="623" t="s">
        <v>734</v>
      </c>
      <c r="C26" s="705" t="s">
        <v>1313</v>
      </c>
      <c r="D26" s="706"/>
      <c r="E26" s="707"/>
      <c r="F26" s="185">
        <v>2.0</v>
      </c>
      <c r="G26" s="185">
        <v>4.0</v>
      </c>
      <c r="H26" s="185">
        <v>3.0</v>
      </c>
      <c r="I26" s="708" t="s">
        <v>714</v>
      </c>
      <c r="J26" s="709">
        <v>1.0</v>
      </c>
      <c r="K26" s="770">
        <v>2.0</v>
      </c>
      <c r="L26" s="709">
        <v>1.0</v>
      </c>
      <c r="M26" s="709">
        <v>2.0</v>
      </c>
      <c r="N26" s="709">
        <v>1.0</v>
      </c>
      <c r="O26" s="709">
        <v>1.0</v>
      </c>
      <c r="P26" s="709"/>
      <c r="Q26" s="709">
        <v>1.0</v>
      </c>
      <c r="R26" s="704"/>
    </row>
    <row r="27">
      <c r="A27" s="704"/>
      <c r="B27" s="353"/>
      <c r="C27" s="710" t="s">
        <v>1314</v>
      </c>
      <c r="D27" s="711"/>
      <c r="E27" s="712"/>
      <c r="F27" s="68">
        <v>1.0</v>
      </c>
      <c r="G27" s="68">
        <v>3.0</v>
      </c>
      <c r="H27" s="68">
        <v>2.0</v>
      </c>
      <c r="I27" s="713" t="s">
        <v>714</v>
      </c>
      <c r="J27" s="714">
        <v>5.0</v>
      </c>
      <c r="K27" s="770">
        <v>5.0</v>
      </c>
      <c r="L27" s="714">
        <v>5.0</v>
      </c>
      <c r="M27" s="714">
        <v>5.0</v>
      </c>
      <c r="N27" s="714">
        <v>5.0</v>
      </c>
      <c r="O27" s="714">
        <v>4.0</v>
      </c>
      <c r="P27" s="714"/>
      <c r="Q27" s="714">
        <v>4.0</v>
      </c>
      <c r="R27" s="704"/>
    </row>
    <row r="28">
      <c r="A28" s="716"/>
      <c r="B28" s="624"/>
      <c r="C28" s="729" t="s">
        <v>1315</v>
      </c>
      <c r="D28" s="730"/>
      <c r="E28" s="731"/>
      <c r="F28" s="557">
        <v>3.0</v>
      </c>
      <c r="G28" s="557">
        <v>2.0</v>
      </c>
      <c r="H28" s="557">
        <v>2.0</v>
      </c>
      <c r="I28" s="732" t="s">
        <v>714</v>
      </c>
      <c r="J28" s="714">
        <v>2.0</v>
      </c>
      <c r="K28" s="770">
        <v>2.0</v>
      </c>
      <c r="L28" s="714">
        <v>1.0</v>
      </c>
      <c r="M28" s="714">
        <v>2.0</v>
      </c>
      <c r="N28" s="714">
        <v>2.0</v>
      </c>
      <c r="O28" s="714">
        <v>2.0</v>
      </c>
      <c r="P28" s="714"/>
      <c r="Q28" s="714">
        <v>1.0</v>
      </c>
      <c r="R28" s="716"/>
    </row>
    <row r="29">
      <c r="A29" s="704"/>
      <c r="B29" s="626" t="s">
        <v>740</v>
      </c>
      <c r="C29" s="733" t="s">
        <v>1316</v>
      </c>
      <c r="D29" s="711"/>
      <c r="E29" s="712"/>
      <c r="F29" s="68">
        <v>3.0</v>
      </c>
      <c r="G29" s="68">
        <v>4.0</v>
      </c>
      <c r="H29" s="68">
        <v>3.0</v>
      </c>
      <c r="I29" s="713" t="s">
        <v>714</v>
      </c>
      <c r="J29" s="714">
        <v>2.0</v>
      </c>
      <c r="K29" s="770">
        <v>2.0</v>
      </c>
      <c r="L29" s="714">
        <v>1.0</v>
      </c>
      <c r="M29" s="714">
        <v>3.0</v>
      </c>
      <c r="N29" s="714">
        <v>1.0</v>
      </c>
      <c r="O29" s="714">
        <v>1.0</v>
      </c>
      <c r="P29" s="714"/>
      <c r="Q29" s="714">
        <v>1.0</v>
      </c>
      <c r="R29" s="704"/>
    </row>
    <row r="30">
      <c r="A30" s="704"/>
      <c r="B30" s="353"/>
      <c r="C30" s="733" t="s">
        <v>1317</v>
      </c>
      <c r="D30" s="711"/>
      <c r="E30" s="712"/>
      <c r="F30" s="68">
        <v>2.0</v>
      </c>
      <c r="G30" s="68">
        <v>2.0</v>
      </c>
      <c r="H30" s="68">
        <v>2.0</v>
      </c>
      <c r="I30" s="713" t="s">
        <v>714</v>
      </c>
      <c r="J30" s="714">
        <v>2.0</v>
      </c>
      <c r="K30" s="770">
        <v>3.0</v>
      </c>
      <c r="L30" s="714">
        <v>2.0</v>
      </c>
      <c r="M30" s="714">
        <v>2.0</v>
      </c>
      <c r="N30" s="714">
        <v>2.0</v>
      </c>
      <c r="O30" s="714">
        <v>2.0</v>
      </c>
      <c r="P30" s="714"/>
      <c r="Q30" s="714">
        <v>2.0</v>
      </c>
      <c r="R30" s="704"/>
    </row>
    <row r="31">
      <c r="A31" s="704"/>
      <c r="B31" s="734"/>
      <c r="C31" s="735" t="s">
        <v>1318</v>
      </c>
      <c r="D31" s="730"/>
      <c r="E31" s="731"/>
      <c r="F31" s="557">
        <v>1.0</v>
      </c>
      <c r="G31" s="557">
        <v>6.0</v>
      </c>
      <c r="H31" s="557">
        <v>3.0</v>
      </c>
      <c r="I31" s="732" t="s">
        <v>1319</v>
      </c>
      <c r="J31" s="714">
        <v>1.0</v>
      </c>
      <c r="K31" s="770">
        <v>1.0</v>
      </c>
      <c r="L31" s="714">
        <v>1.0</v>
      </c>
      <c r="M31" s="714">
        <v>1.0</v>
      </c>
      <c r="N31" s="714">
        <v>1.0</v>
      </c>
      <c r="O31" s="714">
        <v>1.0</v>
      </c>
      <c r="P31" s="714"/>
      <c r="Q31" s="714">
        <v>1.0</v>
      </c>
      <c r="R31" s="704"/>
    </row>
    <row r="32">
      <c r="A32" s="704"/>
      <c r="B32" s="628" t="s">
        <v>1179</v>
      </c>
      <c r="C32" s="733" t="s">
        <v>1320</v>
      </c>
      <c r="D32" s="711"/>
      <c r="E32" s="712"/>
      <c r="F32" s="68">
        <v>4.0</v>
      </c>
      <c r="G32" s="68">
        <v>6.0</v>
      </c>
      <c r="H32" s="68">
        <v>5.0</v>
      </c>
      <c r="I32" s="713" t="s">
        <v>714</v>
      </c>
      <c r="J32" s="714">
        <v>2.0</v>
      </c>
      <c r="K32" s="770">
        <v>2.0</v>
      </c>
      <c r="L32" s="714">
        <v>3.0</v>
      </c>
      <c r="M32" s="714">
        <v>4.0</v>
      </c>
      <c r="N32" s="714">
        <v>3.0</v>
      </c>
      <c r="O32" s="714">
        <v>2.0</v>
      </c>
      <c r="P32" s="714"/>
      <c r="Q32" s="714">
        <v>3.0</v>
      </c>
      <c r="R32" s="704"/>
    </row>
    <row r="33">
      <c r="A33" s="704"/>
      <c r="B33" s="353"/>
      <c r="C33" s="733" t="s">
        <v>1321</v>
      </c>
      <c r="D33" s="711"/>
      <c r="E33" s="712"/>
      <c r="F33" s="68">
        <v>4.0</v>
      </c>
      <c r="G33" s="68">
        <v>5.0</v>
      </c>
      <c r="H33" s="68">
        <v>4.0</v>
      </c>
      <c r="I33" s="713" t="s">
        <v>714</v>
      </c>
      <c r="J33" s="714">
        <v>3.0</v>
      </c>
      <c r="K33" s="770">
        <v>3.0</v>
      </c>
      <c r="L33" s="714">
        <v>4.0</v>
      </c>
      <c r="M33" s="714">
        <v>3.0</v>
      </c>
      <c r="N33" s="714">
        <v>1.0</v>
      </c>
      <c r="O33" s="714">
        <v>5.0</v>
      </c>
      <c r="P33" s="714"/>
      <c r="Q33" s="714">
        <v>4.0</v>
      </c>
      <c r="R33" s="704"/>
    </row>
    <row r="34">
      <c r="A34" s="704"/>
      <c r="B34" s="353"/>
      <c r="C34" s="733" t="s">
        <v>1322</v>
      </c>
      <c r="D34" s="711"/>
      <c r="E34" s="712"/>
      <c r="F34" s="68">
        <v>6.0</v>
      </c>
      <c r="G34" s="68">
        <v>8.0</v>
      </c>
      <c r="H34" s="68">
        <v>7.0</v>
      </c>
      <c r="I34" s="713" t="s">
        <v>714</v>
      </c>
      <c r="J34" s="714">
        <v>1.0</v>
      </c>
      <c r="K34" s="770">
        <v>1.0</v>
      </c>
      <c r="L34" s="714">
        <v>1.0</v>
      </c>
      <c r="M34" s="714">
        <v>1.0</v>
      </c>
      <c r="N34" s="714">
        <v>1.0</v>
      </c>
      <c r="O34" s="714">
        <v>1.0</v>
      </c>
      <c r="P34" s="714"/>
      <c r="Q34" s="714">
        <v>1.0</v>
      </c>
      <c r="R34" s="704"/>
    </row>
    <row r="35">
      <c r="A35" s="704"/>
      <c r="B35" s="353"/>
      <c r="C35" s="733" t="s">
        <v>1323</v>
      </c>
      <c r="D35" s="711" t="s">
        <v>77</v>
      </c>
      <c r="E35" s="712"/>
      <c r="F35" s="68">
        <v>0.0</v>
      </c>
      <c r="G35" s="68">
        <v>4.0</v>
      </c>
      <c r="H35" s="68">
        <v>1.0</v>
      </c>
      <c r="I35" s="713" t="s">
        <v>714</v>
      </c>
      <c r="J35" s="714">
        <v>5.0</v>
      </c>
      <c r="K35" s="770">
        <v>4.0</v>
      </c>
      <c r="L35" s="714">
        <v>5.0</v>
      </c>
      <c r="M35" s="714">
        <v>2.0</v>
      </c>
      <c r="N35" s="714">
        <v>4.0</v>
      </c>
      <c r="O35" s="714">
        <v>4.0</v>
      </c>
      <c r="P35" s="714"/>
      <c r="Q35" s="714">
        <v>5.0</v>
      </c>
      <c r="R35" s="704"/>
    </row>
    <row r="36">
      <c r="A36" s="704"/>
      <c r="B36" s="355"/>
      <c r="C36" s="733" t="s">
        <v>1324</v>
      </c>
      <c r="D36" s="711"/>
      <c r="E36" s="712"/>
      <c r="F36" s="68">
        <v>4.0</v>
      </c>
      <c r="G36" s="68">
        <v>4.0</v>
      </c>
      <c r="H36" s="68">
        <v>5.0</v>
      </c>
      <c r="I36" s="713" t="s">
        <v>714</v>
      </c>
      <c r="J36" s="714">
        <v>3.0</v>
      </c>
      <c r="K36" s="770">
        <v>4.0</v>
      </c>
      <c r="L36" s="714">
        <v>3.0</v>
      </c>
      <c r="M36" s="714">
        <v>3.0</v>
      </c>
      <c r="N36" s="714">
        <v>4.0</v>
      </c>
      <c r="O36" s="714">
        <v>4.0</v>
      </c>
      <c r="P36" s="714"/>
      <c r="Q36" s="714">
        <v>4.0</v>
      </c>
      <c r="R36" s="704"/>
    </row>
    <row r="37">
      <c r="A37" s="704"/>
      <c r="B37" s="605"/>
      <c r="C37" s="195" t="s">
        <v>83</v>
      </c>
      <c r="D37" s="82"/>
      <c r="E37" s="82"/>
      <c r="F37" s="82"/>
      <c r="G37" s="82"/>
      <c r="H37" s="82"/>
      <c r="I37" s="96"/>
      <c r="J37" s="128"/>
      <c r="K37" s="128"/>
      <c r="L37" s="128"/>
      <c r="M37" s="128"/>
      <c r="N37" s="128"/>
      <c r="O37" s="128"/>
      <c r="P37" s="128"/>
      <c r="Q37" s="128"/>
      <c r="R37" s="704"/>
    </row>
    <row r="38">
      <c r="A38" s="716"/>
      <c r="B38" s="609"/>
      <c r="C38" s="136"/>
      <c r="D38" s="699"/>
      <c r="E38" s="525"/>
      <c r="F38" s="85"/>
      <c r="G38" s="85"/>
      <c r="H38" s="737">
        <v>2.0</v>
      </c>
      <c r="I38" s="700"/>
      <c r="J38" s="702" t="s">
        <v>2</v>
      </c>
      <c r="K38" s="702" t="s">
        <v>426</v>
      </c>
      <c r="L38" s="702" t="s">
        <v>1</v>
      </c>
      <c r="M38" s="702" t="s">
        <v>4</v>
      </c>
      <c r="N38" s="702" t="s">
        <v>208</v>
      </c>
      <c r="O38" s="702" t="s">
        <v>3</v>
      </c>
      <c r="P38" s="702" t="s">
        <v>427</v>
      </c>
      <c r="Q38" s="703" t="s">
        <v>210</v>
      </c>
      <c r="R38" s="716"/>
    </row>
    <row r="39">
      <c r="A39" s="704"/>
      <c r="B39" s="631" t="s">
        <v>64</v>
      </c>
      <c r="C39" s="710" t="s">
        <v>1325</v>
      </c>
      <c r="D39" s="711" t="s">
        <v>71</v>
      </c>
      <c r="E39" s="712" t="s">
        <v>1326</v>
      </c>
      <c r="F39" s="68"/>
      <c r="G39" s="68"/>
      <c r="H39" s="68">
        <v>1.0</v>
      </c>
      <c r="I39" s="713" t="s">
        <v>714</v>
      </c>
      <c r="J39" s="709">
        <v>4.0</v>
      </c>
      <c r="K39" s="709">
        <v>4.0</v>
      </c>
      <c r="L39" s="709">
        <v>4.0</v>
      </c>
      <c r="M39" s="709">
        <v>4.0</v>
      </c>
      <c r="N39" s="709">
        <v>4.0</v>
      </c>
      <c r="O39" s="709">
        <v>4.0</v>
      </c>
      <c r="P39" s="709"/>
      <c r="Q39" s="709">
        <v>4.0</v>
      </c>
      <c r="R39" s="704"/>
    </row>
    <row r="40">
      <c r="A40" s="716"/>
      <c r="B40" s="353"/>
      <c r="C40" s="710" t="s">
        <v>1327</v>
      </c>
      <c r="D40" s="711" t="s">
        <v>71</v>
      </c>
      <c r="E40" s="712"/>
      <c r="F40" s="68"/>
      <c r="G40" s="68"/>
      <c r="H40" s="68">
        <v>1.0</v>
      </c>
      <c r="I40" s="713" t="s">
        <v>714</v>
      </c>
      <c r="J40" s="714">
        <v>2.0</v>
      </c>
      <c r="K40" s="714">
        <v>2.0</v>
      </c>
      <c r="L40" s="714">
        <v>2.0</v>
      </c>
      <c r="M40" s="714">
        <v>3.0</v>
      </c>
      <c r="N40" s="714">
        <v>1.0</v>
      </c>
      <c r="O40" s="714">
        <v>2.0</v>
      </c>
      <c r="P40" s="714"/>
      <c r="Q40" s="714">
        <v>3.0</v>
      </c>
      <c r="R40" s="716"/>
    </row>
    <row r="41">
      <c r="A41" s="716"/>
      <c r="B41" s="353"/>
      <c r="C41" s="710" t="s">
        <v>1328</v>
      </c>
      <c r="D41" s="711" t="s">
        <v>71</v>
      </c>
      <c r="E41" s="712"/>
      <c r="F41" s="68"/>
      <c r="G41" s="68"/>
      <c r="H41" s="68">
        <v>2.0</v>
      </c>
      <c r="I41" s="713" t="s">
        <v>714</v>
      </c>
      <c r="J41" s="714">
        <v>1.0</v>
      </c>
      <c r="K41" s="714">
        <v>1.0</v>
      </c>
      <c r="L41" s="714">
        <v>1.0</v>
      </c>
      <c r="M41" s="714">
        <v>1.0</v>
      </c>
      <c r="N41" s="714">
        <v>1.0</v>
      </c>
      <c r="O41" s="714">
        <v>1.0</v>
      </c>
      <c r="P41" s="714"/>
      <c r="Q41" s="714">
        <v>1.0</v>
      </c>
      <c r="R41" s="716"/>
    </row>
    <row r="42">
      <c r="A42" s="704"/>
      <c r="B42" s="632"/>
      <c r="C42" s="729" t="s">
        <v>1329</v>
      </c>
      <c r="D42" s="730" t="s">
        <v>71</v>
      </c>
      <c r="E42" s="731" t="s">
        <v>1326</v>
      </c>
      <c r="F42" s="557"/>
      <c r="G42" s="557"/>
      <c r="H42" s="557">
        <v>5.0</v>
      </c>
      <c r="I42" s="732" t="s">
        <v>714</v>
      </c>
      <c r="J42" s="714">
        <v>3.0</v>
      </c>
      <c r="K42" s="714">
        <v>3.0</v>
      </c>
      <c r="L42" s="714">
        <v>1.0</v>
      </c>
      <c r="M42" s="714">
        <v>3.0</v>
      </c>
      <c r="N42" s="714">
        <v>1.0</v>
      </c>
      <c r="O42" s="714">
        <v>3.0</v>
      </c>
      <c r="P42" s="714"/>
      <c r="Q42" s="714">
        <v>2.0</v>
      </c>
      <c r="R42" s="704"/>
    </row>
    <row r="43">
      <c r="A43" s="704"/>
      <c r="B43" s="639"/>
      <c r="C43" s="710" t="s">
        <v>1330</v>
      </c>
      <c r="D43" s="711" t="s">
        <v>77</v>
      </c>
      <c r="E43" s="712"/>
      <c r="F43" s="68">
        <v>4.0</v>
      </c>
      <c r="G43" s="68">
        <v>2.0</v>
      </c>
      <c r="H43" s="68">
        <v>4.0</v>
      </c>
      <c r="I43" s="713" t="s">
        <v>714</v>
      </c>
      <c r="J43" s="714">
        <v>2.0</v>
      </c>
      <c r="K43" s="714">
        <v>2.0</v>
      </c>
      <c r="L43" s="714">
        <v>2.0</v>
      </c>
      <c r="M43" s="714">
        <v>3.0</v>
      </c>
      <c r="N43" s="714">
        <v>3.0</v>
      </c>
      <c r="O43" s="714">
        <v>3.0</v>
      </c>
      <c r="P43" s="714"/>
      <c r="Q43" s="714">
        <v>2.0</v>
      </c>
      <c r="R43" s="704"/>
    </row>
    <row r="44">
      <c r="A44" s="704"/>
      <c r="B44" s="353"/>
      <c r="C44" s="710" t="s">
        <v>1331</v>
      </c>
      <c r="D44" s="711"/>
      <c r="E44" s="712" t="s">
        <v>1326</v>
      </c>
      <c r="F44" s="68"/>
      <c r="G44" s="68"/>
      <c r="H44" s="68">
        <v>3.0</v>
      </c>
      <c r="I44" s="713" t="s">
        <v>714</v>
      </c>
      <c r="J44" s="714">
        <v>1.0</v>
      </c>
      <c r="K44" s="714">
        <v>2.0</v>
      </c>
      <c r="L44" s="714">
        <v>1.0</v>
      </c>
      <c r="M44" s="714">
        <v>1.0</v>
      </c>
      <c r="N44" s="714">
        <v>1.0</v>
      </c>
      <c r="O44" s="714">
        <v>2.0</v>
      </c>
      <c r="P44" s="714"/>
      <c r="Q44" s="714">
        <v>1.0</v>
      </c>
      <c r="R44" s="704"/>
    </row>
    <row r="45">
      <c r="A45" s="704"/>
      <c r="B45" s="353"/>
      <c r="C45" s="710" t="s">
        <v>1332</v>
      </c>
      <c r="D45" s="711"/>
      <c r="E45" s="712" t="s">
        <v>1326</v>
      </c>
      <c r="F45" s="68"/>
      <c r="G45" s="68"/>
      <c r="H45" s="68">
        <v>7.0</v>
      </c>
      <c r="I45" s="713" t="s">
        <v>714</v>
      </c>
      <c r="J45" s="714">
        <v>1.0</v>
      </c>
      <c r="K45" s="714">
        <v>1.0</v>
      </c>
      <c r="L45" s="714">
        <v>1.0</v>
      </c>
      <c r="M45" s="714">
        <v>2.0</v>
      </c>
      <c r="N45" s="714">
        <v>1.0</v>
      </c>
      <c r="O45" s="714">
        <v>2.0</v>
      </c>
      <c r="P45" s="714"/>
      <c r="Q45" s="714">
        <v>1.0</v>
      </c>
      <c r="R45" s="704"/>
    </row>
    <row r="46">
      <c r="A46" s="704"/>
      <c r="B46" s="355"/>
      <c r="C46" s="729" t="s">
        <v>1333</v>
      </c>
      <c r="D46" s="730"/>
      <c r="E46" s="731"/>
      <c r="F46" s="557">
        <v>6.0</v>
      </c>
      <c r="G46" s="557">
        <v>8.0</v>
      </c>
      <c r="H46" s="557">
        <v>8.0</v>
      </c>
      <c r="I46" s="732" t="s">
        <v>714</v>
      </c>
      <c r="J46" s="714">
        <v>1.0</v>
      </c>
      <c r="K46" s="714">
        <v>2.0</v>
      </c>
      <c r="L46" s="714">
        <v>1.0</v>
      </c>
      <c r="M46" s="714">
        <v>2.0</v>
      </c>
      <c r="N46" s="714">
        <v>2.0</v>
      </c>
      <c r="O46" s="714">
        <v>2.0</v>
      </c>
      <c r="P46" s="714"/>
      <c r="Q46" s="714">
        <v>2.0</v>
      </c>
      <c r="R46" s="704"/>
    </row>
    <row r="47">
      <c r="A47" s="704"/>
      <c r="B47" s="634"/>
      <c r="C47" s="733" t="s">
        <v>1334</v>
      </c>
      <c r="D47" s="711" t="s">
        <v>77</v>
      </c>
      <c r="E47" s="712" t="s">
        <v>1326</v>
      </c>
      <c r="F47" s="68">
        <v>2.0</v>
      </c>
      <c r="G47" s="68">
        <v>2.0</v>
      </c>
      <c r="H47" s="68">
        <v>3.0</v>
      </c>
      <c r="I47" s="713" t="s">
        <v>714</v>
      </c>
      <c r="J47" s="714">
        <v>1.0</v>
      </c>
      <c r="K47" s="714">
        <v>1.0</v>
      </c>
      <c r="L47" s="714">
        <v>1.0</v>
      </c>
      <c r="M47" s="714">
        <v>2.0</v>
      </c>
      <c r="N47" s="714">
        <v>1.0</v>
      </c>
      <c r="O47" s="714">
        <v>1.0</v>
      </c>
      <c r="P47" s="714"/>
      <c r="Q47" s="714">
        <v>1.0</v>
      </c>
      <c r="R47" s="704"/>
    </row>
    <row r="48">
      <c r="A48" s="704"/>
      <c r="B48" s="353"/>
      <c r="C48" s="733" t="s">
        <v>1335</v>
      </c>
      <c r="D48" s="711"/>
      <c r="E48" s="712"/>
      <c r="F48" s="68">
        <v>4.0</v>
      </c>
      <c r="G48" s="68">
        <v>3.0</v>
      </c>
      <c r="H48" s="68">
        <v>3.0</v>
      </c>
      <c r="I48" s="713" t="s">
        <v>714</v>
      </c>
      <c r="J48" s="714">
        <v>2.0</v>
      </c>
      <c r="K48" s="714">
        <v>2.0</v>
      </c>
      <c r="L48" s="714">
        <v>1.0</v>
      </c>
      <c r="M48" s="714">
        <v>2.0</v>
      </c>
      <c r="N48" s="714">
        <v>1.0</v>
      </c>
      <c r="O48" s="714">
        <v>2.0</v>
      </c>
      <c r="P48" s="714"/>
      <c r="Q48" s="714">
        <v>1.0</v>
      </c>
      <c r="R48" s="704"/>
    </row>
    <row r="49">
      <c r="A49" s="704"/>
      <c r="B49" s="355"/>
      <c r="C49" s="735" t="s">
        <v>1336</v>
      </c>
      <c r="D49" s="730"/>
      <c r="E49" s="731" t="s">
        <v>1326</v>
      </c>
      <c r="F49" s="557">
        <v>4.0</v>
      </c>
      <c r="G49" s="557">
        <v>4.0</v>
      </c>
      <c r="H49" s="557">
        <v>4.0</v>
      </c>
      <c r="I49" s="732" t="s">
        <v>714</v>
      </c>
      <c r="J49" s="714">
        <v>2.0</v>
      </c>
      <c r="K49" s="714">
        <v>2.0</v>
      </c>
      <c r="L49" s="714">
        <v>1.0</v>
      </c>
      <c r="M49" s="714">
        <v>3.0</v>
      </c>
      <c r="N49" s="714">
        <v>2.0</v>
      </c>
      <c r="O49" s="714">
        <v>3.0</v>
      </c>
      <c r="P49" s="714"/>
      <c r="Q49" s="714">
        <v>2.0</v>
      </c>
      <c r="R49" s="704"/>
    </row>
    <row r="50">
      <c r="A50" s="704"/>
      <c r="B50" s="635"/>
      <c r="C50" s="733" t="s">
        <v>1337</v>
      </c>
      <c r="D50" s="711"/>
      <c r="E50" s="712" t="s">
        <v>1326</v>
      </c>
      <c r="F50" s="68">
        <v>4.0</v>
      </c>
      <c r="G50" s="68">
        <v>4.0</v>
      </c>
      <c r="H50" s="68">
        <v>5.0</v>
      </c>
      <c r="I50" s="713" t="s">
        <v>714</v>
      </c>
      <c r="J50" s="714">
        <v>4.0</v>
      </c>
      <c r="K50" s="714">
        <v>4.0</v>
      </c>
      <c r="L50" s="714">
        <v>4.0</v>
      </c>
      <c r="M50" s="714">
        <v>5.0</v>
      </c>
      <c r="N50" s="714">
        <v>4.0</v>
      </c>
      <c r="O50" s="714">
        <v>4.0</v>
      </c>
      <c r="P50" s="714"/>
      <c r="Q50" s="714">
        <v>4.0</v>
      </c>
      <c r="R50" s="704"/>
    </row>
    <row r="51">
      <c r="A51" s="704"/>
      <c r="B51" s="353"/>
      <c r="C51" s="733" t="s">
        <v>1338</v>
      </c>
      <c r="D51" s="711"/>
      <c r="E51" s="712"/>
      <c r="F51" s="68">
        <v>9.0</v>
      </c>
      <c r="G51" s="68">
        <v>9.0</v>
      </c>
      <c r="H51" s="68">
        <v>9.0</v>
      </c>
      <c r="I51" s="713" t="s">
        <v>714</v>
      </c>
      <c r="J51" s="714">
        <v>1.0</v>
      </c>
      <c r="K51" s="714">
        <v>1.0</v>
      </c>
      <c r="L51" s="714">
        <v>1.0</v>
      </c>
      <c r="M51" s="714">
        <v>1.0</v>
      </c>
      <c r="N51" s="714">
        <v>1.0</v>
      </c>
      <c r="O51" s="714">
        <v>2.0</v>
      </c>
      <c r="P51" s="714"/>
      <c r="Q51" s="714">
        <v>1.0</v>
      </c>
      <c r="R51" s="704"/>
    </row>
    <row r="52">
      <c r="A52" s="704"/>
      <c r="B52" s="355"/>
      <c r="C52" s="735" t="s">
        <v>1339</v>
      </c>
      <c r="D52" s="730"/>
      <c r="E52" s="712" t="s">
        <v>1326</v>
      </c>
      <c r="F52" s="557">
        <v>3.0</v>
      </c>
      <c r="G52" s="557">
        <v>2.0</v>
      </c>
      <c r="H52" s="557">
        <v>3.0</v>
      </c>
      <c r="I52" s="732" t="s">
        <v>714</v>
      </c>
      <c r="J52" s="727">
        <v>5.0</v>
      </c>
      <c r="K52" s="727">
        <v>5.0</v>
      </c>
      <c r="L52" s="727">
        <v>5.0</v>
      </c>
      <c r="M52" s="727">
        <v>4.0</v>
      </c>
      <c r="N52" s="727">
        <v>4.0</v>
      </c>
      <c r="O52" s="727">
        <v>5.0</v>
      </c>
      <c r="P52" s="727"/>
      <c r="Q52" s="727">
        <v>5.0</v>
      </c>
      <c r="R52" s="704"/>
    </row>
    <row r="53">
      <c r="A53" s="716"/>
      <c r="B53" s="605"/>
      <c r="C53" s="195" t="s">
        <v>95</v>
      </c>
      <c r="D53" s="82"/>
      <c r="E53" s="82"/>
      <c r="F53" s="82"/>
      <c r="G53" s="82"/>
      <c r="H53" s="82"/>
      <c r="I53" s="96"/>
      <c r="J53" s="128"/>
      <c r="K53" s="128"/>
      <c r="L53" s="128"/>
      <c r="M53" s="128"/>
      <c r="N53" s="128"/>
      <c r="O53" s="128"/>
      <c r="P53" s="128"/>
      <c r="Q53" s="128"/>
      <c r="R53" s="716"/>
    </row>
    <row r="54">
      <c r="A54" s="704"/>
      <c r="B54" s="636"/>
      <c r="C54" s="136"/>
      <c r="D54" s="699"/>
      <c r="E54" s="525"/>
      <c r="F54" s="85"/>
      <c r="G54" s="85"/>
      <c r="H54" s="85"/>
      <c r="I54" s="700"/>
      <c r="J54" s="702" t="s">
        <v>2</v>
      </c>
      <c r="K54" s="702" t="s">
        <v>426</v>
      </c>
      <c r="L54" s="702" t="s">
        <v>1</v>
      </c>
      <c r="M54" s="702" t="s">
        <v>4</v>
      </c>
      <c r="N54" s="703" t="s">
        <v>208</v>
      </c>
      <c r="O54" s="702" t="s">
        <v>3</v>
      </c>
      <c r="P54" s="702" t="s">
        <v>427</v>
      </c>
      <c r="Q54" s="703" t="s">
        <v>210</v>
      </c>
      <c r="R54" s="704"/>
    </row>
    <row r="55">
      <c r="A55" s="716"/>
      <c r="B55" s="631"/>
      <c r="C55" s="710" t="s">
        <v>1340</v>
      </c>
      <c r="D55" s="711" t="s">
        <v>1341</v>
      </c>
      <c r="E55" s="712"/>
      <c r="F55" s="68"/>
      <c r="G55" s="68"/>
      <c r="H55" s="68">
        <v>3.0</v>
      </c>
      <c r="I55" s="713" t="s">
        <v>714</v>
      </c>
      <c r="J55" s="709">
        <v>3.0</v>
      </c>
      <c r="K55" s="709">
        <v>2.0</v>
      </c>
      <c r="L55" s="709">
        <v>1.0</v>
      </c>
      <c r="M55" s="709">
        <v>3.0</v>
      </c>
      <c r="N55" s="709">
        <v>1.0</v>
      </c>
      <c r="O55" s="709">
        <v>3.0</v>
      </c>
      <c r="P55" s="709"/>
      <c r="Q55" s="709">
        <v>2.0</v>
      </c>
      <c r="R55" s="716"/>
    </row>
    <row r="56">
      <c r="A56" s="704"/>
      <c r="B56" s="353"/>
      <c r="C56" s="710" t="s">
        <v>1342</v>
      </c>
      <c r="D56" s="711" t="s">
        <v>71</v>
      </c>
      <c r="E56" s="712"/>
      <c r="F56" s="68"/>
      <c r="G56" s="68"/>
      <c r="H56" s="68">
        <v>1.0</v>
      </c>
      <c r="I56" s="713" t="s">
        <v>714</v>
      </c>
      <c r="J56" s="738">
        <v>1.0</v>
      </c>
      <c r="K56" s="738">
        <v>1.0</v>
      </c>
      <c r="L56" s="738">
        <v>1.0</v>
      </c>
      <c r="M56" s="738">
        <v>1.0</v>
      </c>
      <c r="N56" s="738">
        <v>1.0</v>
      </c>
      <c r="O56" s="738">
        <v>1.0</v>
      </c>
      <c r="P56" s="738"/>
      <c r="Q56" s="738">
        <v>2.0</v>
      </c>
      <c r="R56" s="704"/>
    </row>
    <row r="57">
      <c r="A57" s="704"/>
      <c r="B57" s="353"/>
      <c r="C57" s="710" t="s">
        <v>1343</v>
      </c>
      <c r="D57" s="711"/>
      <c r="E57" s="712" t="s">
        <v>1326</v>
      </c>
      <c r="F57" s="68">
        <v>1.0</v>
      </c>
      <c r="G57" s="68">
        <v>3.0</v>
      </c>
      <c r="H57" s="68">
        <v>1.0</v>
      </c>
      <c r="I57" s="713" t="s">
        <v>714</v>
      </c>
      <c r="J57" s="714">
        <v>3.0</v>
      </c>
      <c r="K57" s="714">
        <v>4.0</v>
      </c>
      <c r="L57" s="714">
        <v>1.0</v>
      </c>
      <c r="M57" s="714">
        <v>4.0</v>
      </c>
      <c r="N57" s="714">
        <v>2.0</v>
      </c>
      <c r="O57" s="714">
        <v>3.0</v>
      </c>
      <c r="P57" s="714"/>
      <c r="Q57" s="714">
        <v>2.0</v>
      </c>
      <c r="R57" s="704"/>
    </row>
    <row r="58">
      <c r="A58" s="704"/>
      <c r="B58" s="632"/>
      <c r="C58" s="729" t="s">
        <v>1344</v>
      </c>
      <c r="D58" s="730" t="s">
        <v>71</v>
      </c>
      <c r="E58" s="731" t="s">
        <v>1326</v>
      </c>
      <c r="F58" s="557"/>
      <c r="G58" s="557"/>
      <c r="H58" s="557">
        <v>0.0</v>
      </c>
      <c r="I58" s="732" t="s">
        <v>714</v>
      </c>
      <c r="J58" s="714">
        <v>4.0</v>
      </c>
      <c r="K58" s="714">
        <v>4.0</v>
      </c>
      <c r="L58" s="714">
        <v>3.0</v>
      </c>
      <c r="M58" s="714">
        <v>3.0</v>
      </c>
      <c r="N58" s="714">
        <v>4.0</v>
      </c>
      <c r="O58" s="714">
        <v>2.0</v>
      </c>
      <c r="P58" s="714"/>
      <c r="Q58" s="714">
        <v>3.0</v>
      </c>
      <c r="R58" s="704"/>
    </row>
    <row r="59">
      <c r="A59" s="704"/>
      <c r="B59" s="639"/>
      <c r="C59" s="710" t="s">
        <v>1345</v>
      </c>
      <c r="D59" s="711"/>
      <c r="E59" s="712"/>
      <c r="F59" s="68">
        <v>0.0</v>
      </c>
      <c r="G59" s="68">
        <v>2.0</v>
      </c>
      <c r="H59" s="68">
        <v>2.0</v>
      </c>
      <c r="I59" s="713" t="s">
        <v>714</v>
      </c>
      <c r="J59" s="714">
        <v>2.0</v>
      </c>
      <c r="K59" s="714">
        <v>2.0</v>
      </c>
      <c r="L59" s="714">
        <v>1.0</v>
      </c>
      <c r="M59" s="714">
        <v>2.0</v>
      </c>
      <c r="N59" s="714">
        <v>1.0</v>
      </c>
      <c r="O59" s="714">
        <v>2.0</v>
      </c>
      <c r="P59" s="714"/>
      <c r="Q59" s="714">
        <v>2.0</v>
      </c>
      <c r="R59" s="704"/>
    </row>
    <row r="60">
      <c r="A60" s="704"/>
      <c r="B60" s="353"/>
      <c r="C60" s="710" t="s">
        <v>1346</v>
      </c>
      <c r="D60" s="711"/>
      <c r="E60" s="712"/>
      <c r="F60" s="68">
        <v>3.0</v>
      </c>
      <c r="G60" s="68">
        <v>4.0</v>
      </c>
      <c r="H60" s="68">
        <v>3.0</v>
      </c>
      <c r="I60" s="713" t="s">
        <v>714</v>
      </c>
      <c r="J60" s="714">
        <v>3.0</v>
      </c>
      <c r="K60" s="714">
        <v>2.0</v>
      </c>
      <c r="L60" s="714">
        <v>1.0</v>
      </c>
      <c r="M60" s="714">
        <v>4.0</v>
      </c>
      <c r="N60" s="714">
        <v>2.0</v>
      </c>
      <c r="O60" s="714">
        <v>2.0</v>
      </c>
      <c r="P60" s="714"/>
      <c r="Q60" s="714">
        <v>2.0</v>
      </c>
      <c r="R60" s="704"/>
    </row>
    <row r="61">
      <c r="A61" s="704"/>
      <c r="B61" s="353"/>
      <c r="C61" s="710" t="s">
        <v>1347</v>
      </c>
      <c r="D61" s="711"/>
      <c r="E61" s="712" t="s">
        <v>1326</v>
      </c>
      <c r="F61" s="68">
        <v>3.0</v>
      </c>
      <c r="G61" s="68">
        <v>3.0</v>
      </c>
      <c r="H61" s="68">
        <v>4.0</v>
      </c>
      <c r="I61" s="713" t="s">
        <v>714</v>
      </c>
      <c r="J61" s="714">
        <v>3.0</v>
      </c>
      <c r="K61" s="714">
        <v>3.0</v>
      </c>
      <c r="L61" s="714">
        <v>2.0</v>
      </c>
      <c r="M61" s="714">
        <v>3.0</v>
      </c>
      <c r="N61" s="714">
        <v>2.0</v>
      </c>
      <c r="O61" s="714">
        <v>3.0</v>
      </c>
      <c r="P61" s="714"/>
      <c r="Q61" s="714">
        <v>2.0</v>
      </c>
      <c r="R61" s="704"/>
    </row>
    <row r="62">
      <c r="A62" s="704"/>
      <c r="B62" s="355"/>
      <c r="C62" s="729" t="s">
        <v>1348</v>
      </c>
      <c r="D62" s="730" t="s">
        <v>71</v>
      </c>
      <c r="E62" s="731" t="s">
        <v>1326</v>
      </c>
      <c r="F62" s="557"/>
      <c r="G62" s="557"/>
      <c r="H62" s="557">
        <v>2.0</v>
      </c>
      <c r="I62" s="732" t="s">
        <v>714</v>
      </c>
      <c r="J62" s="714">
        <v>3.0</v>
      </c>
      <c r="K62" s="714">
        <v>2.0</v>
      </c>
      <c r="L62" s="714">
        <v>1.0</v>
      </c>
      <c r="M62" s="714">
        <v>3.0</v>
      </c>
      <c r="N62" s="714">
        <v>1.0</v>
      </c>
      <c r="O62" s="714">
        <v>3.0</v>
      </c>
      <c r="P62" s="714"/>
      <c r="Q62" s="714">
        <v>2.0</v>
      </c>
      <c r="R62" s="704"/>
    </row>
    <row r="63">
      <c r="A63" s="704"/>
      <c r="B63" s="634"/>
      <c r="C63" s="733" t="s">
        <v>1349</v>
      </c>
      <c r="D63" s="711"/>
      <c r="E63" s="712" t="s">
        <v>1326</v>
      </c>
      <c r="F63" s="68">
        <v>8.0</v>
      </c>
      <c r="G63" s="68">
        <v>8.0</v>
      </c>
      <c r="H63" s="68">
        <v>8.0</v>
      </c>
      <c r="I63" s="713" t="s">
        <v>714</v>
      </c>
      <c r="J63" s="714">
        <v>4.0</v>
      </c>
      <c r="K63" s="714">
        <v>5.0</v>
      </c>
      <c r="L63" s="714">
        <v>4.0</v>
      </c>
      <c r="M63" s="714">
        <v>4.0</v>
      </c>
      <c r="N63" s="714">
        <v>4.0</v>
      </c>
      <c r="O63" s="714">
        <v>4.0</v>
      </c>
      <c r="P63" s="714"/>
      <c r="Q63" s="714">
        <v>4.0</v>
      </c>
      <c r="R63" s="704"/>
    </row>
    <row r="64">
      <c r="A64" s="704"/>
      <c r="B64" s="353"/>
      <c r="C64" s="733" t="s">
        <v>1350</v>
      </c>
      <c r="D64" s="711" t="s">
        <v>71</v>
      </c>
      <c r="E64" s="712" t="s">
        <v>1326</v>
      </c>
      <c r="F64" s="68"/>
      <c r="G64" s="68"/>
      <c r="H64" s="68">
        <v>1.0</v>
      </c>
      <c r="I64" s="713" t="s">
        <v>714</v>
      </c>
      <c r="J64" s="714">
        <v>3.0</v>
      </c>
      <c r="K64" s="714">
        <v>3.0</v>
      </c>
      <c r="L64" s="714">
        <v>1.0</v>
      </c>
      <c r="M64" s="714">
        <v>1.0</v>
      </c>
      <c r="N64" s="714">
        <v>3.0</v>
      </c>
      <c r="O64" s="714">
        <v>2.0</v>
      </c>
      <c r="P64" s="714"/>
      <c r="Q64" s="714">
        <v>1.0</v>
      </c>
      <c r="R64" s="704"/>
    </row>
    <row r="65">
      <c r="A65" s="716"/>
      <c r="B65" s="355"/>
      <c r="C65" s="735" t="s">
        <v>1351</v>
      </c>
      <c r="D65" s="730"/>
      <c r="E65" s="731"/>
      <c r="F65" s="557">
        <v>4.0</v>
      </c>
      <c r="G65" s="557">
        <v>5.0</v>
      </c>
      <c r="H65" s="557">
        <v>5.0</v>
      </c>
      <c r="I65" s="732" t="s">
        <v>714</v>
      </c>
      <c r="J65" s="714">
        <v>3.0</v>
      </c>
      <c r="K65" s="714">
        <v>2.0</v>
      </c>
      <c r="L65" s="714">
        <v>1.0</v>
      </c>
      <c r="M65" s="714">
        <v>4.0</v>
      </c>
      <c r="N65" s="714">
        <v>2.0</v>
      </c>
      <c r="O65" s="714">
        <v>3.0</v>
      </c>
      <c r="P65" s="714"/>
      <c r="Q65" s="714">
        <v>2.0</v>
      </c>
      <c r="R65" s="716"/>
    </row>
    <row r="66">
      <c r="A66" s="704"/>
      <c r="B66" s="635"/>
      <c r="C66" s="733" t="s">
        <v>1352</v>
      </c>
      <c r="D66" s="711"/>
      <c r="E66" s="712" t="s">
        <v>1326</v>
      </c>
      <c r="F66" s="68">
        <v>3.0</v>
      </c>
      <c r="G66" s="68">
        <v>6.0</v>
      </c>
      <c r="H66" s="68">
        <v>4.0</v>
      </c>
      <c r="I66" s="713" t="s">
        <v>714</v>
      </c>
      <c r="J66" s="714">
        <v>4.0</v>
      </c>
      <c r="K66" s="714">
        <v>4.0</v>
      </c>
      <c r="L66" s="714">
        <v>2.0</v>
      </c>
      <c r="M66" s="714">
        <v>4.0</v>
      </c>
      <c r="N66" s="714">
        <v>2.0</v>
      </c>
      <c r="O66" s="714">
        <v>4.0</v>
      </c>
      <c r="P66" s="714"/>
      <c r="Q66" s="714">
        <v>4.0</v>
      </c>
      <c r="R66" s="704"/>
    </row>
    <row r="67">
      <c r="A67" s="704"/>
      <c r="B67" s="353"/>
      <c r="C67" s="733" t="s">
        <v>1353</v>
      </c>
      <c r="D67" s="711"/>
      <c r="E67" s="712" t="s">
        <v>1326</v>
      </c>
      <c r="F67" s="68">
        <v>5.0</v>
      </c>
      <c r="G67" s="68">
        <v>5.0</v>
      </c>
      <c r="H67" s="68">
        <v>7.0</v>
      </c>
      <c r="I67" s="713" t="s">
        <v>714</v>
      </c>
      <c r="J67" s="714">
        <v>3.0</v>
      </c>
      <c r="K67" s="714">
        <v>2.0</v>
      </c>
      <c r="L67" s="714">
        <v>1.0</v>
      </c>
      <c r="M67" s="714">
        <v>2.0</v>
      </c>
      <c r="N67" s="714">
        <v>1.0</v>
      </c>
      <c r="O67" s="714">
        <v>3.0</v>
      </c>
      <c r="P67" s="714"/>
      <c r="Q67" s="714">
        <v>2.0</v>
      </c>
      <c r="R67" s="704"/>
    </row>
    <row r="68">
      <c r="A68" s="716"/>
      <c r="B68" s="355"/>
      <c r="C68" s="735" t="s">
        <v>1354</v>
      </c>
      <c r="D68" s="730"/>
      <c r="E68" s="731"/>
      <c r="F68" s="557">
        <v>7.0</v>
      </c>
      <c r="G68" s="557">
        <v>7.0</v>
      </c>
      <c r="H68" s="557">
        <v>9.0</v>
      </c>
      <c r="I68" s="732" t="s">
        <v>714</v>
      </c>
      <c r="J68" s="714">
        <v>1.0</v>
      </c>
      <c r="K68" s="714">
        <v>1.0</v>
      </c>
      <c r="L68" s="714">
        <v>1.0</v>
      </c>
      <c r="M68" s="714">
        <v>1.0</v>
      </c>
      <c r="N68" s="714">
        <v>1.0</v>
      </c>
      <c r="O68" s="714">
        <v>2.0</v>
      </c>
      <c r="P68" s="714"/>
      <c r="Q68" s="714">
        <v>1.0</v>
      </c>
      <c r="R68" s="716"/>
    </row>
    <row r="69">
      <c r="A69" s="704"/>
      <c r="B69" s="605"/>
      <c r="C69" s="195" t="s">
        <v>109</v>
      </c>
      <c r="D69" s="82"/>
      <c r="E69" s="82"/>
      <c r="F69" s="82"/>
      <c r="G69" s="82"/>
      <c r="H69" s="82"/>
      <c r="I69" s="96"/>
      <c r="J69" s="128"/>
      <c r="K69" s="128"/>
      <c r="L69" s="128"/>
      <c r="M69" s="128"/>
      <c r="N69" s="128"/>
      <c r="O69" s="128"/>
      <c r="P69" s="128"/>
      <c r="Q69" s="128"/>
      <c r="R69" s="704"/>
    </row>
    <row r="70">
      <c r="A70" s="704"/>
      <c r="B70" s="636"/>
      <c r="C70" s="136"/>
      <c r="D70" s="699"/>
      <c r="E70" s="525"/>
      <c r="F70" s="85"/>
      <c r="G70" s="85"/>
      <c r="H70" s="85"/>
      <c r="I70" s="700"/>
      <c r="J70" s="702" t="s">
        <v>2</v>
      </c>
      <c r="K70" s="702" t="s">
        <v>426</v>
      </c>
      <c r="L70" s="702" t="s">
        <v>1</v>
      </c>
      <c r="M70" s="702" t="s">
        <v>4</v>
      </c>
      <c r="N70" s="702" t="s">
        <v>208</v>
      </c>
      <c r="O70" s="702" t="s">
        <v>3</v>
      </c>
      <c r="P70" s="702" t="s">
        <v>427</v>
      </c>
      <c r="Q70" s="703" t="s">
        <v>210</v>
      </c>
      <c r="R70" s="704"/>
    </row>
    <row r="71">
      <c r="A71" s="704"/>
      <c r="B71" s="631"/>
      <c r="C71" s="710" t="s">
        <v>1355</v>
      </c>
      <c r="D71" s="711"/>
      <c r="E71" s="712" t="s">
        <v>1326</v>
      </c>
      <c r="F71" s="68"/>
      <c r="G71" s="68"/>
      <c r="H71" s="68">
        <v>0.0</v>
      </c>
      <c r="I71" s="713" t="s">
        <v>714</v>
      </c>
      <c r="J71" s="709">
        <v>4.0</v>
      </c>
      <c r="K71" s="709">
        <v>4.0</v>
      </c>
      <c r="L71" s="709">
        <v>5.0</v>
      </c>
      <c r="M71" s="709">
        <v>4.0</v>
      </c>
      <c r="N71" s="709">
        <v>5.0</v>
      </c>
      <c r="O71" s="709">
        <v>2.0</v>
      </c>
      <c r="P71" s="709"/>
      <c r="Q71" s="709">
        <v>2.0</v>
      </c>
      <c r="R71" s="704"/>
    </row>
    <row r="72">
      <c r="A72" s="704"/>
      <c r="B72" s="353"/>
      <c r="C72" s="710" t="s">
        <v>1356</v>
      </c>
      <c r="D72" s="711"/>
      <c r="E72" s="712" t="s">
        <v>1326</v>
      </c>
      <c r="F72" s="68"/>
      <c r="G72" s="68"/>
      <c r="H72" s="68">
        <v>1.0</v>
      </c>
      <c r="I72" s="713" t="s">
        <v>714</v>
      </c>
      <c r="J72" s="714">
        <v>2.0</v>
      </c>
      <c r="K72" s="714">
        <v>2.0</v>
      </c>
      <c r="L72" s="714">
        <v>1.0</v>
      </c>
      <c r="M72" s="714">
        <v>3.0</v>
      </c>
      <c r="N72" s="714">
        <v>2.0</v>
      </c>
      <c r="O72" s="714">
        <v>2.0</v>
      </c>
      <c r="P72" s="714"/>
      <c r="Q72" s="714">
        <v>2.0</v>
      </c>
      <c r="R72" s="704"/>
    </row>
    <row r="73">
      <c r="A73" s="704"/>
      <c r="B73" s="353"/>
      <c r="C73" s="710" t="s">
        <v>1357</v>
      </c>
      <c r="D73" s="711" t="s">
        <v>77</v>
      </c>
      <c r="E73" s="712"/>
      <c r="F73" s="68">
        <v>1.0</v>
      </c>
      <c r="G73" s="68">
        <v>3.0</v>
      </c>
      <c r="H73" s="68">
        <v>2.0</v>
      </c>
      <c r="I73" s="713" t="s">
        <v>714</v>
      </c>
      <c r="J73" s="714">
        <v>2.0</v>
      </c>
      <c r="K73" s="714">
        <v>3.0</v>
      </c>
      <c r="L73" s="714">
        <v>1.0</v>
      </c>
      <c r="M73" s="714">
        <v>3.0</v>
      </c>
      <c r="N73" s="714">
        <v>3.0</v>
      </c>
      <c r="O73" s="714">
        <v>3.0</v>
      </c>
      <c r="P73" s="714"/>
      <c r="Q73" s="714">
        <v>3.0</v>
      </c>
      <c r="R73" s="704"/>
    </row>
    <row r="74">
      <c r="A74" s="704"/>
      <c r="B74" s="632"/>
      <c r="C74" s="729" t="s">
        <v>1358</v>
      </c>
      <c r="D74" s="730" t="s">
        <v>71</v>
      </c>
      <c r="E74" s="731"/>
      <c r="F74" s="557"/>
      <c r="G74" s="557"/>
      <c r="H74" s="557">
        <v>8.0</v>
      </c>
      <c r="I74" s="732" t="s">
        <v>714</v>
      </c>
      <c r="J74" s="714">
        <v>1.0</v>
      </c>
      <c r="K74" s="714">
        <v>1.0</v>
      </c>
      <c r="L74" s="714">
        <v>1.0</v>
      </c>
      <c r="M74" s="714">
        <v>2.0</v>
      </c>
      <c r="N74" s="714">
        <v>1.0</v>
      </c>
      <c r="O74" s="714">
        <v>1.0</v>
      </c>
      <c r="P74" s="714"/>
      <c r="Q74" s="714">
        <v>1.0</v>
      </c>
      <c r="R74" s="704"/>
    </row>
    <row r="75">
      <c r="A75" s="704"/>
      <c r="B75" s="639"/>
      <c r="C75" s="710" t="s">
        <v>1359</v>
      </c>
      <c r="D75" s="711"/>
      <c r="E75" s="712" t="s">
        <v>1326</v>
      </c>
      <c r="F75" s="68">
        <v>4.0</v>
      </c>
      <c r="G75" s="68">
        <v>5.0</v>
      </c>
      <c r="H75" s="68">
        <v>4.0</v>
      </c>
      <c r="I75" s="713" t="s">
        <v>714</v>
      </c>
      <c r="J75" s="714">
        <v>3.0</v>
      </c>
      <c r="K75" s="714">
        <v>2.0</v>
      </c>
      <c r="L75" s="714">
        <v>1.0</v>
      </c>
      <c r="M75" s="714">
        <v>3.0</v>
      </c>
      <c r="N75" s="714">
        <v>2.0</v>
      </c>
      <c r="O75" s="714">
        <v>2.0</v>
      </c>
      <c r="P75" s="714"/>
      <c r="Q75" s="714">
        <v>2.0</v>
      </c>
      <c r="R75" s="704"/>
    </row>
    <row r="76">
      <c r="A76" s="704"/>
      <c r="B76" s="353"/>
      <c r="C76" s="710" t="s">
        <v>1360</v>
      </c>
      <c r="D76" s="711"/>
      <c r="E76" s="712"/>
      <c r="F76" s="68">
        <v>2.0</v>
      </c>
      <c r="G76" s="68">
        <v>3.0</v>
      </c>
      <c r="H76" s="68">
        <v>2.0</v>
      </c>
      <c r="I76" s="713" t="s">
        <v>714</v>
      </c>
      <c r="J76" s="714">
        <v>1.0</v>
      </c>
      <c r="K76" s="714">
        <v>2.0</v>
      </c>
      <c r="L76" s="714">
        <v>2.0</v>
      </c>
      <c r="M76" s="714">
        <v>3.0</v>
      </c>
      <c r="N76" s="714">
        <v>3.0</v>
      </c>
      <c r="O76" s="714">
        <v>3.0</v>
      </c>
      <c r="P76" s="714"/>
      <c r="Q76" s="714">
        <v>2.0</v>
      </c>
      <c r="R76" s="704"/>
    </row>
    <row r="77">
      <c r="A77" s="704"/>
      <c r="B77" s="353"/>
      <c r="C77" s="710" t="s">
        <v>1361</v>
      </c>
      <c r="D77" s="711"/>
      <c r="E77" s="712" t="s">
        <v>1326</v>
      </c>
      <c r="F77" s="68">
        <v>0.0</v>
      </c>
      <c r="G77" s="68">
        <v>3.0</v>
      </c>
      <c r="H77" s="68">
        <v>2.0</v>
      </c>
      <c r="I77" s="713" t="s">
        <v>714</v>
      </c>
      <c r="J77" s="714">
        <v>2.0</v>
      </c>
      <c r="K77" s="714">
        <v>2.0</v>
      </c>
      <c r="L77" s="714">
        <v>1.0</v>
      </c>
      <c r="M77" s="714">
        <v>1.0</v>
      </c>
      <c r="N77" s="714">
        <v>2.0</v>
      </c>
      <c r="O77" s="714">
        <v>1.0</v>
      </c>
      <c r="P77" s="714"/>
      <c r="Q77" s="714">
        <v>4.0</v>
      </c>
      <c r="R77" s="704"/>
    </row>
    <row r="78">
      <c r="A78" s="704"/>
      <c r="B78" s="355"/>
      <c r="C78" s="729" t="s">
        <v>1362</v>
      </c>
      <c r="D78" s="730" t="s">
        <v>71</v>
      </c>
      <c r="E78" s="731"/>
      <c r="F78" s="557"/>
      <c r="G78" s="557"/>
      <c r="H78" s="557">
        <v>3.0</v>
      </c>
      <c r="I78" s="732" t="s">
        <v>714</v>
      </c>
      <c r="J78" s="714">
        <v>3.0</v>
      </c>
      <c r="K78" s="714">
        <v>3.0</v>
      </c>
      <c r="L78" s="714">
        <v>1.0</v>
      </c>
      <c r="M78" s="714">
        <v>3.0</v>
      </c>
      <c r="N78" s="714">
        <v>3.0</v>
      </c>
      <c r="O78" s="714">
        <v>3.0</v>
      </c>
      <c r="P78" s="714"/>
      <c r="Q78" s="714">
        <v>3.0</v>
      </c>
      <c r="R78" s="704"/>
    </row>
    <row r="79">
      <c r="A79" s="716"/>
      <c r="B79" s="634"/>
      <c r="C79" s="733" t="s">
        <v>1363</v>
      </c>
      <c r="D79" s="711"/>
      <c r="E79" s="712"/>
      <c r="F79" s="68">
        <v>4.0</v>
      </c>
      <c r="G79" s="68">
        <v>5.0</v>
      </c>
      <c r="H79" s="68">
        <v>5.0</v>
      </c>
      <c r="I79" s="713" t="s">
        <v>714</v>
      </c>
      <c r="J79" s="714">
        <v>4.0</v>
      </c>
      <c r="K79" s="714" t="s">
        <v>1364</v>
      </c>
      <c r="L79" s="714">
        <v>4.0</v>
      </c>
      <c r="M79" s="714">
        <v>4.0</v>
      </c>
      <c r="N79" s="714">
        <v>4.0</v>
      </c>
      <c r="O79" s="714">
        <v>4.0</v>
      </c>
      <c r="P79" s="714"/>
      <c r="Q79" s="714">
        <v>2.0</v>
      </c>
      <c r="R79" s="716"/>
    </row>
    <row r="80">
      <c r="A80" s="716"/>
      <c r="B80" s="353"/>
      <c r="C80" s="733" t="s">
        <v>1365</v>
      </c>
      <c r="D80" s="711"/>
      <c r="E80" s="712" t="s">
        <v>1326</v>
      </c>
      <c r="F80" s="68"/>
      <c r="G80" s="68"/>
      <c r="H80" s="68">
        <v>6.0</v>
      </c>
      <c r="I80" s="713" t="s">
        <v>714</v>
      </c>
      <c r="J80" s="714">
        <v>3.0</v>
      </c>
      <c r="K80" s="714">
        <v>3.0</v>
      </c>
      <c r="L80" s="714">
        <v>1.0</v>
      </c>
      <c r="M80" s="714">
        <v>2.0</v>
      </c>
      <c r="N80" s="714">
        <v>3.0</v>
      </c>
      <c r="O80" s="714">
        <v>3.0</v>
      </c>
      <c r="P80" s="714"/>
      <c r="Q80" s="714">
        <v>3.0</v>
      </c>
      <c r="R80" s="716"/>
    </row>
    <row r="81">
      <c r="A81" s="716"/>
      <c r="B81" s="355"/>
      <c r="C81" s="735" t="s">
        <v>1366</v>
      </c>
      <c r="D81" s="730"/>
      <c r="E81" s="731" t="s">
        <v>1326</v>
      </c>
      <c r="F81" s="557"/>
      <c r="G81" s="557"/>
      <c r="H81" s="557">
        <v>1.0</v>
      </c>
      <c r="I81" s="732" t="s">
        <v>714</v>
      </c>
      <c r="J81" s="714">
        <v>2.0</v>
      </c>
      <c r="K81" s="714">
        <v>2.0</v>
      </c>
      <c r="L81" s="714">
        <v>2.0</v>
      </c>
      <c r="M81" s="714">
        <v>2.0</v>
      </c>
      <c r="N81" s="714">
        <v>3.0</v>
      </c>
      <c r="O81" s="714">
        <v>4.0</v>
      </c>
      <c r="P81" s="714"/>
      <c r="Q81" s="714">
        <v>2.0</v>
      </c>
      <c r="R81" s="716"/>
    </row>
    <row r="82">
      <c r="A82" s="704"/>
      <c r="B82" s="635"/>
      <c r="C82" s="733" t="s">
        <v>1367</v>
      </c>
      <c r="D82" s="711"/>
      <c r="E82" s="712"/>
      <c r="F82" s="68">
        <v>3.0</v>
      </c>
      <c r="G82" s="68">
        <v>3.0</v>
      </c>
      <c r="H82" s="68">
        <v>3.0</v>
      </c>
      <c r="I82" s="713" t="s">
        <v>714</v>
      </c>
      <c r="J82" s="714">
        <v>3.0</v>
      </c>
      <c r="K82" s="714">
        <v>3.0</v>
      </c>
      <c r="L82" s="714">
        <v>2.0</v>
      </c>
      <c r="M82" s="714">
        <v>4.0</v>
      </c>
      <c r="N82" s="714">
        <v>4.0</v>
      </c>
      <c r="O82" s="714">
        <v>4.0</v>
      </c>
      <c r="P82" s="714"/>
      <c r="Q82" s="714">
        <v>4.0</v>
      </c>
      <c r="R82" s="704"/>
    </row>
    <row r="83">
      <c r="A83" s="704"/>
      <c r="B83" s="353"/>
      <c r="C83" s="733" t="s">
        <v>1368</v>
      </c>
      <c r="D83" s="711"/>
      <c r="E83" s="712" t="s">
        <v>1326</v>
      </c>
      <c r="F83" s="68">
        <v>1.0</v>
      </c>
      <c r="G83" s="68">
        <v>4.0</v>
      </c>
      <c r="H83" s="68">
        <v>3.0</v>
      </c>
      <c r="I83" s="713" t="s">
        <v>714</v>
      </c>
      <c r="J83" s="714">
        <v>3.0</v>
      </c>
      <c r="K83" s="714">
        <v>4.0</v>
      </c>
      <c r="L83" s="714">
        <v>4.0</v>
      </c>
      <c r="M83" s="714">
        <v>5.0</v>
      </c>
      <c r="N83" s="714">
        <v>5.0</v>
      </c>
      <c r="O83" s="714">
        <v>3.0</v>
      </c>
      <c r="P83" s="714"/>
      <c r="Q83" s="714">
        <v>4.0</v>
      </c>
      <c r="R83" s="704"/>
    </row>
    <row r="84">
      <c r="A84" s="716"/>
      <c r="B84" s="355"/>
      <c r="C84" s="735" t="s">
        <v>1369</v>
      </c>
      <c r="D84" s="730"/>
      <c r="E84" s="731" t="s">
        <v>1326</v>
      </c>
      <c r="F84" s="557">
        <v>3.0</v>
      </c>
      <c r="G84" s="557">
        <v>6.0</v>
      </c>
      <c r="H84" s="557">
        <v>5.0</v>
      </c>
      <c r="I84" s="732" t="s">
        <v>714</v>
      </c>
      <c r="J84" s="714">
        <v>3.0</v>
      </c>
      <c r="K84" s="714">
        <v>4.0</v>
      </c>
      <c r="L84" s="714">
        <v>2.0</v>
      </c>
      <c r="M84" s="714">
        <v>4.0</v>
      </c>
      <c r="N84" s="714">
        <v>4.0</v>
      </c>
      <c r="O84" s="714">
        <v>3.0</v>
      </c>
      <c r="P84" s="714"/>
      <c r="Q84" s="714">
        <v>4.0</v>
      </c>
      <c r="R84" s="716"/>
    </row>
    <row r="85">
      <c r="A85" s="704"/>
      <c r="B85" s="605"/>
      <c r="C85" s="195" t="s">
        <v>123</v>
      </c>
      <c r="D85" s="82"/>
      <c r="E85" s="82"/>
      <c r="F85" s="82"/>
      <c r="G85" s="82"/>
      <c r="H85" s="82"/>
      <c r="I85" s="96"/>
      <c r="J85" s="128"/>
      <c r="K85" s="128"/>
      <c r="L85" s="128"/>
      <c r="M85" s="128"/>
      <c r="N85" s="128"/>
      <c r="O85" s="128"/>
      <c r="P85" s="128"/>
      <c r="Q85" s="128"/>
      <c r="R85" s="704"/>
    </row>
    <row r="86">
      <c r="A86" s="704"/>
      <c r="B86" s="636"/>
      <c r="C86" s="136"/>
      <c r="D86" s="699"/>
      <c r="E86" s="525"/>
      <c r="F86" s="85"/>
      <c r="G86" s="85"/>
      <c r="H86" s="85"/>
      <c r="I86" s="700"/>
      <c r="J86" s="702" t="s">
        <v>2</v>
      </c>
      <c r="K86" s="702" t="s">
        <v>426</v>
      </c>
      <c r="L86" s="702" t="s">
        <v>1</v>
      </c>
      <c r="M86" s="702" t="s">
        <v>4</v>
      </c>
      <c r="N86" s="702" t="s">
        <v>208</v>
      </c>
      <c r="O86" s="702" t="s">
        <v>3</v>
      </c>
      <c r="P86" s="702" t="s">
        <v>427</v>
      </c>
      <c r="Q86" s="703" t="s">
        <v>210</v>
      </c>
      <c r="R86" s="704"/>
    </row>
    <row r="87">
      <c r="A87" s="704"/>
      <c r="B87" s="631"/>
      <c r="C87" s="710" t="s">
        <v>1370</v>
      </c>
      <c r="D87" s="711"/>
      <c r="E87" s="712" t="s">
        <v>1326</v>
      </c>
      <c r="F87" s="68">
        <v>1.0</v>
      </c>
      <c r="G87" s="68">
        <v>2.0</v>
      </c>
      <c r="H87" s="68">
        <v>1.0</v>
      </c>
      <c r="I87" s="713" t="s">
        <v>714</v>
      </c>
      <c r="J87" s="709">
        <v>4.0</v>
      </c>
      <c r="K87" s="709">
        <v>4.0</v>
      </c>
      <c r="L87" s="709">
        <v>1.0</v>
      </c>
      <c r="M87" s="709">
        <v>3.0</v>
      </c>
      <c r="N87" s="709">
        <v>1.0</v>
      </c>
      <c r="O87" s="709">
        <v>2.0</v>
      </c>
      <c r="P87" s="709"/>
      <c r="Q87" s="709">
        <v>4.0</v>
      </c>
      <c r="R87" s="704"/>
    </row>
    <row r="88">
      <c r="A88" s="704"/>
      <c r="B88" s="353"/>
      <c r="C88" s="710" t="s">
        <v>1371</v>
      </c>
      <c r="D88" s="711"/>
      <c r="E88" s="712"/>
      <c r="F88" s="68">
        <v>3.0</v>
      </c>
      <c r="G88" s="68">
        <v>3.0</v>
      </c>
      <c r="H88" s="68">
        <v>3.0</v>
      </c>
      <c r="I88" s="713" t="s">
        <v>714</v>
      </c>
      <c r="J88" s="714">
        <v>2.0</v>
      </c>
      <c r="K88" s="714">
        <v>2.0</v>
      </c>
      <c r="L88" s="714">
        <v>2.0</v>
      </c>
      <c r="M88" s="714">
        <v>3.0</v>
      </c>
      <c r="N88" s="714">
        <v>2.0</v>
      </c>
      <c r="O88" s="714">
        <v>2.0</v>
      </c>
      <c r="Q88" s="714">
        <v>2.0</v>
      </c>
      <c r="R88" s="704"/>
    </row>
    <row r="89">
      <c r="A89" s="704"/>
      <c r="B89" s="353"/>
      <c r="C89" s="710" t="s">
        <v>1372</v>
      </c>
      <c r="D89" s="711" t="s">
        <v>71</v>
      </c>
      <c r="E89" s="712"/>
      <c r="F89" s="68"/>
      <c r="G89" s="68"/>
      <c r="H89" s="68">
        <v>2.0</v>
      </c>
      <c r="I89" s="713" t="s">
        <v>714</v>
      </c>
      <c r="J89" s="714">
        <v>1.0</v>
      </c>
      <c r="K89" s="714">
        <v>1.0</v>
      </c>
      <c r="L89" s="714">
        <v>1.0</v>
      </c>
      <c r="M89" s="714">
        <v>1.0</v>
      </c>
      <c r="N89" s="714">
        <v>1.0</v>
      </c>
      <c r="O89" s="714">
        <v>1.0</v>
      </c>
      <c r="P89" s="714"/>
      <c r="Q89" s="714">
        <v>1.0</v>
      </c>
      <c r="R89" s="704"/>
    </row>
    <row r="90">
      <c r="A90" s="704"/>
      <c r="B90" s="632"/>
      <c r="C90" s="729" t="s">
        <v>1329</v>
      </c>
      <c r="D90" s="730" t="s">
        <v>71</v>
      </c>
      <c r="E90" s="731" t="s">
        <v>1326</v>
      </c>
      <c r="F90" s="557"/>
      <c r="G90" s="557"/>
      <c r="H90" s="557">
        <v>5.0</v>
      </c>
      <c r="I90" s="732" t="s">
        <v>714</v>
      </c>
      <c r="J90" s="714">
        <v>3.0</v>
      </c>
      <c r="K90" s="714">
        <v>2.0</v>
      </c>
      <c r="L90" s="714">
        <v>4.0</v>
      </c>
      <c r="M90" s="714">
        <v>3.0</v>
      </c>
      <c r="N90" s="714">
        <v>4.0</v>
      </c>
      <c r="O90" s="714">
        <v>4.0</v>
      </c>
      <c r="P90" s="714"/>
      <c r="Q90" s="714">
        <v>2.0</v>
      </c>
      <c r="R90" s="704"/>
    </row>
    <row r="91">
      <c r="A91" s="704"/>
      <c r="B91" s="639"/>
      <c r="C91" s="710" t="s">
        <v>1373</v>
      </c>
      <c r="D91" s="711"/>
      <c r="E91" s="712"/>
      <c r="F91" s="68">
        <v>4.0</v>
      </c>
      <c r="G91" s="68">
        <v>4.0</v>
      </c>
      <c r="H91" s="68">
        <v>4.0</v>
      </c>
      <c r="I91" s="713" t="s">
        <v>714</v>
      </c>
      <c r="J91" s="714">
        <v>1.0</v>
      </c>
      <c r="K91" s="714">
        <v>1.0</v>
      </c>
      <c r="L91" s="714">
        <v>1.0</v>
      </c>
      <c r="M91" s="714">
        <v>2.0</v>
      </c>
      <c r="N91" s="714">
        <v>1.0</v>
      </c>
      <c r="O91" s="714">
        <v>1.0</v>
      </c>
      <c r="P91" s="714"/>
      <c r="Q91" s="714">
        <v>1.0</v>
      </c>
      <c r="R91" s="704"/>
    </row>
    <row r="92">
      <c r="A92" s="704"/>
      <c r="B92" s="353"/>
      <c r="C92" s="710" t="s">
        <v>1374</v>
      </c>
      <c r="D92" s="711" t="s">
        <v>77</v>
      </c>
      <c r="E92" s="712"/>
      <c r="F92" s="68">
        <v>1.0</v>
      </c>
      <c r="G92" s="68">
        <v>4.0</v>
      </c>
      <c r="H92" s="68">
        <v>3.0</v>
      </c>
      <c r="I92" s="713" t="s">
        <v>714</v>
      </c>
      <c r="J92" s="714">
        <v>3.0</v>
      </c>
      <c r="K92" s="714">
        <v>4.0</v>
      </c>
      <c r="L92" s="714">
        <v>5.0</v>
      </c>
      <c r="M92" s="714">
        <v>4.0</v>
      </c>
      <c r="N92" s="714">
        <v>5.0</v>
      </c>
      <c r="O92" s="714">
        <v>4.0</v>
      </c>
      <c r="P92" s="714"/>
      <c r="Q92" s="714">
        <v>4.0</v>
      </c>
      <c r="R92" s="704"/>
    </row>
    <row r="93">
      <c r="A93" s="704"/>
      <c r="B93" s="353"/>
      <c r="C93" s="710" t="s">
        <v>1331</v>
      </c>
      <c r="D93" s="711"/>
      <c r="E93" s="712" t="s">
        <v>1326</v>
      </c>
      <c r="F93" s="68"/>
      <c r="G93" s="68"/>
      <c r="H93" s="68">
        <v>3.0</v>
      </c>
      <c r="I93" s="713" t="s">
        <v>714</v>
      </c>
      <c r="J93" s="714">
        <v>2.0</v>
      </c>
      <c r="K93" s="714">
        <v>3.0</v>
      </c>
      <c r="L93" s="714">
        <v>4.0</v>
      </c>
      <c r="M93" s="714">
        <v>3.0</v>
      </c>
      <c r="N93" s="714">
        <v>2.0</v>
      </c>
      <c r="O93" s="714">
        <v>3.0</v>
      </c>
      <c r="P93" s="714"/>
      <c r="Q93" s="714">
        <v>3.0</v>
      </c>
      <c r="R93" s="704"/>
    </row>
    <row r="94">
      <c r="A94" s="716"/>
      <c r="B94" s="355"/>
      <c r="C94" s="729" t="s">
        <v>1375</v>
      </c>
      <c r="D94" s="730" t="s">
        <v>71</v>
      </c>
      <c r="E94" s="731" t="s">
        <v>1326</v>
      </c>
      <c r="F94" s="557"/>
      <c r="G94" s="557"/>
      <c r="H94" s="557">
        <v>1.0</v>
      </c>
      <c r="I94" s="732" t="s">
        <v>714</v>
      </c>
      <c r="J94" s="714">
        <v>2.0</v>
      </c>
      <c r="K94" s="714">
        <v>2.0</v>
      </c>
      <c r="L94" s="714">
        <v>3.0</v>
      </c>
      <c r="M94" s="714">
        <v>3.0</v>
      </c>
      <c r="N94" s="714">
        <v>2.0</v>
      </c>
      <c r="O94" s="714">
        <v>2.0</v>
      </c>
      <c r="P94" s="714"/>
      <c r="Q94" s="714">
        <v>2.0</v>
      </c>
      <c r="R94" s="716"/>
    </row>
    <row r="95">
      <c r="A95" s="704"/>
      <c r="B95" s="634"/>
      <c r="C95" s="733" t="s">
        <v>1376</v>
      </c>
      <c r="D95" s="711" t="s">
        <v>71</v>
      </c>
      <c r="E95" s="712"/>
      <c r="F95" s="68"/>
      <c r="G95" s="68"/>
      <c r="H95" s="68">
        <v>1.0</v>
      </c>
      <c r="I95" s="713" t="s">
        <v>714</v>
      </c>
      <c r="J95" s="714">
        <v>5.0</v>
      </c>
      <c r="K95" s="714">
        <v>5.0</v>
      </c>
      <c r="L95" s="714">
        <v>5.0</v>
      </c>
      <c r="M95" s="714">
        <v>5.0</v>
      </c>
      <c r="N95" s="714">
        <v>5.0</v>
      </c>
      <c r="O95" s="714">
        <v>5.0</v>
      </c>
      <c r="P95" s="714"/>
      <c r="Q95" s="714">
        <v>5.0</v>
      </c>
      <c r="R95" s="704"/>
    </row>
    <row r="96">
      <c r="A96" s="704"/>
      <c r="B96" s="353"/>
      <c r="C96" s="733" t="s">
        <v>1377</v>
      </c>
      <c r="D96" s="711" t="s">
        <v>71</v>
      </c>
      <c r="E96" s="712" t="s">
        <v>1326</v>
      </c>
      <c r="F96" s="68"/>
      <c r="G96" s="68"/>
      <c r="H96" s="68">
        <v>4.0</v>
      </c>
      <c r="I96" s="713" t="s">
        <v>714</v>
      </c>
      <c r="J96" s="714">
        <v>1.0</v>
      </c>
      <c r="K96" s="714">
        <v>1.0</v>
      </c>
      <c r="L96" s="714">
        <v>1.0</v>
      </c>
      <c r="M96" s="714">
        <v>2.0</v>
      </c>
      <c r="N96" s="714">
        <v>1.0</v>
      </c>
      <c r="O96" s="714">
        <v>3.0</v>
      </c>
      <c r="P96" s="714"/>
      <c r="Q96" s="714">
        <v>2.0</v>
      </c>
      <c r="R96" s="704"/>
    </row>
    <row r="97">
      <c r="A97" s="704"/>
      <c r="B97" s="355"/>
      <c r="C97" s="735" t="s">
        <v>1336</v>
      </c>
      <c r="D97" s="730"/>
      <c r="E97" s="731" t="s">
        <v>1326</v>
      </c>
      <c r="F97" s="557">
        <v>4.0</v>
      </c>
      <c r="G97" s="557">
        <v>4.0</v>
      </c>
      <c r="H97" s="557">
        <v>4.0</v>
      </c>
      <c r="I97" s="732" t="s">
        <v>714</v>
      </c>
      <c r="J97" s="714">
        <v>3.0</v>
      </c>
      <c r="K97" s="714">
        <v>3.0</v>
      </c>
      <c r="L97" s="714">
        <v>2.0</v>
      </c>
      <c r="M97" s="714">
        <v>3.0</v>
      </c>
      <c r="N97" s="714">
        <v>3.0</v>
      </c>
      <c r="O97" s="714">
        <v>3.0</v>
      </c>
      <c r="P97" s="714"/>
      <c r="Q97" s="714">
        <v>3.0</v>
      </c>
      <c r="R97" s="704"/>
    </row>
    <row r="98">
      <c r="A98" s="704"/>
      <c r="B98" s="635"/>
      <c r="C98" s="733" t="s">
        <v>1378</v>
      </c>
      <c r="D98" s="711"/>
      <c r="E98" s="712"/>
      <c r="F98" s="68">
        <v>4.0</v>
      </c>
      <c r="G98" s="68">
        <v>2.0</v>
      </c>
      <c r="H98" s="68">
        <v>4.0</v>
      </c>
      <c r="I98" s="713" t="s">
        <v>714</v>
      </c>
      <c r="J98" s="714">
        <v>4.0</v>
      </c>
      <c r="K98" s="714">
        <v>4.0</v>
      </c>
      <c r="L98" s="714">
        <v>3.0</v>
      </c>
      <c r="M98" s="714">
        <v>4.0</v>
      </c>
      <c r="N98" s="714">
        <v>3.0</v>
      </c>
      <c r="O98" s="714">
        <v>4.0</v>
      </c>
      <c r="P98" s="714"/>
      <c r="Q98" s="714">
        <v>4.0</v>
      </c>
      <c r="R98" s="704"/>
    </row>
    <row r="99">
      <c r="A99" s="704"/>
      <c r="B99" s="353"/>
      <c r="C99" s="733" t="s">
        <v>1379</v>
      </c>
      <c r="D99" s="711"/>
      <c r="E99" s="712" t="s">
        <v>1326</v>
      </c>
      <c r="F99" s="68">
        <v>2.0</v>
      </c>
      <c r="G99" s="68">
        <v>1.0</v>
      </c>
      <c r="H99" s="68">
        <v>5.0</v>
      </c>
      <c r="I99" s="713" t="s">
        <v>714</v>
      </c>
      <c r="J99" s="714">
        <v>4.0</v>
      </c>
      <c r="K99" s="714">
        <v>4.0</v>
      </c>
      <c r="L99" s="714">
        <v>3.0</v>
      </c>
      <c r="M99" s="714">
        <v>2.0</v>
      </c>
      <c r="N99" s="714">
        <v>4.0</v>
      </c>
      <c r="O99" s="714">
        <v>4.0</v>
      </c>
      <c r="P99" s="714"/>
      <c r="Q99" s="714">
        <v>4.0</v>
      </c>
      <c r="R99" s="704"/>
    </row>
    <row r="100">
      <c r="A100" s="704"/>
      <c r="B100" s="355"/>
      <c r="C100" s="735" t="s">
        <v>1337</v>
      </c>
      <c r="D100" s="730"/>
      <c r="E100" s="731" t="s">
        <v>1326</v>
      </c>
      <c r="F100" s="557">
        <v>4.0</v>
      </c>
      <c r="G100" s="557">
        <v>4.0</v>
      </c>
      <c r="H100" s="557">
        <v>5.0</v>
      </c>
      <c r="I100" s="732" t="s">
        <v>714</v>
      </c>
      <c r="J100" s="714">
        <v>4.0</v>
      </c>
      <c r="K100" s="714">
        <v>4.0</v>
      </c>
      <c r="L100" s="714">
        <v>4.0</v>
      </c>
      <c r="M100" s="714">
        <v>4.0</v>
      </c>
      <c r="N100" s="714">
        <v>4.0</v>
      </c>
      <c r="O100" s="714">
        <v>4.0</v>
      </c>
      <c r="P100" s="714"/>
      <c r="Q100" s="714">
        <v>4.0</v>
      </c>
      <c r="R100" s="704"/>
    </row>
    <row r="101">
      <c r="A101" s="704"/>
      <c r="B101" s="605"/>
      <c r="C101" s="195" t="s">
        <v>135</v>
      </c>
      <c r="D101" s="82"/>
      <c r="E101" s="82"/>
      <c r="F101" s="82"/>
      <c r="G101" s="82"/>
      <c r="H101" s="82"/>
      <c r="I101" s="96"/>
      <c r="J101" s="128"/>
      <c r="K101" s="128"/>
      <c r="L101" s="128"/>
      <c r="M101" s="128"/>
      <c r="N101" s="128"/>
      <c r="O101" s="128"/>
      <c r="P101" s="128"/>
      <c r="Q101" s="128"/>
      <c r="R101" s="704"/>
    </row>
    <row r="102">
      <c r="A102" s="716"/>
      <c r="B102" s="636"/>
      <c r="C102" s="136"/>
      <c r="D102" s="699"/>
      <c r="E102" s="525"/>
      <c r="F102" s="85"/>
      <c r="G102" s="85"/>
      <c r="H102" s="85"/>
      <c r="I102" s="700"/>
      <c r="J102" s="745" t="s">
        <v>2</v>
      </c>
      <c r="K102" s="745" t="s">
        <v>426</v>
      </c>
      <c r="L102" s="745" t="s">
        <v>1</v>
      </c>
      <c r="M102" s="745" t="s">
        <v>4</v>
      </c>
      <c r="N102" s="745" t="s">
        <v>208</v>
      </c>
      <c r="O102" s="745" t="s">
        <v>3</v>
      </c>
      <c r="P102" s="745" t="s">
        <v>427</v>
      </c>
      <c r="Q102" s="703" t="s">
        <v>210</v>
      </c>
      <c r="R102" s="716"/>
    </row>
    <row r="103">
      <c r="A103" s="716"/>
      <c r="B103" s="631"/>
      <c r="C103" s="710" t="s">
        <v>1380</v>
      </c>
      <c r="D103" s="711" t="s">
        <v>71</v>
      </c>
      <c r="E103" s="712"/>
      <c r="F103" s="68"/>
      <c r="G103" s="68"/>
      <c r="H103" s="68">
        <v>1.0</v>
      </c>
      <c r="I103" s="713" t="s">
        <v>714</v>
      </c>
      <c r="J103" s="709">
        <v>5.0</v>
      </c>
      <c r="K103" s="709">
        <v>5.0</v>
      </c>
      <c r="L103" s="709">
        <v>5.0</v>
      </c>
      <c r="M103" s="714">
        <v>5.0</v>
      </c>
      <c r="N103" s="709">
        <v>5.0</v>
      </c>
      <c r="O103" s="709">
        <v>5.0</v>
      </c>
      <c r="P103" s="709">
        <v>5.0</v>
      </c>
      <c r="Q103" s="709">
        <v>4.0</v>
      </c>
      <c r="R103" s="716"/>
    </row>
    <row r="104">
      <c r="A104" s="704"/>
      <c r="B104" s="353"/>
      <c r="C104" s="710" t="s">
        <v>1355</v>
      </c>
      <c r="D104" s="711"/>
      <c r="E104" s="712" t="s">
        <v>1326</v>
      </c>
      <c r="F104" s="68"/>
      <c r="G104" s="68"/>
      <c r="H104" s="68">
        <v>0.0</v>
      </c>
      <c r="I104" s="713" t="s">
        <v>714</v>
      </c>
      <c r="J104" s="714">
        <v>5.0</v>
      </c>
      <c r="K104" s="714">
        <v>5.0</v>
      </c>
      <c r="L104" s="714">
        <v>5.0</v>
      </c>
      <c r="M104" s="714">
        <v>5.0</v>
      </c>
      <c r="N104" s="714">
        <v>5.0</v>
      </c>
      <c r="O104" s="714">
        <v>5.0</v>
      </c>
      <c r="P104" s="714">
        <v>5.0</v>
      </c>
      <c r="Q104" s="714">
        <v>4.0</v>
      </c>
      <c r="R104" s="704"/>
    </row>
    <row r="105">
      <c r="A105" s="704"/>
      <c r="B105" s="353"/>
      <c r="C105" s="710" t="s">
        <v>1381</v>
      </c>
      <c r="D105" s="711"/>
      <c r="E105" s="712"/>
      <c r="F105" s="68">
        <v>1.0</v>
      </c>
      <c r="G105" s="68">
        <v>1.0</v>
      </c>
      <c r="H105" s="68">
        <v>1.0</v>
      </c>
      <c r="I105" s="713" t="s">
        <v>714</v>
      </c>
      <c r="J105" s="714">
        <v>4.0</v>
      </c>
      <c r="K105" s="714">
        <v>2.0</v>
      </c>
      <c r="L105" s="714">
        <v>2.0</v>
      </c>
      <c r="M105" s="714">
        <v>3.0</v>
      </c>
      <c r="N105" s="714">
        <v>2.0</v>
      </c>
      <c r="O105" s="714">
        <v>2.0</v>
      </c>
      <c r="P105" s="714">
        <v>5.0</v>
      </c>
      <c r="Q105" s="714">
        <v>2.0</v>
      </c>
      <c r="R105" s="704"/>
    </row>
    <row r="106">
      <c r="A106" s="716"/>
      <c r="B106" s="632"/>
      <c r="C106" s="729" t="s">
        <v>1382</v>
      </c>
      <c r="D106" s="730"/>
      <c r="E106" s="731" t="s">
        <v>1326</v>
      </c>
      <c r="F106" s="557"/>
      <c r="G106" s="557"/>
      <c r="H106" s="557">
        <v>1.0</v>
      </c>
      <c r="I106" s="732" t="s">
        <v>714</v>
      </c>
      <c r="J106" s="714">
        <v>3.0</v>
      </c>
      <c r="K106" s="714">
        <v>3.0</v>
      </c>
      <c r="L106" s="714">
        <v>1.0</v>
      </c>
      <c r="M106" s="714">
        <v>2.0</v>
      </c>
      <c r="N106" s="714">
        <v>2.0</v>
      </c>
      <c r="O106" s="714">
        <v>2.0</v>
      </c>
      <c r="P106" s="714">
        <v>5.0</v>
      </c>
      <c r="Q106" s="714">
        <v>3.0</v>
      </c>
      <c r="R106" s="716"/>
    </row>
    <row r="107">
      <c r="A107" s="704"/>
      <c r="B107" s="639"/>
      <c r="C107" s="710" t="s">
        <v>1383</v>
      </c>
      <c r="D107" s="711"/>
      <c r="E107" s="712"/>
      <c r="F107" s="68">
        <v>5.0</v>
      </c>
      <c r="G107" s="68">
        <v>4.0</v>
      </c>
      <c r="H107" s="68">
        <v>5.0</v>
      </c>
      <c r="I107" s="713" t="s">
        <v>714</v>
      </c>
      <c r="J107" s="714">
        <v>5.0</v>
      </c>
      <c r="K107" s="714">
        <v>4.0</v>
      </c>
      <c r="L107" s="714">
        <v>5.0</v>
      </c>
      <c r="M107" s="714">
        <v>4.0</v>
      </c>
      <c r="N107" s="714">
        <v>5.0</v>
      </c>
      <c r="O107" s="714">
        <v>5.0</v>
      </c>
      <c r="P107" s="714">
        <v>5.0</v>
      </c>
      <c r="Q107" s="714">
        <v>4.0</v>
      </c>
      <c r="R107" s="704"/>
    </row>
    <row r="108">
      <c r="A108" s="704"/>
      <c r="B108" s="353"/>
      <c r="C108" s="710" t="s">
        <v>1384</v>
      </c>
      <c r="D108" s="711"/>
      <c r="E108" s="712" t="s">
        <v>1326</v>
      </c>
      <c r="F108" s="68">
        <v>4.0</v>
      </c>
      <c r="G108" s="68">
        <v>5.0</v>
      </c>
      <c r="H108" s="68">
        <v>5.0</v>
      </c>
      <c r="I108" s="713" t="s">
        <v>714</v>
      </c>
      <c r="J108" s="714">
        <v>4.0</v>
      </c>
      <c r="K108" s="714">
        <v>3.0</v>
      </c>
      <c r="L108" s="714">
        <v>4.0</v>
      </c>
      <c r="M108" s="714">
        <v>3.0</v>
      </c>
      <c r="N108" s="714">
        <v>3.0</v>
      </c>
      <c r="O108" s="714">
        <v>5.0</v>
      </c>
      <c r="P108" s="714">
        <v>5.0</v>
      </c>
      <c r="Q108" s="714">
        <v>3.0</v>
      </c>
      <c r="R108" s="704"/>
    </row>
    <row r="109">
      <c r="A109" s="704"/>
      <c r="B109" s="353"/>
      <c r="C109" s="710" t="s">
        <v>1385</v>
      </c>
      <c r="D109" s="711" t="s">
        <v>71</v>
      </c>
      <c r="E109" s="712"/>
      <c r="F109" s="68"/>
      <c r="G109" s="68"/>
      <c r="H109" s="68">
        <v>1.0</v>
      </c>
      <c r="I109" s="713" t="s">
        <v>1319</v>
      </c>
      <c r="J109" s="714">
        <v>1.0</v>
      </c>
      <c r="K109" s="714">
        <v>1.0</v>
      </c>
      <c r="L109" s="714">
        <v>1.0</v>
      </c>
      <c r="M109" s="714">
        <v>1.0</v>
      </c>
      <c r="N109" s="714">
        <v>1.0</v>
      </c>
      <c r="O109" s="714">
        <v>1.0</v>
      </c>
      <c r="P109" s="714">
        <v>5.0</v>
      </c>
      <c r="Q109" s="714">
        <v>1.0</v>
      </c>
      <c r="R109" s="704"/>
    </row>
    <row r="110">
      <c r="A110" s="704"/>
      <c r="B110" s="355"/>
      <c r="C110" s="729" t="s">
        <v>1359</v>
      </c>
      <c r="D110" s="730"/>
      <c r="E110" s="731" t="s">
        <v>1326</v>
      </c>
      <c r="F110" s="557">
        <v>4.0</v>
      </c>
      <c r="G110" s="557">
        <v>5.0</v>
      </c>
      <c r="H110" s="557">
        <v>4.0</v>
      </c>
      <c r="I110" s="732" t="s">
        <v>714</v>
      </c>
      <c r="J110" s="714">
        <v>2.0</v>
      </c>
      <c r="K110" s="714">
        <v>2.0</v>
      </c>
      <c r="L110" s="714">
        <v>2.0</v>
      </c>
      <c r="M110" s="714">
        <v>2.0</v>
      </c>
      <c r="N110" s="714">
        <v>1.0</v>
      </c>
      <c r="O110" s="714">
        <v>3.0</v>
      </c>
      <c r="P110" s="714">
        <v>5.0</v>
      </c>
      <c r="Q110" s="714">
        <v>2.0</v>
      </c>
      <c r="R110" s="704"/>
    </row>
    <row r="111">
      <c r="A111" s="704"/>
      <c r="B111" s="634"/>
      <c r="C111" s="733" t="s">
        <v>1365</v>
      </c>
      <c r="D111" s="711"/>
      <c r="E111" s="712" t="s">
        <v>1326</v>
      </c>
      <c r="F111" s="68"/>
      <c r="G111" s="68"/>
      <c r="H111" s="68">
        <v>6.0</v>
      </c>
      <c r="I111" s="713" t="s">
        <v>714</v>
      </c>
      <c r="J111" s="714">
        <v>2.0</v>
      </c>
      <c r="K111" s="714">
        <v>2.0</v>
      </c>
      <c r="L111" s="714">
        <v>1.0</v>
      </c>
      <c r="M111" s="714">
        <v>2.0</v>
      </c>
      <c r="N111" s="714">
        <v>1.0</v>
      </c>
      <c r="O111" s="714">
        <v>2.0</v>
      </c>
      <c r="P111" s="714">
        <v>5.0</v>
      </c>
      <c r="Q111" s="714">
        <v>1.0</v>
      </c>
      <c r="R111" s="704"/>
    </row>
    <row r="112">
      <c r="A112" s="704"/>
      <c r="B112" s="353"/>
      <c r="C112" s="733" t="s">
        <v>1386</v>
      </c>
      <c r="D112" s="711" t="s">
        <v>71</v>
      </c>
      <c r="E112" s="712"/>
      <c r="F112" s="68"/>
      <c r="G112" s="68"/>
      <c r="H112" s="68">
        <v>10.0</v>
      </c>
      <c r="I112" s="713" t="s">
        <v>714</v>
      </c>
      <c r="J112" s="714">
        <v>5.0</v>
      </c>
      <c r="K112" s="714">
        <v>4.0</v>
      </c>
      <c r="L112" s="714">
        <v>5.0</v>
      </c>
      <c r="M112" s="714">
        <v>4.0</v>
      </c>
      <c r="N112" s="714">
        <v>5.0</v>
      </c>
      <c r="O112" s="714">
        <v>4.0</v>
      </c>
      <c r="P112" s="714">
        <v>5.0</v>
      </c>
      <c r="Q112" s="714">
        <v>4.0</v>
      </c>
      <c r="R112" s="704"/>
    </row>
    <row r="113">
      <c r="A113" s="704"/>
      <c r="B113" s="355"/>
      <c r="C113" s="735" t="s">
        <v>1387</v>
      </c>
      <c r="D113" s="730" t="s">
        <v>71</v>
      </c>
      <c r="E113" s="731" t="s">
        <v>1326</v>
      </c>
      <c r="F113" s="557"/>
      <c r="G113" s="557"/>
      <c r="H113" s="557">
        <v>7.0</v>
      </c>
      <c r="I113" s="732" t="s">
        <v>714</v>
      </c>
      <c r="J113" s="714">
        <v>5.0</v>
      </c>
      <c r="K113" s="714">
        <v>4.0</v>
      </c>
      <c r="L113" s="714">
        <v>5.0</v>
      </c>
      <c r="M113" s="714">
        <v>4.0</v>
      </c>
      <c r="N113" s="714">
        <v>5.0</v>
      </c>
      <c r="O113" s="714">
        <v>4.0</v>
      </c>
      <c r="P113" s="714">
        <v>5.0</v>
      </c>
      <c r="Q113" s="714">
        <v>4.0</v>
      </c>
      <c r="R113" s="704"/>
    </row>
    <row r="114">
      <c r="A114" s="716"/>
      <c r="B114" s="635"/>
      <c r="C114" s="733" t="s">
        <v>1388</v>
      </c>
      <c r="D114" s="711"/>
      <c r="E114" s="712" t="s">
        <v>1326</v>
      </c>
      <c r="F114" s="68">
        <v>3.0</v>
      </c>
      <c r="G114" s="68">
        <v>3.0</v>
      </c>
      <c r="H114" s="68">
        <v>3.0</v>
      </c>
      <c r="I114" s="713" t="s">
        <v>714</v>
      </c>
      <c r="J114" s="714">
        <v>3.0</v>
      </c>
      <c r="K114" s="714">
        <v>2.0</v>
      </c>
      <c r="L114" s="714">
        <v>3.0</v>
      </c>
      <c r="M114" s="714">
        <v>2.0</v>
      </c>
      <c r="N114" s="714">
        <v>1.0</v>
      </c>
      <c r="O114" s="714">
        <v>3.0</v>
      </c>
      <c r="P114" s="714">
        <v>5.0</v>
      </c>
      <c r="Q114" s="714">
        <v>2.0</v>
      </c>
      <c r="R114" s="716"/>
    </row>
    <row r="115">
      <c r="A115" s="716"/>
      <c r="B115" s="353"/>
      <c r="C115" s="733" t="s">
        <v>1389</v>
      </c>
      <c r="D115" s="711"/>
      <c r="E115" s="712" t="s">
        <v>1326</v>
      </c>
      <c r="F115" s="68">
        <v>1.0</v>
      </c>
      <c r="G115" s="68">
        <v>4.0</v>
      </c>
      <c r="H115" s="68">
        <v>3.0</v>
      </c>
      <c r="I115" s="713" t="s">
        <v>714</v>
      </c>
      <c r="J115" s="771">
        <v>5.0</v>
      </c>
      <c r="K115" s="772">
        <v>4.0</v>
      </c>
      <c r="L115" s="772">
        <v>5.0</v>
      </c>
      <c r="M115" s="772">
        <v>4.0</v>
      </c>
      <c r="N115" s="772">
        <v>5.0</v>
      </c>
      <c r="O115" s="772">
        <v>3.0</v>
      </c>
      <c r="P115" s="772">
        <v>5.0</v>
      </c>
      <c r="Q115" s="772">
        <v>2.0</v>
      </c>
      <c r="R115" s="716"/>
    </row>
    <row r="116">
      <c r="A116" s="716"/>
      <c r="B116" s="355"/>
      <c r="C116" s="735" t="s">
        <v>1390</v>
      </c>
      <c r="D116" s="730"/>
      <c r="E116" s="731"/>
      <c r="F116" s="557">
        <v>5.0</v>
      </c>
      <c r="G116" s="557">
        <v>4.0</v>
      </c>
      <c r="H116" s="557">
        <v>6.0</v>
      </c>
      <c r="I116" s="732" t="s">
        <v>714</v>
      </c>
      <c r="J116" s="727">
        <v>4.0</v>
      </c>
      <c r="K116" s="727">
        <v>4.0</v>
      </c>
      <c r="L116" s="727">
        <v>3.0</v>
      </c>
      <c r="M116" s="727">
        <v>4.0</v>
      </c>
      <c r="N116" s="727">
        <v>3.0</v>
      </c>
      <c r="O116" s="727">
        <v>4.0</v>
      </c>
      <c r="P116" s="727">
        <v>5.0</v>
      </c>
      <c r="Q116" s="727">
        <v>5.0</v>
      </c>
      <c r="R116" s="716"/>
    </row>
    <row r="117">
      <c r="A117" s="716"/>
      <c r="B117" s="605"/>
      <c r="C117" s="195" t="s">
        <v>147</v>
      </c>
      <c r="D117" s="82"/>
      <c r="E117" s="82"/>
      <c r="F117" s="82"/>
      <c r="G117" s="82"/>
      <c r="H117" s="82"/>
      <c r="I117" s="96"/>
      <c r="J117" s="128"/>
      <c r="K117" s="128"/>
      <c r="L117" s="128"/>
      <c r="M117" s="128"/>
      <c r="N117" s="128"/>
      <c r="O117" s="128"/>
      <c r="P117" s="128"/>
      <c r="Q117" s="128"/>
      <c r="R117" s="716"/>
    </row>
    <row r="118">
      <c r="A118" s="716"/>
      <c r="B118" s="636"/>
      <c r="C118" s="136"/>
      <c r="D118" s="699"/>
      <c r="E118" s="525"/>
      <c r="F118" s="85"/>
      <c r="G118" s="85"/>
      <c r="H118" s="85"/>
      <c r="I118" s="700"/>
      <c r="J118" s="745" t="s">
        <v>2</v>
      </c>
      <c r="K118" s="745" t="s">
        <v>426</v>
      </c>
      <c r="L118" s="745" t="s">
        <v>1</v>
      </c>
      <c r="M118" s="745" t="s">
        <v>4</v>
      </c>
      <c r="N118" s="745" t="s">
        <v>208</v>
      </c>
      <c r="O118" s="745" t="s">
        <v>3</v>
      </c>
      <c r="P118" s="745" t="s">
        <v>427</v>
      </c>
      <c r="Q118" s="703" t="s">
        <v>210</v>
      </c>
      <c r="R118" s="716"/>
    </row>
    <row r="119">
      <c r="A119" s="716"/>
      <c r="B119" s="631"/>
      <c r="C119" s="710" t="s">
        <v>1382</v>
      </c>
      <c r="D119" s="711" t="s">
        <v>71</v>
      </c>
      <c r="E119" s="712" t="s">
        <v>1326</v>
      </c>
      <c r="F119" s="68"/>
      <c r="G119" s="68"/>
      <c r="H119" s="68">
        <v>1.0</v>
      </c>
      <c r="I119" s="713" t="s">
        <v>714</v>
      </c>
      <c r="J119" s="709">
        <v>1.0</v>
      </c>
      <c r="K119" s="709">
        <v>1.0</v>
      </c>
      <c r="L119" s="709">
        <v>1.0</v>
      </c>
      <c r="M119" s="709">
        <v>2.0</v>
      </c>
      <c r="N119" s="709">
        <v>1.0</v>
      </c>
      <c r="O119" s="709">
        <v>2.0</v>
      </c>
      <c r="P119" s="709"/>
      <c r="Q119" s="709">
        <v>2.0</v>
      </c>
      <c r="R119" s="716"/>
    </row>
    <row r="120">
      <c r="A120" s="716"/>
      <c r="B120" s="353"/>
      <c r="C120" s="710" t="s">
        <v>1391</v>
      </c>
      <c r="D120" s="711"/>
      <c r="E120" s="712" t="s">
        <v>1326</v>
      </c>
      <c r="F120" s="68">
        <v>1.0</v>
      </c>
      <c r="G120" s="68">
        <v>1.0</v>
      </c>
      <c r="H120" s="68">
        <v>5.0</v>
      </c>
      <c r="I120" s="713" t="s">
        <v>714</v>
      </c>
      <c r="J120" s="714">
        <v>1.0</v>
      </c>
      <c r="K120" s="714">
        <v>1.0</v>
      </c>
      <c r="L120" s="714">
        <v>1.0</v>
      </c>
      <c r="M120" s="714">
        <v>1.0</v>
      </c>
      <c r="N120" s="714">
        <v>1.0</v>
      </c>
      <c r="O120" s="714">
        <v>1.0</v>
      </c>
      <c r="P120" s="714"/>
      <c r="Q120" s="714">
        <v>1.0</v>
      </c>
      <c r="R120" s="716"/>
    </row>
    <row r="121">
      <c r="A121" s="716"/>
      <c r="B121" s="353"/>
      <c r="C121" s="710" t="s">
        <v>1392</v>
      </c>
      <c r="D121" s="711"/>
      <c r="E121" s="712"/>
      <c r="F121" s="68">
        <v>1.0</v>
      </c>
      <c r="G121" s="68">
        <v>1.0</v>
      </c>
      <c r="H121" s="68">
        <v>1.0</v>
      </c>
      <c r="I121" s="713" t="s">
        <v>714</v>
      </c>
      <c r="J121" s="714">
        <v>3.0</v>
      </c>
      <c r="K121" s="714">
        <v>4.0</v>
      </c>
      <c r="L121" s="714">
        <v>4.0</v>
      </c>
      <c r="M121" s="714">
        <v>3.0</v>
      </c>
      <c r="N121" s="714">
        <v>3.0</v>
      </c>
      <c r="O121" s="714">
        <v>3.0</v>
      </c>
      <c r="Q121" s="714">
        <v>4.0</v>
      </c>
      <c r="R121" s="716"/>
    </row>
    <row r="122">
      <c r="A122" s="716"/>
      <c r="B122" s="632"/>
      <c r="C122" s="729" t="s">
        <v>1393</v>
      </c>
      <c r="D122" s="730" t="s">
        <v>71</v>
      </c>
      <c r="E122" s="731"/>
      <c r="F122" s="557"/>
      <c r="G122" s="557"/>
      <c r="H122" s="557">
        <v>1.0</v>
      </c>
      <c r="I122" s="732" t="s">
        <v>714</v>
      </c>
      <c r="J122" s="714">
        <v>2.0</v>
      </c>
      <c r="K122" s="714">
        <v>2.0</v>
      </c>
      <c r="L122" s="714">
        <v>1.0</v>
      </c>
      <c r="M122" s="714">
        <v>3.0</v>
      </c>
      <c r="N122" s="714">
        <v>1.0</v>
      </c>
      <c r="O122" s="714">
        <v>1.0</v>
      </c>
      <c r="Q122" s="714">
        <v>2.0</v>
      </c>
      <c r="R122" s="716"/>
    </row>
    <row r="123">
      <c r="A123" s="716"/>
      <c r="B123" s="639"/>
      <c r="C123" s="710" t="s">
        <v>1394</v>
      </c>
      <c r="D123" s="711"/>
      <c r="E123" s="712"/>
      <c r="F123" s="68">
        <v>1.0</v>
      </c>
      <c r="G123" s="68">
        <v>2.0</v>
      </c>
      <c r="H123" s="68">
        <v>3.0</v>
      </c>
      <c r="I123" s="713" t="s">
        <v>714</v>
      </c>
      <c r="J123" s="714">
        <v>2.0</v>
      </c>
      <c r="K123" s="714">
        <v>2.0</v>
      </c>
      <c r="L123" s="714">
        <v>1.0</v>
      </c>
      <c r="M123" s="714">
        <v>2.0</v>
      </c>
      <c r="N123" s="714">
        <v>2.0</v>
      </c>
      <c r="O123" s="714">
        <v>2.0</v>
      </c>
      <c r="P123" s="714"/>
      <c r="Q123" s="714">
        <v>1.0</v>
      </c>
      <c r="R123" s="716"/>
    </row>
    <row r="124">
      <c r="A124" s="716"/>
      <c r="B124" s="353"/>
      <c r="C124" s="710" t="s">
        <v>1395</v>
      </c>
      <c r="D124" s="711" t="s">
        <v>71</v>
      </c>
      <c r="E124" s="712"/>
      <c r="F124" s="68"/>
      <c r="G124" s="68"/>
      <c r="H124" s="68">
        <v>1.0</v>
      </c>
      <c r="I124" s="713" t="s">
        <v>714</v>
      </c>
      <c r="J124" s="714">
        <v>1.0</v>
      </c>
      <c r="K124" s="714">
        <v>1.0</v>
      </c>
      <c r="L124" s="714">
        <v>1.0</v>
      </c>
      <c r="M124" s="714">
        <v>2.0</v>
      </c>
      <c r="N124" s="714">
        <v>1.0</v>
      </c>
      <c r="O124" s="714">
        <v>1.0</v>
      </c>
      <c r="P124" s="714"/>
      <c r="Q124" s="714">
        <v>3.0</v>
      </c>
      <c r="R124" s="716"/>
    </row>
    <row r="125">
      <c r="A125" s="716"/>
      <c r="B125" s="353"/>
      <c r="C125" s="710" t="s">
        <v>1396</v>
      </c>
      <c r="D125" s="711"/>
      <c r="E125" s="712" t="s">
        <v>1326</v>
      </c>
      <c r="F125" s="68"/>
      <c r="G125" s="68"/>
      <c r="H125" s="68">
        <v>1.0</v>
      </c>
      <c r="I125" s="713" t="s">
        <v>714</v>
      </c>
      <c r="J125" s="714">
        <v>4.0</v>
      </c>
      <c r="K125" s="714">
        <v>4.0</v>
      </c>
      <c r="L125" s="714">
        <v>4.0</v>
      </c>
      <c r="M125" s="714">
        <v>4.0</v>
      </c>
      <c r="N125" s="714">
        <v>3.0</v>
      </c>
      <c r="O125" s="714">
        <v>4.0</v>
      </c>
      <c r="P125" s="714"/>
      <c r="Q125" s="714">
        <v>4.0</v>
      </c>
      <c r="R125" s="716"/>
    </row>
    <row r="126">
      <c r="A126" s="716"/>
      <c r="B126" s="355"/>
      <c r="C126" s="729" t="s">
        <v>1384</v>
      </c>
      <c r="D126" s="730"/>
      <c r="E126" s="731" t="s">
        <v>1326</v>
      </c>
      <c r="F126" s="557">
        <v>4.0</v>
      </c>
      <c r="G126" s="557">
        <v>5.0</v>
      </c>
      <c r="H126" s="557">
        <v>5.0</v>
      </c>
      <c r="I126" s="732" t="s">
        <v>714</v>
      </c>
      <c r="J126" s="714">
        <v>3.0</v>
      </c>
      <c r="K126" s="714">
        <v>2.0</v>
      </c>
      <c r="L126" s="714">
        <v>3.0</v>
      </c>
      <c r="M126" s="714">
        <v>2.0</v>
      </c>
      <c r="N126" s="714">
        <v>2.0</v>
      </c>
      <c r="O126" s="714">
        <v>4.0</v>
      </c>
      <c r="P126" s="714"/>
      <c r="Q126" s="714">
        <v>1.0</v>
      </c>
      <c r="R126" s="716"/>
    </row>
    <row r="127">
      <c r="A127" s="716"/>
      <c r="B127" s="634"/>
      <c r="C127" s="733" t="s">
        <v>1387</v>
      </c>
      <c r="D127" s="711" t="s">
        <v>71</v>
      </c>
      <c r="E127" s="712" t="s">
        <v>1326</v>
      </c>
      <c r="F127" s="68"/>
      <c r="G127" s="68"/>
      <c r="H127" s="68">
        <v>7.0</v>
      </c>
      <c r="I127" s="713" t="s">
        <v>714</v>
      </c>
      <c r="J127" s="714">
        <v>1.0</v>
      </c>
      <c r="K127" s="714">
        <v>1.0</v>
      </c>
      <c r="L127" s="714">
        <v>1.0</v>
      </c>
      <c r="M127" s="714">
        <v>1.0</v>
      </c>
      <c r="N127" s="714">
        <v>1.0</v>
      </c>
      <c r="O127" s="714">
        <v>1.0</v>
      </c>
      <c r="P127" s="714"/>
      <c r="Q127" s="714">
        <v>1.0</v>
      </c>
      <c r="R127" s="716"/>
    </row>
    <row r="128">
      <c r="A128" s="716"/>
      <c r="B128" s="353"/>
      <c r="C128" s="733" t="s">
        <v>1397</v>
      </c>
      <c r="D128" s="711" t="s">
        <v>77</v>
      </c>
      <c r="E128" s="712" t="s">
        <v>1326</v>
      </c>
      <c r="F128" s="68">
        <v>1.0</v>
      </c>
      <c r="G128" s="68">
        <v>4.0</v>
      </c>
      <c r="H128" s="68">
        <v>1.0</v>
      </c>
      <c r="I128" s="713" t="s">
        <v>714</v>
      </c>
      <c r="J128" s="714">
        <v>3.0</v>
      </c>
      <c r="K128" s="714">
        <v>3.0</v>
      </c>
      <c r="L128" s="714">
        <v>4.0</v>
      </c>
      <c r="M128" s="714">
        <v>4.0</v>
      </c>
      <c r="N128" s="714">
        <v>3.0</v>
      </c>
      <c r="O128" s="714">
        <v>3.0</v>
      </c>
      <c r="P128" s="714"/>
      <c r="Q128" s="714">
        <v>3.0</v>
      </c>
      <c r="R128" s="716"/>
    </row>
    <row r="129">
      <c r="A129" s="716"/>
      <c r="B129" s="355"/>
      <c r="C129" s="735" t="s">
        <v>1398</v>
      </c>
      <c r="D129" s="730"/>
      <c r="E129" s="731"/>
      <c r="F129" s="557">
        <v>4.0</v>
      </c>
      <c r="G129" s="557">
        <v>3.0</v>
      </c>
      <c r="H129" s="557">
        <v>5.0</v>
      </c>
      <c r="I129" s="732" t="s">
        <v>714</v>
      </c>
      <c r="J129" s="714">
        <v>1.0</v>
      </c>
      <c r="K129" s="714">
        <v>1.0</v>
      </c>
      <c r="L129" s="714">
        <v>2.0</v>
      </c>
      <c r="M129" s="714">
        <v>2.0</v>
      </c>
      <c r="N129" s="714">
        <v>1.0</v>
      </c>
      <c r="O129" s="714">
        <v>4.0</v>
      </c>
      <c r="P129" s="714"/>
      <c r="Q129" s="714">
        <v>1.0</v>
      </c>
      <c r="R129" s="716"/>
    </row>
    <row r="130">
      <c r="A130" s="716"/>
      <c r="B130" s="635"/>
      <c r="C130" s="733" t="s">
        <v>1399</v>
      </c>
      <c r="D130" s="711"/>
      <c r="E130" s="712" t="s">
        <v>1326</v>
      </c>
      <c r="F130" s="68">
        <v>2.0</v>
      </c>
      <c r="G130" s="68">
        <v>4.0</v>
      </c>
      <c r="H130" s="68">
        <v>3.0</v>
      </c>
      <c r="I130" s="713" t="s">
        <v>714</v>
      </c>
      <c r="J130" s="714">
        <v>4.0</v>
      </c>
      <c r="K130" s="714">
        <v>4.0</v>
      </c>
      <c r="L130" s="714">
        <v>3.0</v>
      </c>
      <c r="M130" s="714">
        <v>4.0</v>
      </c>
      <c r="N130" s="714">
        <v>4.0</v>
      </c>
      <c r="O130" s="714">
        <v>2.0</v>
      </c>
      <c r="P130" s="714"/>
      <c r="Q130" s="714">
        <v>4.0</v>
      </c>
      <c r="R130" s="716"/>
    </row>
    <row r="131">
      <c r="A131" s="716"/>
      <c r="B131" s="353"/>
      <c r="C131" s="733" t="s">
        <v>1400</v>
      </c>
      <c r="D131" s="711"/>
      <c r="E131" s="712"/>
      <c r="F131" s="68">
        <v>3.0</v>
      </c>
      <c r="G131" s="68">
        <v>4.0</v>
      </c>
      <c r="H131" s="68">
        <v>3.0</v>
      </c>
      <c r="I131" s="713" t="s">
        <v>714</v>
      </c>
      <c r="J131" s="773">
        <v>2.0</v>
      </c>
      <c r="K131" s="773">
        <v>2.0</v>
      </c>
      <c r="L131" s="773">
        <v>1.0</v>
      </c>
      <c r="M131" s="773">
        <v>2.0</v>
      </c>
      <c r="N131" s="773">
        <v>1.0</v>
      </c>
      <c r="O131" s="773">
        <v>1.0</v>
      </c>
      <c r="P131" s="773"/>
      <c r="Q131" s="773">
        <v>2.0</v>
      </c>
      <c r="R131" s="716"/>
    </row>
    <row r="132">
      <c r="A132" s="716"/>
      <c r="B132" s="355"/>
      <c r="C132" s="735" t="s">
        <v>1388</v>
      </c>
      <c r="D132" s="730"/>
      <c r="E132" s="731" t="s">
        <v>1326</v>
      </c>
      <c r="F132" s="557">
        <v>3.0</v>
      </c>
      <c r="G132" s="557">
        <v>3.0</v>
      </c>
      <c r="H132" s="557">
        <v>3.0</v>
      </c>
      <c r="I132" s="732" t="s">
        <v>714</v>
      </c>
      <c r="J132" s="774">
        <v>4.0</v>
      </c>
      <c r="K132" s="774">
        <v>4.0</v>
      </c>
      <c r="L132" s="774">
        <v>2.0</v>
      </c>
      <c r="M132" s="774">
        <v>3.0</v>
      </c>
      <c r="N132" s="774">
        <v>2.0</v>
      </c>
      <c r="O132" s="774">
        <v>2.0</v>
      </c>
      <c r="P132" s="774"/>
      <c r="Q132" s="774">
        <v>4.0</v>
      </c>
      <c r="R132" s="716"/>
    </row>
    <row r="133">
      <c r="A133" s="716"/>
      <c r="B133" s="605"/>
      <c r="C133" s="195" t="s">
        <v>158</v>
      </c>
      <c r="D133" s="82"/>
      <c r="E133" s="82"/>
      <c r="F133" s="82"/>
      <c r="G133" s="82"/>
      <c r="H133" s="82"/>
      <c r="I133" s="96"/>
      <c r="J133" s="128"/>
      <c r="K133" s="128"/>
      <c r="L133" s="128"/>
      <c r="M133" s="128"/>
      <c r="N133" s="128"/>
      <c r="O133" s="128"/>
      <c r="P133" s="128"/>
      <c r="Q133" s="128"/>
      <c r="R133" s="716"/>
    </row>
    <row r="134">
      <c r="A134" s="716"/>
      <c r="B134" s="636"/>
      <c r="C134" s="136"/>
      <c r="D134" s="699"/>
      <c r="E134" s="525"/>
      <c r="F134" s="85"/>
      <c r="G134" s="85"/>
      <c r="H134" s="85"/>
      <c r="I134" s="700"/>
      <c r="J134" s="702" t="s">
        <v>2</v>
      </c>
      <c r="K134" s="702" t="s">
        <v>426</v>
      </c>
      <c r="L134" s="702" t="s">
        <v>1</v>
      </c>
      <c r="M134" s="702" t="s">
        <v>4</v>
      </c>
      <c r="N134" s="745" t="s">
        <v>208</v>
      </c>
      <c r="O134" s="702" t="s">
        <v>3</v>
      </c>
      <c r="P134" s="702" t="s">
        <v>427</v>
      </c>
      <c r="Q134" s="703" t="s">
        <v>210</v>
      </c>
      <c r="R134" s="716"/>
    </row>
    <row r="135">
      <c r="A135" s="716"/>
      <c r="B135" s="631"/>
      <c r="C135" s="710" t="s">
        <v>1401</v>
      </c>
      <c r="D135" s="711"/>
      <c r="E135" s="712"/>
      <c r="F135" s="68">
        <v>1.0</v>
      </c>
      <c r="G135" s="68">
        <v>4.0</v>
      </c>
      <c r="H135" s="68">
        <v>1.0</v>
      </c>
      <c r="I135" s="713" t="s">
        <v>714</v>
      </c>
      <c r="J135" s="709">
        <v>3.0</v>
      </c>
      <c r="K135" s="709">
        <v>3.0</v>
      </c>
      <c r="L135" s="709">
        <v>4.0</v>
      </c>
      <c r="M135" s="709">
        <v>2.0</v>
      </c>
      <c r="N135" s="714">
        <v>3.0</v>
      </c>
      <c r="O135" s="709">
        <v>4.0</v>
      </c>
      <c r="P135" s="709"/>
      <c r="Q135" s="709">
        <v>3.0</v>
      </c>
      <c r="R135" s="716"/>
    </row>
    <row r="136">
      <c r="A136" s="716"/>
      <c r="B136" s="353"/>
      <c r="C136" s="710" t="s">
        <v>1344</v>
      </c>
      <c r="D136" s="711" t="s">
        <v>71</v>
      </c>
      <c r="E136" s="712" t="s">
        <v>1326</v>
      </c>
      <c r="F136" s="68"/>
      <c r="G136" s="68"/>
      <c r="H136" s="68">
        <v>0.0</v>
      </c>
      <c r="I136" s="713" t="s">
        <v>714</v>
      </c>
      <c r="J136" s="714">
        <v>2.0</v>
      </c>
      <c r="K136" s="714">
        <v>2.0</v>
      </c>
      <c r="L136" s="714">
        <v>3.0</v>
      </c>
      <c r="M136" s="714">
        <v>2.0</v>
      </c>
      <c r="N136" s="709">
        <v>2.0</v>
      </c>
      <c r="O136" s="714">
        <v>1.0</v>
      </c>
      <c r="Q136" s="714">
        <v>1.0</v>
      </c>
      <c r="R136" s="716"/>
    </row>
    <row r="137">
      <c r="A137" s="716"/>
      <c r="B137" s="353"/>
      <c r="C137" s="710" t="s">
        <v>1402</v>
      </c>
      <c r="D137" s="711" t="s">
        <v>71</v>
      </c>
      <c r="E137" s="712" t="s">
        <v>1326</v>
      </c>
      <c r="F137" s="68"/>
      <c r="G137" s="68"/>
      <c r="H137" s="68">
        <v>1.0</v>
      </c>
      <c r="I137" s="713" t="s">
        <v>714</v>
      </c>
      <c r="J137" s="714">
        <v>2.0</v>
      </c>
      <c r="K137" s="714">
        <v>2.0</v>
      </c>
      <c r="L137" s="714">
        <v>2.0</v>
      </c>
      <c r="M137" s="714">
        <v>3.0</v>
      </c>
      <c r="N137" s="714">
        <v>1.0</v>
      </c>
      <c r="O137" s="714">
        <v>1.0</v>
      </c>
      <c r="Q137" s="714">
        <v>4.0</v>
      </c>
      <c r="R137" s="716"/>
    </row>
    <row r="138">
      <c r="A138" s="716"/>
      <c r="B138" s="632"/>
      <c r="C138" s="729" t="s">
        <v>1403</v>
      </c>
      <c r="D138" s="730" t="s">
        <v>71</v>
      </c>
      <c r="E138" s="731"/>
      <c r="F138" s="557"/>
      <c r="G138" s="557"/>
      <c r="H138" s="557">
        <v>1.0</v>
      </c>
      <c r="I138" s="732" t="s">
        <v>714</v>
      </c>
      <c r="J138" s="714">
        <v>2.0</v>
      </c>
      <c r="K138" s="714">
        <v>2.0</v>
      </c>
      <c r="L138" s="714">
        <v>1.0</v>
      </c>
      <c r="M138" s="714">
        <v>3.0</v>
      </c>
      <c r="N138" s="714">
        <v>1.0</v>
      </c>
      <c r="O138" s="714">
        <v>2.0</v>
      </c>
      <c r="Q138" s="714">
        <v>2.0</v>
      </c>
      <c r="R138" s="716"/>
    </row>
    <row r="139">
      <c r="A139" s="716"/>
      <c r="B139" s="639"/>
      <c r="C139" s="710" t="s">
        <v>1404</v>
      </c>
      <c r="D139" s="711"/>
      <c r="E139" s="712"/>
      <c r="F139" s="68"/>
      <c r="G139" s="68"/>
      <c r="H139" s="68">
        <v>2.0</v>
      </c>
      <c r="I139" s="713" t="s">
        <v>714</v>
      </c>
      <c r="J139" s="714">
        <v>4.0</v>
      </c>
      <c r="K139" s="714">
        <v>4.0</v>
      </c>
      <c r="L139" s="714">
        <v>5.0</v>
      </c>
      <c r="M139" s="714">
        <v>4.0</v>
      </c>
      <c r="N139" s="714">
        <v>4.0</v>
      </c>
      <c r="O139" s="714">
        <v>4.0</v>
      </c>
      <c r="P139" s="714"/>
      <c r="Q139" s="714">
        <v>4.0</v>
      </c>
      <c r="R139" s="716"/>
    </row>
    <row r="140">
      <c r="A140" s="716"/>
      <c r="B140" s="353"/>
      <c r="C140" s="710" t="s">
        <v>1405</v>
      </c>
      <c r="D140" s="711"/>
      <c r="E140" s="712" t="s">
        <v>1326</v>
      </c>
      <c r="F140" s="68"/>
      <c r="G140" s="68"/>
      <c r="H140" s="68">
        <v>3.0</v>
      </c>
      <c r="I140" s="713" t="s">
        <v>714</v>
      </c>
      <c r="J140" s="714">
        <v>2.0</v>
      </c>
      <c r="K140" s="714">
        <v>2.0</v>
      </c>
      <c r="L140" s="714">
        <v>2.0</v>
      </c>
      <c r="M140" s="714">
        <v>3.0</v>
      </c>
      <c r="N140" s="714">
        <v>1.0</v>
      </c>
      <c r="O140" s="714">
        <v>3.0</v>
      </c>
      <c r="P140" s="714"/>
      <c r="Q140" s="714">
        <v>2.0</v>
      </c>
      <c r="R140" s="716"/>
    </row>
    <row r="141">
      <c r="A141" s="716"/>
      <c r="B141" s="353"/>
      <c r="C141" s="710" t="s">
        <v>1406</v>
      </c>
      <c r="D141" s="711" t="s">
        <v>71</v>
      </c>
      <c r="E141" s="712"/>
      <c r="F141" s="68"/>
      <c r="G141" s="68"/>
      <c r="H141" s="68">
        <v>6.0</v>
      </c>
      <c r="I141" s="713" t="s">
        <v>714</v>
      </c>
      <c r="J141" s="714">
        <v>1.0</v>
      </c>
      <c r="K141" s="714">
        <v>1.0</v>
      </c>
      <c r="L141" s="714">
        <v>1.0</v>
      </c>
      <c r="M141" s="714">
        <v>2.0</v>
      </c>
      <c r="N141" s="714">
        <v>1.0</v>
      </c>
      <c r="O141" s="714">
        <v>3.0</v>
      </c>
      <c r="P141" s="714"/>
      <c r="Q141" s="714">
        <v>2.0</v>
      </c>
      <c r="R141" s="716"/>
    </row>
    <row r="142">
      <c r="A142" s="716"/>
      <c r="B142" s="355"/>
      <c r="C142" s="729" t="s">
        <v>1347</v>
      </c>
      <c r="D142" s="730"/>
      <c r="E142" s="731" t="s">
        <v>1326</v>
      </c>
      <c r="F142" s="557">
        <v>3.0</v>
      </c>
      <c r="G142" s="557">
        <v>3.0</v>
      </c>
      <c r="H142" s="557">
        <v>4.0</v>
      </c>
      <c r="I142" s="732" t="s">
        <v>714</v>
      </c>
      <c r="J142" s="714">
        <v>2.0</v>
      </c>
      <c r="K142" s="714">
        <v>2.0</v>
      </c>
      <c r="L142" s="714">
        <v>1.0</v>
      </c>
      <c r="M142" s="714">
        <v>3.0</v>
      </c>
      <c r="N142" s="714">
        <v>1.0</v>
      </c>
      <c r="O142" s="714">
        <v>1.0</v>
      </c>
      <c r="P142" s="714"/>
      <c r="Q142" s="714">
        <v>1.0</v>
      </c>
      <c r="R142" s="716"/>
    </row>
    <row r="143">
      <c r="A143" s="716"/>
      <c r="B143" s="634"/>
      <c r="C143" s="733" t="s">
        <v>1407</v>
      </c>
      <c r="D143" s="711"/>
      <c r="E143" s="712"/>
      <c r="F143" s="68">
        <v>2.0</v>
      </c>
      <c r="G143" s="68">
        <v>6.0</v>
      </c>
      <c r="H143" s="68">
        <v>4.0</v>
      </c>
      <c r="I143" s="713" t="s">
        <v>714</v>
      </c>
      <c r="J143" s="714">
        <v>2.0</v>
      </c>
      <c r="K143" s="714">
        <v>2.0</v>
      </c>
      <c r="L143" s="714">
        <v>2.0</v>
      </c>
      <c r="M143" s="714">
        <v>3.0</v>
      </c>
      <c r="N143" s="714">
        <v>2.0</v>
      </c>
      <c r="O143" s="714">
        <v>2.0</v>
      </c>
      <c r="P143" s="714"/>
      <c r="Q143" s="714">
        <v>4.0</v>
      </c>
      <c r="R143" s="716"/>
    </row>
    <row r="144">
      <c r="A144" s="716"/>
      <c r="B144" s="353"/>
      <c r="C144" s="733" t="s">
        <v>1349</v>
      </c>
      <c r="D144" s="711"/>
      <c r="E144" s="712" t="s">
        <v>1326</v>
      </c>
      <c r="F144" s="68">
        <v>8.0</v>
      </c>
      <c r="G144" s="68">
        <v>8.0</v>
      </c>
      <c r="H144" s="68">
        <v>8.0</v>
      </c>
      <c r="I144" s="713" t="s">
        <v>714</v>
      </c>
      <c r="J144" s="714">
        <v>1.0</v>
      </c>
      <c r="K144" s="714">
        <v>1.0</v>
      </c>
      <c r="L144" s="714">
        <v>2.0</v>
      </c>
      <c r="M144" s="714">
        <v>4.0</v>
      </c>
      <c r="N144" s="714">
        <v>2.0</v>
      </c>
      <c r="O144" s="714">
        <v>2.0</v>
      </c>
      <c r="P144" s="714"/>
      <c r="Q144" s="714">
        <v>1.0</v>
      </c>
      <c r="R144" s="716"/>
    </row>
    <row r="145">
      <c r="A145" s="716"/>
      <c r="B145" s="355"/>
      <c r="C145" s="735" t="s">
        <v>1408</v>
      </c>
      <c r="D145" s="730"/>
      <c r="E145" s="731" t="s">
        <v>1326</v>
      </c>
      <c r="F145" s="557">
        <v>4.0</v>
      </c>
      <c r="G145" s="557">
        <v>5.0</v>
      </c>
      <c r="H145" s="557">
        <v>6.0</v>
      </c>
      <c r="I145" s="732" t="s">
        <v>714</v>
      </c>
      <c r="J145" s="714">
        <v>2.0</v>
      </c>
      <c r="K145" s="714">
        <v>4.0</v>
      </c>
      <c r="L145" s="714">
        <v>4.0</v>
      </c>
      <c r="M145" s="714">
        <v>3.0</v>
      </c>
      <c r="N145" s="714">
        <v>5.0</v>
      </c>
      <c r="O145" s="714">
        <v>4.0</v>
      </c>
      <c r="P145" s="714"/>
      <c r="Q145" s="714">
        <v>4.0</v>
      </c>
      <c r="R145" s="716"/>
    </row>
    <row r="146">
      <c r="A146" s="716"/>
      <c r="B146" s="635"/>
      <c r="C146" s="733" t="s">
        <v>1409</v>
      </c>
      <c r="D146" s="711"/>
      <c r="E146" s="712" t="s">
        <v>1326</v>
      </c>
      <c r="F146" s="68">
        <v>3.0</v>
      </c>
      <c r="G146" s="68">
        <v>6.0</v>
      </c>
      <c r="H146" s="68">
        <v>4.0</v>
      </c>
      <c r="I146" s="713" t="s">
        <v>714</v>
      </c>
      <c r="J146" s="714">
        <v>3.0</v>
      </c>
      <c r="K146" s="714">
        <v>3.0</v>
      </c>
      <c r="L146" s="714">
        <v>3.0</v>
      </c>
      <c r="M146" s="714">
        <v>4.0</v>
      </c>
      <c r="N146" s="714">
        <v>5.0</v>
      </c>
      <c r="O146" s="714">
        <v>4.0</v>
      </c>
      <c r="P146" s="714"/>
      <c r="Q146" s="714">
        <v>3.0</v>
      </c>
      <c r="R146" s="716"/>
    </row>
    <row r="147">
      <c r="A147" s="716"/>
      <c r="B147" s="353"/>
      <c r="C147" s="733" t="s">
        <v>1352</v>
      </c>
      <c r="D147" s="711"/>
      <c r="E147" s="712" t="s">
        <v>1326</v>
      </c>
      <c r="F147" s="68">
        <v>3.0</v>
      </c>
      <c r="G147" s="68">
        <v>6.0</v>
      </c>
      <c r="H147" s="68">
        <v>4.0</v>
      </c>
      <c r="I147" s="713" t="s">
        <v>714</v>
      </c>
      <c r="J147" s="714">
        <v>2.0</v>
      </c>
      <c r="K147" s="714">
        <v>2.0</v>
      </c>
      <c r="L147" s="714">
        <v>1.0</v>
      </c>
      <c r="M147" s="714">
        <v>3.0</v>
      </c>
      <c r="N147" s="714">
        <v>1.0</v>
      </c>
      <c r="O147" s="714">
        <v>1.0</v>
      </c>
      <c r="P147" s="714"/>
      <c r="Q147" s="714">
        <v>2.0</v>
      </c>
      <c r="R147" s="716"/>
    </row>
    <row r="148">
      <c r="A148" s="716"/>
      <c r="B148" s="355"/>
      <c r="C148" s="735" t="s">
        <v>1410</v>
      </c>
      <c r="D148" s="730"/>
      <c r="E148" s="731"/>
      <c r="F148" s="557">
        <v>1.0</v>
      </c>
      <c r="G148" s="557">
        <v>3.0</v>
      </c>
      <c r="H148" s="557">
        <v>2.0</v>
      </c>
      <c r="I148" s="732" t="s">
        <v>714</v>
      </c>
      <c r="J148" s="727">
        <v>4.0</v>
      </c>
      <c r="K148" s="727">
        <v>4.0</v>
      </c>
      <c r="L148" s="727">
        <v>4.0</v>
      </c>
      <c r="M148" s="727">
        <v>2.0</v>
      </c>
      <c r="N148" s="727">
        <v>5.0</v>
      </c>
      <c r="O148" s="727">
        <v>5.0</v>
      </c>
      <c r="P148" s="727"/>
      <c r="Q148" s="727">
        <v>5.0</v>
      </c>
      <c r="R148" s="716"/>
    </row>
    <row r="149">
      <c r="A149" s="716"/>
      <c r="B149" s="605"/>
      <c r="C149" s="195" t="s">
        <v>170</v>
      </c>
      <c r="D149" s="82"/>
      <c r="E149" s="82"/>
      <c r="F149" s="82"/>
      <c r="G149" s="82"/>
      <c r="H149" s="82"/>
      <c r="I149" s="96"/>
      <c r="J149" s="128"/>
      <c r="K149" s="128"/>
      <c r="L149" s="128"/>
      <c r="M149" s="128"/>
      <c r="N149" s="128"/>
      <c r="O149" s="128"/>
      <c r="P149" s="128"/>
      <c r="Q149" s="128"/>
      <c r="R149" s="716"/>
    </row>
    <row r="150">
      <c r="A150" s="716"/>
      <c r="B150" s="636"/>
      <c r="C150" s="136"/>
      <c r="D150" s="699"/>
      <c r="E150" s="525"/>
      <c r="F150" s="85"/>
      <c r="G150" s="85"/>
      <c r="H150" s="85"/>
      <c r="I150" s="700"/>
      <c r="J150" s="745" t="s">
        <v>2</v>
      </c>
      <c r="K150" s="745" t="s">
        <v>426</v>
      </c>
      <c r="L150" s="745" t="s">
        <v>1</v>
      </c>
      <c r="M150" s="745" t="s">
        <v>4</v>
      </c>
      <c r="N150" s="745" t="s">
        <v>208</v>
      </c>
      <c r="O150" s="745" t="s">
        <v>3</v>
      </c>
      <c r="P150" s="745" t="s">
        <v>427</v>
      </c>
      <c r="Q150" s="703" t="s">
        <v>210</v>
      </c>
      <c r="R150" s="716"/>
    </row>
    <row r="151">
      <c r="A151" s="716"/>
      <c r="B151" s="631"/>
      <c r="C151" s="710" t="s">
        <v>1411</v>
      </c>
      <c r="D151" s="711"/>
      <c r="E151" s="712"/>
      <c r="F151" s="68">
        <v>1.0</v>
      </c>
      <c r="G151" s="68">
        <v>3.0</v>
      </c>
      <c r="H151" s="68">
        <v>1.0</v>
      </c>
      <c r="I151" s="713" t="s">
        <v>714</v>
      </c>
      <c r="J151" s="709">
        <v>4.0</v>
      </c>
      <c r="K151" s="709">
        <v>4.0</v>
      </c>
      <c r="L151" s="709">
        <v>4.0</v>
      </c>
      <c r="M151" s="709">
        <v>4.0</v>
      </c>
      <c r="N151" s="709">
        <v>3.0</v>
      </c>
      <c r="O151" s="709">
        <v>3.0</v>
      </c>
      <c r="P151" s="709"/>
      <c r="Q151" s="709">
        <v>4.0</v>
      </c>
      <c r="R151" s="716"/>
    </row>
    <row r="152">
      <c r="A152" s="716"/>
      <c r="B152" s="353"/>
      <c r="C152" s="710" t="s">
        <v>1370</v>
      </c>
      <c r="D152" s="711"/>
      <c r="E152" s="712" t="s">
        <v>1326</v>
      </c>
      <c r="F152" s="68">
        <v>1.0</v>
      </c>
      <c r="G152" s="68">
        <v>2.0</v>
      </c>
      <c r="H152" s="68">
        <v>1.0</v>
      </c>
      <c r="I152" s="713" t="s">
        <v>714</v>
      </c>
      <c r="J152" s="714">
        <v>1.0</v>
      </c>
      <c r="K152" s="714">
        <v>2.0</v>
      </c>
      <c r="L152" s="714">
        <v>1.0</v>
      </c>
      <c r="M152" s="714">
        <v>2.0</v>
      </c>
      <c r="N152" s="714">
        <v>2.0</v>
      </c>
      <c r="O152" s="714">
        <v>2.0</v>
      </c>
      <c r="P152" s="714"/>
      <c r="Q152" s="714">
        <v>2.0</v>
      </c>
      <c r="R152" s="716"/>
    </row>
    <row r="153">
      <c r="A153" s="716"/>
      <c r="B153" s="353"/>
      <c r="C153" s="710" t="s">
        <v>1356</v>
      </c>
      <c r="D153" s="711"/>
      <c r="E153" s="712" t="s">
        <v>1326</v>
      </c>
      <c r="F153" s="68"/>
      <c r="G153" s="68"/>
      <c r="H153" s="68">
        <v>1.0</v>
      </c>
      <c r="I153" s="713" t="s">
        <v>714</v>
      </c>
      <c r="J153" s="714">
        <v>2.0</v>
      </c>
      <c r="K153" s="714">
        <v>2.0</v>
      </c>
      <c r="L153" s="714">
        <v>3.0</v>
      </c>
      <c r="M153" s="714">
        <v>3.0</v>
      </c>
      <c r="N153" s="714">
        <v>2.0</v>
      </c>
      <c r="O153" s="714">
        <v>3.0</v>
      </c>
      <c r="P153" s="714"/>
      <c r="Q153" s="714">
        <v>2.0</v>
      </c>
      <c r="R153" s="716"/>
    </row>
    <row r="154">
      <c r="A154" s="716"/>
      <c r="B154" s="632"/>
      <c r="C154" s="729" t="s">
        <v>1412</v>
      </c>
      <c r="D154" s="730"/>
      <c r="E154" s="731"/>
      <c r="F154" s="557">
        <v>3.0</v>
      </c>
      <c r="G154" s="557">
        <v>4.0</v>
      </c>
      <c r="H154" s="557">
        <v>3.0</v>
      </c>
      <c r="I154" s="732" t="s">
        <v>714</v>
      </c>
      <c r="J154" s="714">
        <v>4.0</v>
      </c>
      <c r="K154" s="714">
        <v>4.0</v>
      </c>
      <c r="L154" s="714">
        <v>4.0</v>
      </c>
      <c r="M154" s="714">
        <v>4.0</v>
      </c>
      <c r="N154" s="714">
        <v>4.0</v>
      </c>
      <c r="O154" s="714">
        <v>4.0</v>
      </c>
      <c r="P154" s="714"/>
      <c r="Q154" s="714">
        <v>3.0</v>
      </c>
      <c r="R154" s="716"/>
    </row>
    <row r="155">
      <c r="A155" s="716"/>
      <c r="B155" s="639"/>
      <c r="C155" s="710" t="s">
        <v>1413</v>
      </c>
      <c r="D155" s="711" t="s">
        <v>71</v>
      </c>
      <c r="E155" s="712" t="s">
        <v>1326</v>
      </c>
      <c r="F155" s="68"/>
      <c r="G155" s="68"/>
      <c r="H155" s="68">
        <v>1.0</v>
      </c>
      <c r="I155" s="713" t="s">
        <v>714</v>
      </c>
      <c r="J155" s="714">
        <v>3.0</v>
      </c>
      <c r="K155" s="714">
        <v>2.0</v>
      </c>
      <c r="L155" s="714">
        <v>3.0</v>
      </c>
      <c r="M155" s="714">
        <v>4.0</v>
      </c>
      <c r="N155" s="714">
        <v>3.0</v>
      </c>
      <c r="O155" s="714">
        <v>2.0</v>
      </c>
      <c r="P155" s="714"/>
      <c r="Q155" s="714">
        <v>2.0</v>
      </c>
      <c r="R155" s="716"/>
    </row>
    <row r="156">
      <c r="A156" s="716"/>
      <c r="B156" s="353"/>
      <c r="C156" s="710" t="s">
        <v>1414</v>
      </c>
      <c r="D156" s="711"/>
      <c r="E156" s="712"/>
      <c r="F156" s="68">
        <v>3.0</v>
      </c>
      <c r="G156" s="68">
        <v>6.0</v>
      </c>
      <c r="H156" s="68">
        <v>5.0</v>
      </c>
      <c r="I156" s="713" t="s">
        <v>714</v>
      </c>
      <c r="J156" s="714">
        <v>3.0</v>
      </c>
      <c r="K156" s="714">
        <v>2.0</v>
      </c>
      <c r="L156" s="714">
        <v>1.0</v>
      </c>
      <c r="M156" s="714">
        <v>2.0</v>
      </c>
      <c r="N156" s="714">
        <v>1.0</v>
      </c>
      <c r="O156" s="714">
        <v>1.0</v>
      </c>
      <c r="P156" s="714"/>
      <c r="Q156" s="714">
        <v>2.0</v>
      </c>
      <c r="R156" s="716"/>
    </row>
    <row r="157">
      <c r="A157" s="716"/>
      <c r="B157" s="353"/>
      <c r="C157" s="710" t="s">
        <v>1361</v>
      </c>
      <c r="D157" s="711"/>
      <c r="E157" s="712" t="s">
        <v>1326</v>
      </c>
      <c r="F157" s="68">
        <v>0.0</v>
      </c>
      <c r="G157" s="68">
        <v>3.0</v>
      </c>
      <c r="H157" s="68">
        <v>2.0</v>
      </c>
      <c r="I157" s="713" t="s">
        <v>714</v>
      </c>
      <c r="J157" s="714">
        <v>1.0</v>
      </c>
      <c r="K157" s="714">
        <v>1.0</v>
      </c>
      <c r="L157" s="714">
        <v>1.0</v>
      </c>
      <c r="M157" s="714">
        <v>1.0</v>
      </c>
      <c r="N157" s="714">
        <v>1.0</v>
      </c>
      <c r="O157" s="714">
        <v>1.0</v>
      </c>
      <c r="P157" s="714"/>
      <c r="Q157" s="714">
        <v>1.0</v>
      </c>
      <c r="R157" s="716"/>
    </row>
    <row r="158">
      <c r="A158" s="716"/>
      <c r="B158" s="355"/>
      <c r="C158" s="729" t="s">
        <v>1415</v>
      </c>
      <c r="D158" s="730" t="s">
        <v>71</v>
      </c>
      <c r="E158" s="731"/>
      <c r="F158" s="557"/>
      <c r="G158" s="557"/>
      <c r="H158" s="557">
        <v>2.0</v>
      </c>
      <c r="I158" s="732" t="s">
        <v>714</v>
      </c>
      <c r="J158" s="714">
        <v>3.0</v>
      </c>
      <c r="K158" s="714">
        <v>3.0</v>
      </c>
      <c r="L158" s="714">
        <v>4.0</v>
      </c>
      <c r="M158" s="714">
        <v>3.0</v>
      </c>
      <c r="N158" s="714">
        <v>3.0</v>
      </c>
      <c r="O158" s="714">
        <v>2.0</v>
      </c>
      <c r="P158" s="714"/>
      <c r="Q158" s="714">
        <v>3.0</v>
      </c>
      <c r="R158" s="716"/>
    </row>
    <row r="159">
      <c r="A159" s="716"/>
      <c r="B159" s="634"/>
      <c r="C159" s="733" t="s">
        <v>1416</v>
      </c>
      <c r="D159" s="711" t="s">
        <v>71</v>
      </c>
      <c r="E159" s="712" t="s">
        <v>1326</v>
      </c>
      <c r="F159" s="68"/>
      <c r="G159" s="68"/>
      <c r="H159" s="68">
        <v>4.0</v>
      </c>
      <c r="I159" s="713" t="s">
        <v>714</v>
      </c>
      <c r="J159" s="714">
        <v>2.0</v>
      </c>
      <c r="K159" s="714">
        <v>2.0</v>
      </c>
      <c r="L159" s="714">
        <v>2.0</v>
      </c>
      <c r="M159" s="714">
        <v>2.0</v>
      </c>
      <c r="N159" s="714">
        <v>2.0</v>
      </c>
      <c r="O159" s="714">
        <v>3.0</v>
      </c>
      <c r="P159" s="714"/>
      <c r="Q159" s="714">
        <v>2.0</v>
      </c>
      <c r="R159" s="716"/>
    </row>
    <row r="160">
      <c r="A160" s="716"/>
      <c r="B160" s="353"/>
      <c r="C160" s="733" t="s">
        <v>1366</v>
      </c>
      <c r="D160" s="711"/>
      <c r="E160" s="712" t="s">
        <v>1326</v>
      </c>
      <c r="F160" s="68"/>
      <c r="G160" s="68"/>
      <c r="H160" s="68">
        <v>1.0</v>
      </c>
      <c r="I160" s="713" t="s">
        <v>714</v>
      </c>
      <c r="J160" s="714">
        <v>3.0</v>
      </c>
      <c r="K160" s="714">
        <v>3.0</v>
      </c>
      <c r="L160" s="714">
        <v>3.0</v>
      </c>
      <c r="M160" s="714">
        <v>3.0</v>
      </c>
      <c r="N160" s="714">
        <v>4.0</v>
      </c>
      <c r="O160" s="714">
        <v>4.0</v>
      </c>
      <c r="P160" s="714"/>
      <c r="Q160" s="714">
        <v>2.0</v>
      </c>
      <c r="R160" s="716"/>
    </row>
    <row r="161">
      <c r="A161" s="716"/>
      <c r="B161" s="355"/>
      <c r="C161" s="735" t="s">
        <v>1417</v>
      </c>
      <c r="D161" s="730" t="s">
        <v>71</v>
      </c>
      <c r="E161" s="731"/>
      <c r="F161" s="557"/>
      <c r="G161" s="557"/>
      <c r="H161" s="557">
        <v>3.0</v>
      </c>
      <c r="I161" s="732" t="s">
        <v>714</v>
      </c>
      <c r="J161" s="714">
        <v>2.0</v>
      </c>
      <c r="K161" s="714">
        <v>2.0</v>
      </c>
      <c r="L161" s="714">
        <v>2.0</v>
      </c>
      <c r="M161" s="714">
        <v>3.0</v>
      </c>
      <c r="N161" s="714">
        <v>2.0</v>
      </c>
      <c r="O161" s="714">
        <v>3.0</v>
      </c>
      <c r="P161" s="714"/>
      <c r="Q161" s="714">
        <v>1.0</v>
      </c>
      <c r="R161" s="716"/>
    </row>
    <row r="162">
      <c r="A162" s="716"/>
      <c r="B162" s="635"/>
      <c r="C162" s="733" t="s">
        <v>1369</v>
      </c>
      <c r="D162" s="711"/>
      <c r="E162" s="712" t="s">
        <v>1326</v>
      </c>
      <c r="F162" s="68">
        <v>3.0</v>
      </c>
      <c r="G162" s="68">
        <v>6.0</v>
      </c>
      <c r="H162" s="68">
        <v>5.0</v>
      </c>
      <c r="I162" s="713" t="s">
        <v>714</v>
      </c>
      <c r="J162" s="714">
        <v>4.0</v>
      </c>
      <c r="K162" s="714">
        <v>4.0</v>
      </c>
      <c r="L162" s="714">
        <v>3.0</v>
      </c>
      <c r="M162" s="714">
        <v>4.0</v>
      </c>
      <c r="N162" s="714">
        <v>2.0</v>
      </c>
      <c r="O162" s="714">
        <v>3.0</v>
      </c>
      <c r="P162" s="714"/>
      <c r="Q162" s="714">
        <v>4.0</v>
      </c>
      <c r="R162" s="716"/>
    </row>
    <row r="163">
      <c r="A163" s="716"/>
      <c r="B163" s="353"/>
      <c r="C163" s="733" t="s">
        <v>1418</v>
      </c>
      <c r="D163" s="711"/>
      <c r="E163" s="712"/>
      <c r="F163" s="68">
        <v>3.0</v>
      </c>
      <c r="G163" s="68">
        <v>8.0</v>
      </c>
      <c r="H163" s="68">
        <v>5.0</v>
      </c>
      <c r="I163" s="713" t="s">
        <v>714</v>
      </c>
      <c r="J163" s="714">
        <v>4.0</v>
      </c>
      <c r="K163" s="714">
        <v>4.0</v>
      </c>
      <c r="L163" s="714">
        <v>4.0</v>
      </c>
      <c r="M163" s="714">
        <v>1.0</v>
      </c>
      <c r="N163" s="714">
        <v>5.0</v>
      </c>
      <c r="O163" s="714">
        <v>4.0</v>
      </c>
      <c r="P163" s="714"/>
      <c r="Q163" s="714">
        <v>2.0</v>
      </c>
      <c r="R163" s="716"/>
    </row>
    <row r="164">
      <c r="A164" s="716"/>
      <c r="B164" s="355"/>
      <c r="C164" s="735" t="s">
        <v>1379</v>
      </c>
      <c r="D164" s="730"/>
      <c r="E164" s="731" t="s">
        <v>1326</v>
      </c>
      <c r="F164" s="557">
        <v>2.0</v>
      </c>
      <c r="G164" s="557">
        <v>1.0</v>
      </c>
      <c r="H164" s="557">
        <v>5.0</v>
      </c>
      <c r="I164" s="732" t="s">
        <v>714</v>
      </c>
      <c r="J164" s="774">
        <v>2.0</v>
      </c>
      <c r="K164" s="774">
        <v>2.0</v>
      </c>
      <c r="L164" s="774">
        <v>2.0</v>
      </c>
      <c r="M164" s="774">
        <v>2.0</v>
      </c>
      <c r="N164" s="774">
        <v>4.0</v>
      </c>
      <c r="O164" s="774">
        <v>4.0</v>
      </c>
      <c r="P164" s="774"/>
      <c r="Q164" s="774">
        <v>2.0</v>
      </c>
      <c r="R164" s="716"/>
    </row>
    <row r="165">
      <c r="A165" s="716"/>
      <c r="B165" s="605"/>
      <c r="C165" s="195" t="s">
        <v>182</v>
      </c>
      <c r="D165" s="82"/>
      <c r="E165" s="82"/>
      <c r="F165" s="82"/>
      <c r="G165" s="82"/>
      <c r="H165" s="82"/>
      <c r="I165" s="96"/>
      <c r="J165" s="128"/>
      <c r="K165" s="128"/>
      <c r="L165" s="128"/>
      <c r="M165" s="128"/>
      <c r="N165" s="128"/>
      <c r="O165" s="128"/>
      <c r="P165" s="128"/>
      <c r="Q165" s="128"/>
      <c r="R165" s="716"/>
    </row>
    <row r="166">
      <c r="A166" s="716"/>
      <c r="B166" s="636"/>
      <c r="C166" s="136"/>
      <c r="D166" s="699"/>
      <c r="E166" s="525"/>
      <c r="F166" s="85"/>
      <c r="G166" s="85"/>
      <c r="H166" s="85"/>
      <c r="I166" s="700"/>
      <c r="J166" s="745" t="s">
        <v>2</v>
      </c>
      <c r="K166" s="745" t="s">
        <v>426</v>
      </c>
      <c r="L166" s="745" t="s">
        <v>1</v>
      </c>
      <c r="M166" s="745" t="s">
        <v>4</v>
      </c>
      <c r="N166" s="745" t="s">
        <v>208</v>
      </c>
      <c r="O166" s="745" t="s">
        <v>3</v>
      </c>
      <c r="P166" s="745" t="s">
        <v>427</v>
      </c>
      <c r="Q166" s="703" t="s">
        <v>210</v>
      </c>
      <c r="R166" s="716"/>
    </row>
    <row r="167">
      <c r="A167" s="716"/>
      <c r="B167" s="631"/>
      <c r="C167" s="710" t="s">
        <v>1419</v>
      </c>
      <c r="D167" s="711" t="s">
        <v>71</v>
      </c>
      <c r="E167" s="712"/>
      <c r="F167" s="68"/>
      <c r="G167" s="68"/>
      <c r="H167" s="68">
        <v>0.0</v>
      </c>
      <c r="I167" s="713" t="s">
        <v>714</v>
      </c>
      <c r="J167" s="709">
        <v>2.0</v>
      </c>
      <c r="K167" s="709">
        <v>2.0</v>
      </c>
      <c r="L167" s="709">
        <v>4.0</v>
      </c>
      <c r="M167" s="709">
        <v>3.0</v>
      </c>
      <c r="N167" s="709">
        <v>4.0</v>
      </c>
      <c r="O167" s="709">
        <v>5.0</v>
      </c>
      <c r="P167" s="709"/>
      <c r="Q167" s="709">
        <v>2.0</v>
      </c>
      <c r="R167" s="716"/>
    </row>
    <row r="168">
      <c r="A168" s="716"/>
      <c r="B168" s="353"/>
      <c r="C168" s="710" t="s">
        <v>1325</v>
      </c>
      <c r="D168" s="711" t="s">
        <v>71</v>
      </c>
      <c r="E168" s="712" t="s">
        <v>1326</v>
      </c>
      <c r="F168" s="68"/>
      <c r="G168" s="68"/>
      <c r="H168" s="68">
        <v>1.0</v>
      </c>
      <c r="I168" s="713" t="s">
        <v>714</v>
      </c>
      <c r="J168" s="714">
        <v>1.0</v>
      </c>
      <c r="K168" s="714">
        <v>2.0</v>
      </c>
      <c r="L168" s="714">
        <v>1.0</v>
      </c>
      <c r="M168" s="714">
        <v>2.0</v>
      </c>
      <c r="N168" s="714">
        <v>1.0</v>
      </c>
      <c r="O168" s="714">
        <v>1.0</v>
      </c>
      <c r="P168" s="714"/>
      <c r="Q168" s="714">
        <v>2.0</v>
      </c>
      <c r="R168" s="716"/>
    </row>
    <row r="169">
      <c r="A169" s="716"/>
      <c r="B169" s="353"/>
      <c r="C169" s="710" t="s">
        <v>1420</v>
      </c>
      <c r="D169" s="711"/>
      <c r="E169" s="712"/>
      <c r="F169" s="68">
        <v>4.0</v>
      </c>
      <c r="G169" s="68">
        <v>9.0</v>
      </c>
      <c r="H169" s="68">
        <v>6.0</v>
      </c>
      <c r="I169" s="713" t="s">
        <v>714</v>
      </c>
      <c r="J169" s="714">
        <v>1.0</v>
      </c>
      <c r="K169" s="714">
        <v>1.0</v>
      </c>
      <c r="L169" s="714">
        <v>1.0</v>
      </c>
      <c r="M169" s="714">
        <v>1.0</v>
      </c>
      <c r="N169" s="714">
        <v>1.0</v>
      </c>
      <c r="O169" s="714">
        <v>1.0</v>
      </c>
      <c r="P169" s="714"/>
      <c r="Q169" s="714">
        <v>2.0</v>
      </c>
      <c r="R169" s="716"/>
    </row>
    <row r="170">
      <c r="A170" s="716"/>
      <c r="B170" s="632"/>
      <c r="C170" s="729" t="s">
        <v>1402</v>
      </c>
      <c r="D170" s="730"/>
      <c r="E170" s="731" t="s">
        <v>1326</v>
      </c>
      <c r="F170" s="557"/>
      <c r="G170" s="557"/>
      <c r="H170" s="557">
        <v>1.0</v>
      </c>
      <c r="I170" s="732" t="s">
        <v>714</v>
      </c>
      <c r="J170" s="714">
        <v>1.0</v>
      </c>
      <c r="K170" s="714">
        <v>1.0</v>
      </c>
      <c r="L170" s="714">
        <v>1.0</v>
      </c>
      <c r="M170" s="714">
        <v>1.0</v>
      </c>
      <c r="N170" s="714">
        <v>1.0</v>
      </c>
      <c r="O170" s="714">
        <v>1.0</v>
      </c>
      <c r="P170" s="714"/>
      <c r="Q170" s="714">
        <v>1.0</v>
      </c>
      <c r="R170" s="716"/>
    </row>
    <row r="171">
      <c r="A171" s="716"/>
      <c r="B171" s="639"/>
      <c r="C171" s="710" t="s">
        <v>1405</v>
      </c>
      <c r="D171" s="711"/>
      <c r="E171" s="712" t="s">
        <v>1326</v>
      </c>
      <c r="F171" s="68"/>
      <c r="G171" s="68"/>
      <c r="H171" s="68">
        <v>3.0</v>
      </c>
      <c r="I171" s="713" t="s">
        <v>714</v>
      </c>
      <c r="J171" s="714">
        <v>2.0</v>
      </c>
      <c r="K171" s="714">
        <v>2.0</v>
      </c>
      <c r="L171" s="714">
        <v>2.0</v>
      </c>
      <c r="M171" s="714">
        <v>3.0</v>
      </c>
      <c r="N171" s="714">
        <v>1.0</v>
      </c>
      <c r="O171" s="714">
        <v>2.0</v>
      </c>
      <c r="P171" s="714"/>
      <c r="Q171" s="714">
        <v>2.0</v>
      </c>
      <c r="R171" s="716"/>
    </row>
    <row r="172">
      <c r="A172" s="716"/>
      <c r="B172" s="353"/>
      <c r="C172" s="710" t="s">
        <v>1421</v>
      </c>
      <c r="D172" s="711"/>
      <c r="E172" s="712"/>
      <c r="F172" s="68">
        <v>4.0</v>
      </c>
      <c r="G172" s="68">
        <v>2.0</v>
      </c>
      <c r="H172" s="68">
        <v>3.0</v>
      </c>
      <c r="I172" s="713" t="s">
        <v>714</v>
      </c>
      <c r="J172" s="714">
        <v>3.0</v>
      </c>
      <c r="K172" s="714">
        <v>4.0</v>
      </c>
      <c r="L172" s="714">
        <v>3.0</v>
      </c>
      <c r="M172" s="714">
        <v>2.0</v>
      </c>
      <c r="N172" s="714">
        <v>2.0</v>
      </c>
      <c r="O172" s="714">
        <v>3.0</v>
      </c>
      <c r="P172" s="714"/>
      <c r="Q172" s="714">
        <v>4.0</v>
      </c>
      <c r="R172" s="716"/>
    </row>
    <row r="173">
      <c r="A173" s="716"/>
      <c r="B173" s="353"/>
      <c r="C173" s="710" t="s">
        <v>1422</v>
      </c>
      <c r="D173" s="711" t="s">
        <v>71</v>
      </c>
      <c r="E173" s="712" t="s">
        <v>1326</v>
      </c>
      <c r="F173" s="68"/>
      <c r="G173" s="68"/>
      <c r="H173" s="68">
        <v>7.0</v>
      </c>
      <c r="I173" s="713" t="s">
        <v>714</v>
      </c>
      <c r="J173" s="714">
        <v>1.0</v>
      </c>
      <c r="K173" s="714">
        <v>1.0</v>
      </c>
      <c r="L173" s="714">
        <v>1.0</v>
      </c>
      <c r="M173" s="714">
        <v>1.0</v>
      </c>
      <c r="N173" s="714">
        <v>1.0</v>
      </c>
      <c r="O173" s="714">
        <v>3.0</v>
      </c>
      <c r="P173" s="714"/>
      <c r="Q173" s="714">
        <v>1.0</v>
      </c>
      <c r="R173" s="716"/>
    </row>
    <row r="174">
      <c r="A174" s="716"/>
      <c r="B174" s="355"/>
      <c r="C174" s="729" t="s">
        <v>1423</v>
      </c>
      <c r="D174" s="730" t="s">
        <v>71</v>
      </c>
      <c r="E174" s="731"/>
      <c r="F174" s="557"/>
      <c r="G174" s="557"/>
      <c r="H174" s="557">
        <v>5.0</v>
      </c>
      <c r="I174" s="732" t="s">
        <v>714</v>
      </c>
      <c r="J174" s="714">
        <v>3.0</v>
      </c>
      <c r="K174" s="714">
        <v>2.0</v>
      </c>
      <c r="L174" s="714">
        <v>3.0</v>
      </c>
      <c r="M174" s="714">
        <v>2.0</v>
      </c>
      <c r="N174" s="714">
        <v>2.0</v>
      </c>
      <c r="O174" s="714">
        <v>2.0</v>
      </c>
      <c r="P174" s="714"/>
      <c r="Q174" s="714">
        <v>3.0</v>
      </c>
      <c r="R174" s="716"/>
    </row>
    <row r="175">
      <c r="A175" s="716"/>
      <c r="B175" s="634"/>
      <c r="C175" s="733" t="s">
        <v>1334</v>
      </c>
      <c r="D175" s="711"/>
      <c r="E175" s="712" t="s">
        <v>1326</v>
      </c>
      <c r="F175" s="68">
        <v>2.0</v>
      </c>
      <c r="G175" s="68">
        <v>2.0</v>
      </c>
      <c r="H175" s="68">
        <v>3.0</v>
      </c>
      <c r="I175" s="713" t="s">
        <v>714</v>
      </c>
      <c r="J175" s="714">
        <v>1.0</v>
      </c>
      <c r="K175" s="714">
        <v>1.0</v>
      </c>
      <c r="L175" s="714">
        <v>1.0</v>
      </c>
      <c r="M175" s="714">
        <v>1.0</v>
      </c>
      <c r="N175" s="714">
        <v>1.0</v>
      </c>
      <c r="O175" s="714">
        <v>1.0</v>
      </c>
      <c r="P175" s="714"/>
      <c r="Q175" s="714">
        <v>1.0</v>
      </c>
      <c r="R175" s="716"/>
    </row>
    <row r="176">
      <c r="A176" s="716"/>
      <c r="B176" s="353"/>
      <c r="C176" s="733" t="s">
        <v>1408</v>
      </c>
      <c r="D176" s="711"/>
      <c r="E176" s="712" t="s">
        <v>1326</v>
      </c>
      <c r="F176" s="68">
        <v>4.0</v>
      </c>
      <c r="G176" s="68">
        <v>5.0</v>
      </c>
      <c r="H176" s="68">
        <v>6.0</v>
      </c>
      <c r="I176" s="713" t="s">
        <v>714</v>
      </c>
      <c r="J176" s="714">
        <v>2.0</v>
      </c>
      <c r="K176" s="714">
        <v>4.0</v>
      </c>
      <c r="L176" s="714">
        <v>4.0</v>
      </c>
      <c r="M176" s="714">
        <v>4.0</v>
      </c>
      <c r="N176" s="714">
        <v>4.0</v>
      </c>
      <c r="O176" s="714">
        <v>4.0</v>
      </c>
      <c r="P176" s="714"/>
      <c r="Q176" s="714">
        <v>4.0</v>
      </c>
      <c r="R176" s="716"/>
    </row>
    <row r="177">
      <c r="A177" s="716"/>
      <c r="B177" s="355"/>
      <c r="C177" s="735" t="s">
        <v>1424</v>
      </c>
      <c r="D177" s="730"/>
      <c r="E177" s="731"/>
      <c r="F177" s="557">
        <v>1.0</v>
      </c>
      <c r="G177" s="557">
        <v>1.0</v>
      </c>
      <c r="H177" s="557">
        <v>2.0</v>
      </c>
      <c r="I177" s="732" t="s">
        <v>714</v>
      </c>
      <c r="J177" s="714">
        <v>2.0</v>
      </c>
      <c r="K177" s="714">
        <v>4.0</v>
      </c>
      <c r="L177" s="714">
        <v>5.0</v>
      </c>
      <c r="M177" s="714">
        <v>2.0</v>
      </c>
      <c r="N177" s="714">
        <v>3.0</v>
      </c>
      <c r="O177" s="714">
        <v>5.0</v>
      </c>
      <c r="P177" s="714"/>
      <c r="Q177" s="714">
        <v>4.0</v>
      </c>
      <c r="R177" s="716"/>
    </row>
    <row r="178">
      <c r="A178" s="716"/>
      <c r="B178" s="635"/>
      <c r="C178" s="733" t="s">
        <v>1425</v>
      </c>
      <c r="D178" s="711"/>
      <c r="E178" s="712" t="s">
        <v>1326</v>
      </c>
      <c r="F178" s="68">
        <v>3.0</v>
      </c>
      <c r="G178" s="68">
        <v>6.0</v>
      </c>
      <c r="H178" s="68">
        <v>4.0</v>
      </c>
      <c r="I178" s="713" t="s">
        <v>714</v>
      </c>
      <c r="J178" s="714">
        <v>4.0</v>
      </c>
      <c r="K178" s="714">
        <v>4.0</v>
      </c>
      <c r="L178" s="714">
        <v>4.0</v>
      </c>
      <c r="M178" s="714">
        <v>4.0</v>
      </c>
      <c r="N178" s="714">
        <v>4.0</v>
      </c>
      <c r="O178" s="714">
        <v>4.0</v>
      </c>
      <c r="P178" s="714"/>
      <c r="Q178" s="714">
        <v>4.0</v>
      </c>
      <c r="R178" s="716"/>
    </row>
    <row r="179">
      <c r="A179" s="716"/>
      <c r="B179" s="353"/>
      <c r="C179" s="733" t="s">
        <v>1339</v>
      </c>
      <c r="D179" s="711"/>
      <c r="E179" s="712" t="s">
        <v>1326</v>
      </c>
      <c r="F179" s="68">
        <v>3.0</v>
      </c>
      <c r="G179" s="68">
        <v>2.0</v>
      </c>
      <c r="H179" s="68">
        <v>3.0</v>
      </c>
      <c r="I179" s="713" t="s">
        <v>714</v>
      </c>
      <c r="J179" s="773">
        <v>5.0</v>
      </c>
      <c r="K179" s="773">
        <v>5.0</v>
      </c>
      <c r="L179" s="773">
        <v>3.0</v>
      </c>
      <c r="M179" s="773">
        <v>5.0</v>
      </c>
      <c r="N179" s="773">
        <v>4.0</v>
      </c>
      <c r="O179" s="773">
        <v>4.0</v>
      </c>
      <c r="P179" s="773"/>
      <c r="Q179" s="773">
        <v>5.0</v>
      </c>
      <c r="R179" s="716"/>
    </row>
    <row r="180">
      <c r="A180" s="716"/>
      <c r="B180" s="355"/>
      <c r="C180" s="735" t="s">
        <v>1426</v>
      </c>
      <c r="D180" s="730"/>
      <c r="E180" s="731"/>
      <c r="F180" s="557">
        <v>3.0</v>
      </c>
      <c r="G180" s="557">
        <v>12.0</v>
      </c>
      <c r="H180" s="557">
        <v>8.0</v>
      </c>
      <c r="I180" s="732" t="s">
        <v>714</v>
      </c>
      <c r="J180" s="773">
        <v>1.0</v>
      </c>
      <c r="K180" s="773">
        <v>3.0</v>
      </c>
      <c r="L180" s="773">
        <v>1.0</v>
      </c>
      <c r="M180" s="773">
        <v>4.0</v>
      </c>
      <c r="N180" s="773">
        <v>2.0</v>
      </c>
      <c r="O180" s="773">
        <v>2.0</v>
      </c>
      <c r="P180" s="773"/>
      <c r="Q180" s="773">
        <v>2.0</v>
      </c>
      <c r="R180" s="716"/>
    </row>
    <row r="181">
      <c r="A181" s="716"/>
      <c r="B181" s="605"/>
      <c r="C181" s="195" t="s">
        <v>193</v>
      </c>
      <c r="D181" s="82"/>
      <c r="E181" s="82"/>
      <c r="F181" s="82"/>
      <c r="G181" s="82"/>
      <c r="H181" s="82"/>
      <c r="I181" s="96"/>
      <c r="J181" s="128"/>
      <c r="K181" s="128"/>
      <c r="L181" s="128"/>
      <c r="M181" s="128"/>
      <c r="N181" s="128"/>
      <c r="O181" s="128"/>
      <c r="P181" s="128"/>
      <c r="Q181" s="128"/>
      <c r="R181" s="716"/>
    </row>
    <row r="182">
      <c r="A182" s="716"/>
      <c r="B182" s="609"/>
      <c r="C182" s="136"/>
      <c r="D182" s="699"/>
      <c r="E182" s="525"/>
      <c r="F182" s="85"/>
      <c r="G182" s="85"/>
      <c r="H182" s="85"/>
      <c r="I182" s="700"/>
      <c r="J182" s="702" t="s">
        <v>2</v>
      </c>
      <c r="K182" s="702" t="s">
        <v>426</v>
      </c>
      <c r="L182" s="702" t="s">
        <v>1</v>
      </c>
      <c r="M182" s="702" t="s">
        <v>4</v>
      </c>
      <c r="N182" s="702" t="s">
        <v>208</v>
      </c>
      <c r="O182" s="702" t="s">
        <v>3</v>
      </c>
      <c r="P182" s="702" t="s">
        <v>427</v>
      </c>
      <c r="Q182" s="703" t="s">
        <v>210</v>
      </c>
      <c r="R182" s="716"/>
    </row>
    <row r="183">
      <c r="A183" s="739"/>
      <c r="B183" s="640"/>
      <c r="C183" s="710" t="s">
        <v>1343</v>
      </c>
      <c r="D183" s="711"/>
      <c r="E183" s="712" t="s">
        <v>1326</v>
      </c>
      <c r="F183" s="68">
        <v>1.0</v>
      </c>
      <c r="G183" s="68">
        <v>3.0</v>
      </c>
      <c r="H183" s="68">
        <v>1.0</v>
      </c>
      <c r="I183" s="713" t="s">
        <v>714</v>
      </c>
      <c r="J183" s="738">
        <v>4.0</v>
      </c>
      <c r="K183" s="772">
        <v>4.0</v>
      </c>
      <c r="L183" s="772">
        <v>3.0</v>
      </c>
      <c r="M183" s="772">
        <v>4.0</v>
      </c>
      <c r="N183" s="772">
        <v>3.0</v>
      </c>
      <c r="O183" s="772">
        <v>4.0</v>
      </c>
      <c r="P183" s="772"/>
      <c r="Q183" s="772">
        <v>4.0</v>
      </c>
      <c r="R183" s="739"/>
    </row>
    <row r="184">
      <c r="B184" s="353"/>
      <c r="C184" s="710" t="s">
        <v>1427</v>
      </c>
      <c r="D184" s="711"/>
      <c r="E184" s="712"/>
      <c r="F184" s="68">
        <v>5.0</v>
      </c>
      <c r="G184" s="68">
        <v>5.0</v>
      </c>
      <c r="H184" s="68">
        <v>5.0</v>
      </c>
      <c r="I184" s="713" t="s">
        <v>714</v>
      </c>
      <c r="J184" s="714">
        <v>4.0</v>
      </c>
      <c r="K184" s="714">
        <v>4.0</v>
      </c>
      <c r="L184" s="714">
        <v>3.0</v>
      </c>
      <c r="M184" s="714">
        <v>4.0</v>
      </c>
      <c r="N184" s="714">
        <v>4.0</v>
      </c>
      <c r="O184" s="714">
        <v>4.0</v>
      </c>
      <c r="P184" s="714"/>
      <c r="Q184" s="714">
        <v>4.0</v>
      </c>
    </row>
    <row r="185">
      <c r="B185" s="353"/>
      <c r="C185" s="710" t="s">
        <v>1428</v>
      </c>
      <c r="D185" s="711" t="s">
        <v>77</v>
      </c>
      <c r="E185" s="712"/>
      <c r="F185" s="68">
        <v>4.0</v>
      </c>
      <c r="G185" s="68">
        <v>2.0</v>
      </c>
      <c r="H185" s="68">
        <v>4.0</v>
      </c>
      <c r="I185" s="713" t="s">
        <v>714</v>
      </c>
      <c r="J185" s="714">
        <v>4.0</v>
      </c>
      <c r="K185" s="714">
        <v>4.0</v>
      </c>
      <c r="L185" s="714">
        <v>3.0</v>
      </c>
      <c r="M185" s="714">
        <v>4.0</v>
      </c>
      <c r="N185" s="714">
        <v>4.0</v>
      </c>
      <c r="O185" s="714">
        <v>4.0</v>
      </c>
      <c r="Q185" s="714">
        <v>4.0</v>
      </c>
    </row>
    <row r="186">
      <c r="B186" s="353"/>
      <c r="C186" s="710" t="s">
        <v>1429</v>
      </c>
      <c r="D186" s="711" t="s">
        <v>71</v>
      </c>
      <c r="E186" s="712"/>
      <c r="F186" s="68"/>
      <c r="G186" s="68"/>
      <c r="H186" s="68">
        <v>1.0</v>
      </c>
      <c r="I186" s="713" t="s">
        <v>714</v>
      </c>
      <c r="J186" s="714">
        <v>4.0</v>
      </c>
      <c r="K186" s="714">
        <v>4.0</v>
      </c>
      <c r="L186" s="714">
        <v>5.0</v>
      </c>
      <c r="M186" s="714">
        <v>4.0</v>
      </c>
      <c r="N186" s="714">
        <v>2.0</v>
      </c>
      <c r="O186" s="714">
        <v>2.0</v>
      </c>
      <c r="Q186" s="714">
        <v>4.0</v>
      </c>
    </row>
    <row r="187">
      <c r="B187" s="353"/>
      <c r="C187" s="710" t="s">
        <v>1430</v>
      </c>
      <c r="D187" s="711"/>
      <c r="E187" s="712"/>
      <c r="F187" s="68">
        <v>5.0</v>
      </c>
      <c r="G187" s="68">
        <v>4.0</v>
      </c>
      <c r="H187" s="68">
        <v>4.0</v>
      </c>
      <c r="I187" s="713" t="s">
        <v>714</v>
      </c>
      <c r="J187" s="714">
        <v>1.0</v>
      </c>
      <c r="K187" s="714">
        <v>1.0</v>
      </c>
      <c r="L187" s="714">
        <v>1.0</v>
      </c>
      <c r="M187" s="714">
        <v>1.0</v>
      </c>
      <c r="N187" s="714">
        <v>1.0</v>
      </c>
      <c r="O187" s="714">
        <v>1.0</v>
      </c>
      <c r="Q187" s="714">
        <v>3.0</v>
      </c>
    </row>
    <row r="188">
      <c r="B188" s="353"/>
      <c r="C188" s="710" t="s">
        <v>1431</v>
      </c>
      <c r="D188" s="711" t="s">
        <v>71</v>
      </c>
      <c r="E188" s="712"/>
      <c r="F188" s="68"/>
      <c r="G188" s="68"/>
      <c r="H188" s="68">
        <v>7.0</v>
      </c>
      <c r="I188" s="713" t="s">
        <v>714</v>
      </c>
      <c r="J188" s="714">
        <v>1.0</v>
      </c>
      <c r="K188" s="714">
        <v>1.0</v>
      </c>
      <c r="L188" s="714">
        <v>1.0</v>
      </c>
      <c r="M188" s="714">
        <v>2.0</v>
      </c>
      <c r="N188" s="714">
        <v>1.0</v>
      </c>
      <c r="O188" s="714">
        <v>2.0</v>
      </c>
      <c r="Q188" s="714">
        <v>1.0</v>
      </c>
    </row>
    <row r="189">
      <c r="B189" s="353"/>
      <c r="C189" s="729" t="s">
        <v>1391</v>
      </c>
      <c r="D189" s="730"/>
      <c r="E189" s="731" t="s">
        <v>1326</v>
      </c>
      <c r="F189" s="557">
        <v>1.0</v>
      </c>
      <c r="G189" s="557">
        <v>1.0</v>
      </c>
      <c r="H189" s="557">
        <v>5.0</v>
      </c>
      <c r="I189" s="732" t="s">
        <v>714</v>
      </c>
      <c r="J189" s="714">
        <v>1.0</v>
      </c>
      <c r="K189" s="714">
        <v>1.0</v>
      </c>
      <c r="L189" s="714">
        <v>1.0</v>
      </c>
      <c r="M189" s="714">
        <v>1.0</v>
      </c>
      <c r="N189" s="714">
        <v>1.0</v>
      </c>
      <c r="O189" s="714">
        <v>1.0</v>
      </c>
      <c r="Q189" s="714">
        <v>1.0</v>
      </c>
    </row>
    <row r="190">
      <c r="B190" s="641"/>
      <c r="C190" s="710" t="s">
        <v>1432</v>
      </c>
      <c r="D190" s="711"/>
      <c r="E190" s="712"/>
      <c r="F190" s="68">
        <v>2.0</v>
      </c>
      <c r="G190" s="68">
        <v>3.0</v>
      </c>
      <c r="H190" s="68">
        <v>3.0</v>
      </c>
      <c r="I190" s="713" t="s">
        <v>714</v>
      </c>
      <c r="J190" s="714">
        <v>2.0</v>
      </c>
      <c r="K190" s="714">
        <v>2.0</v>
      </c>
      <c r="L190" s="714">
        <v>2.0</v>
      </c>
      <c r="M190" s="714">
        <v>2.0</v>
      </c>
      <c r="N190" s="714">
        <v>1.0</v>
      </c>
      <c r="O190" s="714">
        <v>1.0</v>
      </c>
      <c r="Q190" s="714">
        <v>2.0</v>
      </c>
    </row>
    <row r="191">
      <c r="B191" s="353"/>
      <c r="C191" s="710" t="s">
        <v>1348</v>
      </c>
      <c r="D191" s="711"/>
      <c r="E191" s="712" t="s">
        <v>1326</v>
      </c>
      <c r="F191" s="68"/>
      <c r="G191" s="68"/>
      <c r="H191" s="68">
        <v>2.0</v>
      </c>
      <c r="I191" s="713" t="s">
        <v>714</v>
      </c>
      <c r="J191" s="714">
        <v>4.0</v>
      </c>
      <c r="K191" s="714">
        <v>4.0</v>
      </c>
      <c r="L191" s="714">
        <v>3.0</v>
      </c>
      <c r="M191" s="714">
        <v>3.0</v>
      </c>
      <c r="N191" s="714">
        <v>3.0</v>
      </c>
      <c r="O191" s="714">
        <v>3.0</v>
      </c>
      <c r="Q191" s="714">
        <v>4.0</v>
      </c>
    </row>
    <row r="192">
      <c r="B192" s="353"/>
      <c r="C192" s="710" t="s">
        <v>1433</v>
      </c>
      <c r="D192" s="711" t="s">
        <v>71</v>
      </c>
      <c r="E192" s="712"/>
      <c r="F192" s="68"/>
      <c r="G192" s="68"/>
      <c r="H192" s="68">
        <v>7.0</v>
      </c>
      <c r="I192" s="713" t="s">
        <v>714</v>
      </c>
      <c r="J192" s="714">
        <v>1.0</v>
      </c>
      <c r="K192" s="714">
        <v>1.0</v>
      </c>
      <c r="L192" s="714">
        <v>1.0</v>
      </c>
      <c r="M192" s="714">
        <v>3.0</v>
      </c>
      <c r="N192" s="714">
        <v>1.0</v>
      </c>
      <c r="O192" s="714">
        <v>2.0</v>
      </c>
      <c r="Q192" s="714">
        <v>1.0</v>
      </c>
    </row>
    <row r="193">
      <c r="B193" s="353"/>
      <c r="C193" s="710" t="s">
        <v>1434</v>
      </c>
      <c r="D193" s="711"/>
      <c r="E193" s="712"/>
      <c r="F193" s="68">
        <v>3.0</v>
      </c>
      <c r="G193" s="68">
        <v>2.0</v>
      </c>
      <c r="H193" s="68">
        <v>3.0</v>
      </c>
      <c r="I193" s="713" t="s">
        <v>714</v>
      </c>
      <c r="J193" s="714">
        <v>4.0</v>
      </c>
      <c r="K193" s="714">
        <v>4.0</v>
      </c>
      <c r="L193" s="714">
        <v>3.0</v>
      </c>
      <c r="M193" s="714">
        <v>5.0</v>
      </c>
      <c r="N193" s="714">
        <v>4.0</v>
      </c>
      <c r="O193" s="714">
        <v>4.0</v>
      </c>
      <c r="Q193" s="714">
        <v>4.0</v>
      </c>
    </row>
    <row r="194">
      <c r="B194" s="353"/>
      <c r="C194" s="710" t="s">
        <v>1435</v>
      </c>
      <c r="D194" s="711" t="s">
        <v>71</v>
      </c>
      <c r="E194" s="712"/>
      <c r="F194" s="68"/>
      <c r="G194" s="68"/>
      <c r="H194" s="68">
        <v>4.0</v>
      </c>
      <c r="I194" s="713" t="s">
        <v>714</v>
      </c>
      <c r="J194" s="714">
        <v>2.0</v>
      </c>
      <c r="K194" s="714">
        <v>2.0</v>
      </c>
      <c r="L194" s="714">
        <v>4.0</v>
      </c>
      <c r="M194" s="714">
        <v>3.0</v>
      </c>
      <c r="N194" s="714">
        <v>1.0</v>
      </c>
      <c r="O194" s="714">
        <v>4.0</v>
      </c>
      <c r="Q194" s="714">
        <v>3.0</v>
      </c>
    </row>
    <row r="195">
      <c r="B195" s="353"/>
      <c r="C195" s="729" t="s">
        <v>1396</v>
      </c>
      <c r="D195" s="730" t="s">
        <v>71</v>
      </c>
      <c r="E195" s="731" t="s">
        <v>1326</v>
      </c>
      <c r="F195" s="557"/>
      <c r="G195" s="557"/>
      <c r="H195" s="557">
        <v>1.0</v>
      </c>
      <c r="I195" s="732" t="s">
        <v>714</v>
      </c>
      <c r="J195" s="714">
        <v>4.0</v>
      </c>
      <c r="K195" s="714">
        <v>4.0</v>
      </c>
      <c r="L195" s="714">
        <v>4.0</v>
      </c>
      <c r="M195" s="714">
        <v>4.0</v>
      </c>
      <c r="N195" s="714">
        <v>3.0</v>
      </c>
      <c r="O195" s="714">
        <v>5.0</v>
      </c>
      <c r="Q195" s="714">
        <v>5.0</v>
      </c>
    </row>
    <row r="196">
      <c r="B196" s="634"/>
      <c r="C196" s="733" t="s">
        <v>1350</v>
      </c>
      <c r="D196" s="711"/>
      <c r="E196" s="712" t="s">
        <v>1326</v>
      </c>
      <c r="F196" s="68"/>
      <c r="G196" s="68"/>
      <c r="H196" s="68">
        <v>1.0</v>
      </c>
      <c r="I196" s="713" t="s">
        <v>714</v>
      </c>
      <c r="J196" s="714">
        <v>2.0</v>
      </c>
      <c r="K196" s="714">
        <v>1.0</v>
      </c>
      <c r="L196" s="714">
        <v>1.0</v>
      </c>
      <c r="M196" s="714">
        <v>1.0</v>
      </c>
      <c r="N196" s="714">
        <v>1.0</v>
      </c>
      <c r="O196" s="714">
        <v>1.0</v>
      </c>
      <c r="Q196" s="714">
        <v>2.0</v>
      </c>
    </row>
    <row r="197">
      <c r="B197" s="353"/>
      <c r="C197" s="733" t="s">
        <v>1436</v>
      </c>
      <c r="D197" s="711"/>
      <c r="E197" s="712"/>
      <c r="F197" s="68">
        <v>10.0</v>
      </c>
      <c r="G197" s="68">
        <v>10.0</v>
      </c>
      <c r="H197" s="68">
        <v>9.0</v>
      </c>
      <c r="I197" s="713" t="s">
        <v>714</v>
      </c>
      <c r="J197" s="714">
        <v>1.0</v>
      </c>
      <c r="K197" s="714">
        <v>1.0</v>
      </c>
      <c r="L197" s="714">
        <v>1.0</v>
      </c>
      <c r="M197" s="714">
        <v>1.0</v>
      </c>
      <c r="N197" s="714">
        <v>1.0</v>
      </c>
      <c r="O197" s="714">
        <v>1.0</v>
      </c>
      <c r="Q197" s="714">
        <v>1.0</v>
      </c>
    </row>
    <row r="198">
      <c r="B198" s="355"/>
      <c r="C198" s="735" t="s">
        <v>1397</v>
      </c>
      <c r="D198" s="730" t="s">
        <v>77</v>
      </c>
      <c r="E198" s="731" t="s">
        <v>1326</v>
      </c>
      <c r="F198" s="557">
        <v>1.0</v>
      </c>
      <c r="G198" s="557">
        <v>4.0</v>
      </c>
      <c r="H198" s="557">
        <v>1.0</v>
      </c>
      <c r="I198" s="732" t="s">
        <v>714</v>
      </c>
      <c r="J198" s="714">
        <v>2.0</v>
      </c>
      <c r="K198" s="714">
        <v>3.0</v>
      </c>
      <c r="L198" s="714">
        <v>4.0</v>
      </c>
      <c r="M198" s="714">
        <v>3.0</v>
      </c>
      <c r="N198" s="714">
        <v>2.0</v>
      </c>
      <c r="O198" s="714">
        <v>2.0</v>
      </c>
      <c r="Q198" s="714">
        <v>2.0</v>
      </c>
    </row>
    <row r="199">
      <c r="B199" s="635"/>
      <c r="C199" s="733" t="s">
        <v>1399</v>
      </c>
      <c r="D199" s="711"/>
      <c r="E199" s="712" t="s">
        <v>1326</v>
      </c>
      <c r="F199" s="68">
        <v>2.0</v>
      </c>
      <c r="G199" s="68">
        <v>4.0</v>
      </c>
      <c r="H199" s="68">
        <v>3.0</v>
      </c>
      <c r="I199" s="713" t="s">
        <v>714</v>
      </c>
      <c r="J199" s="714">
        <v>5.0</v>
      </c>
      <c r="K199" s="714">
        <v>2.0</v>
      </c>
      <c r="L199" s="714">
        <v>3.0</v>
      </c>
      <c r="M199" s="714">
        <v>3.0</v>
      </c>
      <c r="N199" s="714">
        <v>4.0</v>
      </c>
      <c r="O199" s="714">
        <v>2.0</v>
      </c>
      <c r="Q199" s="714">
        <v>4.0</v>
      </c>
    </row>
    <row r="200">
      <c r="B200" s="353"/>
      <c r="C200" s="733" t="s">
        <v>1353</v>
      </c>
      <c r="D200" s="711"/>
      <c r="E200" s="712" t="s">
        <v>1326</v>
      </c>
      <c r="F200" s="68">
        <v>5.0</v>
      </c>
      <c r="G200" s="68">
        <v>5.0</v>
      </c>
      <c r="H200" s="68">
        <v>7.0</v>
      </c>
      <c r="I200" s="713" t="s">
        <v>714</v>
      </c>
      <c r="J200" s="738">
        <v>4.0</v>
      </c>
      <c r="K200" s="772">
        <v>4.0</v>
      </c>
      <c r="L200" s="772">
        <v>2.0</v>
      </c>
      <c r="M200" s="772">
        <v>2.0</v>
      </c>
      <c r="N200" s="772">
        <v>2.0</v>
      </c>
      <c r="O200" s="772">
        <v>3.0</v>
      </c>
      <c r="P200" s="714"/>
      <c r="Q200" s="772">
        <v>4.0</v>
      </c>
    </row>
    <row r="201">
      <c r="B201" s="355"/>
      <c r="C201" s="735" t="s">
        <v>1437</v>
      </c>
      <c r="D201" s="730"/>
      <c r="E201" s="731"/>
      <c r="F201" s="557">
        <v>4.0</v>
      </c>
      <c r="G201" s="557">
        <v>3.0</v>
      </c>
      <c r="H201" s="557">
        <v>4.0</v>
      </c>
      <c r="I201" s="732" t="s">
        <v>714</v>
      </c>
      <c r="J201" s="775">
        <v>4.0</v>
      </c>
      <c r="K201" s="776">
        <v>2.0</v>
      </c>
      <c r="L201" s="776">
        <v>4.0</v>
      </c>
      <c r="M201" s="776">
        <v>4.0</v>
      </c>
      <c r="N201" s="776">
        <v>4.0</v>
      </c>
      <c r="O201" s="776">
        <v>4.0</v>
      </c>
      <c r="P201" s="714"/>
      <c r="Q201" s="776">
        <v>2.0</v>
      </c>
    </row>
    <row r="202">
      <c r="A202" s="332"/>
      <c r="B202" s="332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714"/>
      <c r="Q202" s="333"/>
      <c r="R202" s="328"/>
    </row>
    <row r="203">
      <c r="A203" s="716"/>
      <c r="B203" s="609"/>
      <c r="C203" s="740"/>
      <c r="D203" s="741"/>
      <c r="E203" s="742"/>
      <c r="F203" s="743"/>
      <c r="G203" s="743"/>
      <c r="H203" s="743"/>
      <c r="I203" s="744"/>
      <c r="J203" s="745" t="s">
        <v>2</v>
      </c>
      <c r="K203" s="745" t="s">
        <v>426</v>
      </c>
      <c r="L203" s="745" t="s">
        <v>1</v>
      </c>
      <c r="M203" s="701" t="s">
        <v>4</v>
      </c>
      <c r="N203" s="745" t="s">
        <v>208</v>
      </c>
      <c r="O203" s="745" t="s">
        <v>3</v>
      </c>
      <c r="P203" s="714"/>
      <c r="Q203" s="701" t="s">
        <v>210</v>
      </c>
      <c r="R203" s="328"/>
    </row>
    <row r="204" ht="9.0" customHeight="1">
      <c r="A204" s="746"/>
      <c r="B204" s="332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714"/>
      <c r="Q204" s="333"/>
      <c r="R204" s="328"/>
    </row>
    <row r="205">
      <c r="A205" s="328"/>
      <c r="B205" s="307"/>
      <c r="C205" s="307"/>
      <c r="D205" s="747"/>
      <c r="E205" s="748"/>
      <c r="F205" s="749"/>
      <c r="G205" s="749"/>
      <c r="H205" s="750" t="s">
        <v>204</v>
      </c>
      <c r="I205" s="751"/>
      <c r="J205" s="752">
        <f t="shared" ref="J205:M205" si="1">AVERAGE(J6:J24,J26:J36,J39:J52,J55:J68,J71:J84,J87:J100,J103:J116,J119:J132,J135:J148,J151:J164,J167:J180,J183:J201)</f>
        <v>2.525714286</v>
      </c>
      <c r="K205" s="752">
        <f t="shared" si="1"/>
        <v>2.528735632</v>
      </c>
      <c r="L205" s="752">
        <f t="shared" si="1"/>
        <v>2.285714286</v>
      </c>
      <c r="M205" s="752">
        <f t="shared" si="1"/>
        <v>2.685714286</v>
      </c>
      <c r="N205" s="752">
        <f>AVERAGE(N6:N24,N26:N36,N39:N52,N55:N68,N71:N84,N87:N100,N103:N116,N119:N132,N136:N148,N151:N164,N167:N180,N183:N201)</f>
        <v>2.362068966</v>
      </c>
      <c r="O205" s="752">
        <f>AVERAGE(O6:O24,O26:O36,O39:O52,O55:O68,O71:O84,O87:O100,O103:O116,O119:O132,O135:O148,O151:O164,O167:O180,O183:O201)</f>
        <v>2.6</v>
      </c>
      <c r="P205" s="714"/>
      <c r="Q205" s="752">
        <f>AVERAGE(Q6:Q24,Q26:Q36,Q39:Q52,Q55:Q68,Q71:Q84,Q87:Q100,Q103:Q116,Q119:Q132,Q135:Q148,Q151:Q164,Q167:Q180,Q183:Q201)</f>
        <v>2.462857143</v>
      </c>
      <c r="R205" s="328"/>
    </row>
    <row r="206" ht="9.0" customHeight="1">
      <c r="A206" s="328"/>
      <c r="B206" s="301"/>
      <c r="C206" s="301"/>
      <c r="D206" s="753"/>
      <c r="E206" s="754"/>
      <c r="F206" s="755"/>
      <c r="G206" s="755"/>
      <c r="H206" s="314"/>
      <c r="I206" s="319"/>
      <c r="J206" s="757"/>
      <c r="K206" s="757"/>
      <c r="L206" s="757"/>
      <c r="M206" s="756"/>
      <c r="N206" s="757"/>
      <c r="O206" s="757"/>
      <c r="P206" s="714"/>
      <c r="Q206" s="756"/>
      <c r="R206" s="328"/>
    </row>
    <row r="207">
      <c r="A207" s="328"/>
      <c r="B207" s="609"/>
      <c r="C207" s="740"/>
      <c r="D207" s="758"/>
      <c r="E207" s="759"/>
      <c r="F207" s="760"/>
      <c r="G207" s="743"/>
      <c r="H207" s="761" t="s">
        <v>206</v>
      </c>
      <c r="I207" s="744"/>
      <c r="J207" s="745"/>
      <c r="K207" s="745"/>
      <c r="L207" s="745"/>
      <c r="M207" s="701"/>
      <c r="N207" s="745"/>
      <c r="O207" s="745"/>
      <c r="P207" s="714"/>
      <c r="Q207" s="701"/>
      <c r="R207" s="328"/>
    </row>
    <row r="208">
      <c r="A208" s="328"/>
      <c r="B208" s="328"/>
      <c r="C208" s="323"/>
      <c r="F208" s="17"/>
      <c r="G208" s="750"/>
      <c r="H208" s="750">
        <v>1.0</v>
      </c>
      <c r="I208" s="323"/>
      <c r="J208" s="750">
        <f t="shared" ref="J208:O208" si="2">COUNTIF(J6:J201,$H$208)</f>
        <v>48</v>
      </c>
      <c r="K208" s="750">
        <f t="shared" si="2"/>
        <v>41</v>
      </c>
      <c r="L208" s="750">
        <f t="shared" si="2"/>
        <v>77</v>
      </c>
      <c r="M208" s="750">
        <f t="shared" si="2"/>
        <v>32</v>
      </c>
      <c r="N208" s="750">
        <f t="shared" si="2"/>
        <v>67</v>
      </c>
      <c r="O208" s="750">
        <f t="shared" si="2"/>
        <v>40</v>
      </c>
      <c r="P208" s="714"/>
      <c r="Q208" s="750">
        <f>COUNTIF(Q6:Q201,$H$208)</f>
        <v>46</v>
      </c>
      <c r="R208" s="328"/>
    </row>
    <row r="209">
      <c r="A209" s="328"/>
      <c r="B209" s="328"/>
      <c r="C209" s="323"/>
      <c r="F209" s="17"/>
      <c r="G209" s="750"/>
      <c r="H209" s="750">
        <v>2.0</v>
      </c>
      <c r="I209" s="323"/>
      <c r="J209" s="750">
        <f t="shared" ref="J209:O209" si="3">COUNTIF(J7:J202,$H$209)</f>
        <v>45</v>
      </c>
      <c r="K209" s="750">
        <f t="shared" si="3"/>
        <v>58</v>
      </c>
      <c r="L209" s="750">
        <f t="shared" si="3"/>
        <v>27</v>
      </c>
      <c r="M209" s="750">
        <f t="shared" si="3"/>
        <v>46</v>
      </c>
      <c r="N209" s="750">
        <f t="shared" si="3"/>
        <v>36</v>
      </c>
      <c r="O209" s="750">
        <f t="shared" si="3"/>
        <v>49</v>
      </c>
      <c r="P209" s="714"/>
      <c r="Q209" s="750">
        <f>COUNTIF(Q7:Q202,$H$209)</f>
        <v>59</v>
      </c>
      <c r="R209" s="328"/>
    </row>
    <row r="210">
      <c r="A210" s="328"/>
      <c r="B210" s="328"/>
      <c r="C210" s="323"/>
      <c r="F210" s="17"/>
      <c r="G210" s="750"/>
      <c r="H210" s="762">
        <v>3.0</v>
      </c>
      <c r="I210" s="763"/>
      <c r="J210" s="762">
        <f t="shared" ref="J210:O210" si="4">COUNTIF(J8:J203,$H$210)</f>
        <v>36</v>
      </c>
      <c r="K210" s="762">
        <f t="shared" si="4"/>
        <v>24</v>
      </c>
      <c r="L210" s="762">
        <f t="shared" si="4"/>
        <v>28</v>
      </c>
      <c r="M210" s="762">
        <f t="shared" si="4"/>
        <v>48</v>
      </c>
      <c r="N210" s="762">
        <f t="shared" si="4"/>
        <v>28</v>
      </c>
      <c r="O210" s="762">
        <f t="shared" si="4"/>
        <v>36</v>
      </c>
      <c r="P210" s="714"/>
      <c r="Q210" s="762">
        <f>COUNTIF(Q8:Q203,$H$210)</f>
        <v>20</v>
      </c>
      <c r="R210" s="328"/>
    </row>
    <row r="211">
      <c r="A211" s="328"/>
      <c r="B211" s="328"/>
      <c r="C211" s="323"/>
      <c r="F211" s="17"/>
      <c r="G211" s="750"/>
      <c r="H211" s="750">
        <v>4.0</v>
      </c>
      <c r="I211" s="323"/>
      <c r="J211" s="750">
        <f t="shared" ref="J211:O211" si="5">COUNTIF(J9:J205,$H$211)</f>
        <v>34</v>
      </c>
      <c r="K211" s="750">
        <f t="shared" si="5"/>
        <v>44</v>
      </c>
      <c r="L211" s="750">
        <f t="shared" si="5"/>
        <v>27</v>
      </c>
      <c r="M211" s="750">
        <f t="shared" si="5"/>
        <v>40</v>
      </c>
      <c r="N211" s="750">
        <f t="shared" si="5"/>
        <v>29</v>
      </c>
      <c r="O211" s="750">
        <f t="shared" si="5"/>
        <v>38</v>
      </c>
      <c r="P211" s="714"/>
      <c r="Q211" s="750">
        <f>COUNTIF(Q9:Q205,$H$211)</f>
        <v>43</v>
      </c>
      <c r="R211" s="328"/>
    </row>
    <row r="212">
      <c r="A212" s="328"/>
      <c r="B212" s="328"/>
      <c r="C212" s="323"/>
      <c r="F212" s="17"/>
      <c r="G212" s="750"/>
      <c r="H212" s="762">
        <v>5.0</v>
      </c>
      <c r="I212" s="763"/>
      <c r="J212" s="762">
        <f t="shared" ref="J212:O212" si="6">COUNTIF(J10:J207,$H$212)</f>
        <v>12</v>
      </c>
      <c r="K212" s="762">
        <f t="shared" si="6"/>
        <v>7</v>
      </c>
      <c r="L212" s="762">
        <f t="shared" si="6"/>
        <v>15</v>
      </c>
      <c r="M212" s="762">
        <f t="shared" si="6"/>
        <v>8</v>
      </c>
      <c r="N212" s="762">
        <f t="shared" si="6"/>
        <v>15</v>
      </c>
      <c r="O212" s="762">
        <f t="shared" si="6"/>
        <v>11</v>
      </c>
      <c r="P212" s="762">
        <f>COUNTIF(P10:P198,$H$212)</f>
        <v>14</v>
      </c>
      <c r="Q212" s="762">
        <f>COUNTIF(Q10:Q207,$H$212)</f>
        <v>7</v>
      </c>
      <c r="R212" s="328"/>
    </row>
    <row r="213">
      <c r="A213" s="332"/>
      <c r="B213" s="332"/>
      <c r="C213" s="333"/>
      <c r="D213" s="334"/>
      <c r="E213" s="334"/>
      <c r="F213" s="287"/>
      <c r="G213" s="333"/>
      <c r="H213" s="333"/>
      <c r="I213" s="333"/>
      <c r="J213" s="333"/>
      <c r="K213" s="333"/>
      <c r="L213" s="333"/>
      <c r="M213" s="333"/>
      <c r="N213" s="333"/>
      <c r="O213" s="333"/>
      <c r="P213" s="333"/>
      <c r="Q213" s="333"/>
      <c r="R213" s="328"/>
    </row>
  </sheetData>
  <mergeCells count="67">
    <mergeCell ref="B175:B177"/>
    <mergeCell ref="B178:B180"/>
    <mergeCell ref="C181:I181"/>
    <mergeCell ref="R183:R201"/>
    <mergeCell ref="B190:B195"/>
    <mergeCell ref="B196:B198"/>
    <mergeCell ref="B199:B201"/>
    <mergeCell ref="B171:B174"/>
    <mergeCell ref="B183:B189"/>
    <mergeCell ref="D207:F213"/>
    <mergeCell ref="B146:B148"/>
    <mergeCell ref="B151:B154"/>
    <mergeCell ref="B155:B158"/>
    <mergeCell ref="B159:B161"/>
    <mergeCell ref="B162:B164"/>
    <mergeCell ref="B167:B170"/>
    <mergeCell ref="A183:A201"/>
    <mergeCell ref="K1:K3"/>
    <mergeCell ref="L1:L3"/>
    <mergeCell ref="M1:M3"/>
    <mergeCell ref="N1:N3"/>
    <mergeCell ref="O1:O3"/>
    <mergeCell ref="P1:P3"/>
    <mergeCell ref="Q1:Q3"/>
    <mergeCell ref="J1:J3"/>
    <mergeCell ref="A2:F2"/>
    <mergeCell ref="C4:I4"/>
    <mergeCell ref="B6:B24"/>
    <mergeCell ref="B26:B28"/>
    <mergeCell ref="B29:B31"/>
    <mergeCell ref="C37:I37"/>
    <mergeCell ref="B32:B36"/>
    <mergeCell ref="B39:B42"/>
    <mergeCell ref="B43:B46"/>
    <mergeCell ref="B47:B49"/>
    <mergeCell ref="B50:B52"/>
    <mergeCell ref="C53:I53"/>
    <mergeCell ref="B55:B58"/>
    <mergeCell ref="B59:B62"/>
    <mergeCell ref="B63:B65"/>
    <mergeCell ref="B66:B68"/>
    <mergeCell ref="C69:I69"/>
    <mergeCell ref="B71:B74"/>
    <mergeCell ref="B75:B78"/>
    <mergeCell ref="B79:B81"/>
    <mergeCell ref="B82:B84"/>
    <mergeCell ref="C85:I85"/>
    <mergeCell ref="B87:B90"/>
    <mergeCell ref="B91:B94"/>
    <mergeCell ref="B95:B97"/>
    <mergeCell ref="B98:B100"/>
    <mergeCell ref="C101:I101"/>
    <mergeCell ref="B103:B106"/>
    <mergeCell ref="B107:B110"/>
    <mergeCell ref="B111:B113"/>
    <mergeCell ref="B114:B116"/>
    <mergeCell ref="C117:I117"/>
    <mergeCell ref="B119:B122"/>
    <mergeCell ref="B123:B126"/>
    <mergeCell ref="B127:B129"/>
    <mergeCell ref="B130:B132"/>
    <mergeCell ref="C133:I133"/>
    <mergeCell ref="B135:B138"/>
    <mergeCell ref="B139:B142"/>
    <mergeCell ref="B143:B145"/>
    <mergeCell ref="C149:I149"/>
    <mergeCell ref="C165:I165"/>
  </mergeCells>
  <conditionalFormatting sqref="J6:Q24 J26:Q36 J39:Q52 J55:Q68 J71:Q84 J87:O100 P87 Q87:Q100 P89:P100 J103:Q116 J119:O132 P119:P120 Q119:Q132 P123:P132 J135:O148 P135 Q135:Q148 P139:P148 J151:Q164 J167:Q180 J183:O201 P183:P184 Q183:Q201 P200:P211">
    <cfRule type="cellIs" dxfId="0" priority="1" operator="equal">
      <formula>1</formula>
    </cfRule>
  </conditionalFormatting>
  <conditionalFormatting sqref="J6:Q24 J26:Q36 J39:Q52 J55:Q68 J71:Q84 J87:O100 P87 Q87:Q100 P89:P100 J103:Q116 J119:O132 P119:P120 Q119:Q132 P123:P132 J135:O148 P135 Q135:Q148 P139:P148 J151:Q164 J167:Q180 J183:O201 P183:P184 Q183:Q201 P200:P211">
    <cfRule type="cellIs" dxfId="1" priority="2" operator="equal">
      <formula>2</formula>
    </cfRule>
  </conditionalFormatting>
  <conditionalFormatting sqref="J6:Q24 J26:Q36 J39:Q52 J55:Q68 J71:Q84 J87:O100 P87 Q87:Q100 P89:P100 J103:Q116 J119:O132 P119:P120 Q119:Q132 P123:P132 J135:O148 P135 Q135:Q148 P139:P148 J151:Q164 J167:Q180 J183:O201 P183:P184 Q183:Q201 P200:P211">
    <cfRule type="cellIs" dxfId="2" priority="3" operator="equal">
      <formula>5</formula>
    </cfRule>
  </conditionalFormatting>
  <conditionalFormatting sqref="J6:Q24 J26:Q36 J39:Q52 J55:Q68 J71:Q84 J87:O100 P87 Q87:Q100 P89:P100 J103:Q116 J119:O132 P119:P120 Q119:Q132 P123:P132 J135:O148 P135 Q135:Q148 P139:P148 J151:Q164 J167:Q180 J183:O201 P183:P184 Q183:Q201 P200:P211">
    <cfRule type="cellIs" dxfId="3" priority="4" operator="equal">
      <formula>3</formula>
    </cfRule>
  </conditionalFormatting>
  <conditionalFormatting sqref="J6:Q24 J26:Q36 J39:Q52 J55:Q68 J71:Q84 J87:O100 P87 Q87:Q100 P89:P100 J103:Q116 J119:O132 P119:P120 Q119:Q132 P123:P132 J135:O148 P135 Q135:Q148 P139:P148 J151:Q164 J167:Q180 J183:O201 P183:P184 Q183:Q201 P200:P211">
    <cfRule type="cellIs" dxfId="4" priority="5" operator="equal">
      <formula>4</formula>
    </cfRule>
  </conditionalFormatting>
  <conditionalFormatting sqref="A1 R1 A202 R202:R213 A206:A213">
    <cfRule type="notContainsBlanks" dxfId="5" priority="6">
      <formula>LEN(TRIM(A1))&gt;0</formula>
    </cfRule>
  </conditionalFormatting>
  <conditionalFormatting sqref="M146">
    <cfRule type="notContainsBlanks" dxfId="5" priority="7">
      <formula>LEN(TRIM(M146))&gt;0</formula>
    </cfRule>
  </conditionalFormatting>
  <hyperlinks>
    <hyperlink r:id="rId1" ref="D1"/>
    <hyperlink r:id="rId2" ref="A2"/>
    <hyperlink r:id="rId3" ref="G2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  <hyperlink r:id="rId44" ref="I49"/>
    <hyperlink r:id="rId45" ref="I50"/>
    <hyperlink r:id="rId46" ref="I51"/>
    <hyperlink r:id="rId47" ref="I52"/>
    <hyperlink r:id="rId48" ref="I55"/>
    <hyperlink r:id="rId49" ref="I56"/>
    <hyperlink r:id="rId50" ref="I57"/>
    <hyperlink r:id="rId51" ref="I58"/>
    <hyperlink r:id="rId52" ref="I59"/>
    <hyperlink r:id="rId53" ref="I60"/>
    <hyperlink r:id="rId54" ref="I61"/>
    <hyperlink r:id="rId55" ref="I62"/>
    <hyperlink r:id="rId56" ref="I63"/>
    <hyperlink r:id="rId57" ref="I64"/>
    <hyperlink r:id="rId58" ref="I65"/>
    <hyperlink r:id="rId59" ref="I66"/>
    <hyperlink r:id="rId60" ref="I67"/>
    <hyperlink r:id="rId61" ref="I68"/>
    <hyperlink r:id="rId62" ref="I71"/>
    <hyperlink r:id="rId63" ref="I72"/>
    <hyperlink r:id="rId64" ref="I73"/>
    <hyperlink r:id="rId65" ref="I74"/>
    <hyperlink r:id="rId66" ref="I75"/>
    <hyperlink r:id="rId67" ref="I76"/>
    <hyperlink r:id="rId68" ref="I77"/>
    <hyperlink r:id="rId69" ref="I78"/>
    <hyperlink r:id="rId70" ref="I79"/>
    <hyperlink r:id="rId71" ref="I80"/>
    <hyperlink r:id="rId72" ref="I81"/>
    <hyperlink r:id="rId73" ref="I82"/>
    <hyperlink r:id="rId74" ref="I83"/>
    <hyperlink r:id="rId75" ref="I84"/>
    <hyperlink r:id="rId76" ref="I87"/>
    <hyperlink r:id="rId77" ref="I88"/>
    <hyperlink r:id="rId78" ref="I89"/>
    <hyperlink r:id="rId79" ref="I90"/>
    <hyperlink r:id="rId80" ref="I91"/>
    <hyperlink r:id="rId81" ref="I92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  <hyperlink r:id="rId98" ref="I111"/>
    <hyperlink r:id="rId99" ref="I112"/>
    <hyperlink r:id="rId100" ref="I113"/>
    <hyperlink r:id="rId101" ref="I114"/>
    <hyperlink r:id="rId102" ref="I115"/>
    <hyperlink r:id="rId103" ref="I116"/>
    <hyperlink r:id="rId104" ref="I119"/>
    <hyperlink r:id="rId105" ref="I120"/>
    <hyperlink r:id="rId106" ref="I121"/>
    <hyperlink r:id="rId107" ref="I122"/>
    <hyperlink r:id="rId108" ref="I123"/>
    <hyperlink r:id="rId109" ref="I124"/>
    <hyperlink r:id="rId110" ref="I125"/>
    <hyperlink r:id="rId111" ref="I126"/>
    <hyperlink r:id="rId112" ref="I127"/>
    <hyperlink r:id="rId113" ref="I128"/>
    <hyperlink r:id="rId114" ref="I129"/>
    <hyperlink r:id="rId115" ref="I130"/>
    <hyperlink r:id="rId116" ref="I131"/>
    <hyperlink r:id="rId117" ref="I132"/>
    <hyperlink r:id="rId118" ref="I135"/>
    <hyperlink r:id="rId119" ref="I136"/>
    <hyperlink r:id="rId120" ref="I137"/>
    <hyperlink r:id="rId121" ref="I138"/>
    <hyperlink r:id="rId122" ref="I139"/>
    <hyperlink r:id="rId123" ref="I140"/>
    <hyperlink r:id="rId124" ref="I141"/>
    <hyperlink r:id="rId125" ref="I142"/>
    <hyperlink r:id="rId126" ref="I143"/>
    <hyperlink r:id="rId127" ref="I144"/>
    <hyperlink r:id="rId128" ref="I145"/>
    <hyperlink r:id="rId129" ref="I146"/>
    <hyperlink r:id="rId130" ref="I147"/>
    <hyperlink r:id="rId131" ref="I148"/>
    <hyperlink r:id="rId132" ref="I151"/>
    <hyperlink r:id="rId133" ref="I152"/>
    <hyperlink r:id="rId134" ref="I153"/>
    <hyperlink r:id="rId135" ref="I154"/>
    <hyperlink r:id="rId136" ref="I155"/>
    <hyperlink r:id="rId137" ref="I156"/>
    <hyperlink r:id="rId138" ref="I157"/>
    <hyperlink r:id="rId139" ref="I158"/>
    <hyperlink r:id="rId140" ref="I159"/>
    <hyperlink r:id="rId141" ref="I160"/>
    <hyperlink r:id="rId142" ref="I161"/>
    <hyperlink r:id="rId143" ref="I162"/>
    <hyperlink r:id="rId144" ref="I163"/>
    <hyperlink r:id="rId145" ref="I164"/>
    <hyperlink r:id="rId146" ref="I167"/>
    <hyperlink r:id="rId147" ref="I168"/>
    <hyperlink r:id="rId148" ref="I169"/>
    <hyperlink r:id="rId149" ref="I170"/>
    <hyperlink r:id="rId150" ref="I171"/>
    <hyperlink r:id="rId151" ref="I172"/>
    <hyperlink r:id="rId152" ref="I173"/>
    <hyperlink r:id="rId153" ref="I174"/>
    <hyperlink r:id="rId154" ref="I175"/>
    <hyperlink r:id="rId155" ref="I176"/>
    <hyperlink r:id="rId156" ref="I177"/>
    <hyperlink r:id="rId157" ref="I178"/>
    <hyperlink r:id="rId158" ref="I179"/>
    <hyperlink r:id="rId159" ref="I180"/>
    <hyperlink r:id="rId160" ref="I183"/>
    <hyperlink r:id="rId161" ref="I184"/>
    <hyperlink r:id="rId162" ref="I185"/>
    <hyperlink r:id="rId163" ref="I186"/>
    <hyperlink r:id="rId164" ref="I187"/>
    <hyperlink r:id="rId165" ref="I188"/>
    <hyperlink r:id="rId166" ref="I189"/>
    <hyperlink r:id="rId167" ref="I190"/>
    <hyperlink r:id="rId168" ref="I191"/>
    <hyperlink r:id="rId169" ref="I192"/>
    <hyperlink r:id="rId170" ref="I193"/>
    <hyperlink r:id="rId171" ref="I194"/>
    <hyperlink r:id="rId172" ref="I195"/>
    <hyperlink r:id="rId173" ref="I196"/>
    <hyperlink r:id="rId174" ref="I197"/>
    <hyperlink r:id="rId175" ref="I198"/>
    <hyperlink r:id="rId176" ref="I199"/>
    <hyperlink r:id="rId177" ref="I200"/>
    <hyperlink r:id="rId178" ref="I201"/>
  </hyperlinks>
  <drawing r:id="rId179"/>
</worksheet>
</file>