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OIE\PRAPS\2024\PNS Garba\"/>
    </mc:Choice>
  </mc:AlternateContent>
  <xr:revisionPtr revIDLastSave="0" documentId="13_ncr:1_{B718DE2C-562A-4083-8861-4781AD74E3B0}" xr6:coauthVersionLast="47" xr6:coauthVersionMax="47" xr10:uidLastSave="{00000000-0000-0000-0000-000000000000}"/>
  <bookViews>
    <workbookView xWindow="-108" yWindow="-108" windowWidth="23256" windowHeight="12456" activeTab="5" xr2:uid="{01293602-780A-4BC2-95E6-F928DAAAFC2B}"/>
  </bookViews>
  <sheets>
    <sheet name="Instructions" sheetId="6" r:id="rId1"/>
    <sheet name="InfosCheptel" sheetId="5" r:id="rId2"/>
    <sheet name="Modele PPR" sheetId="3" r:id="rId3"/>
    <sheet name="Troupeau" sheetId="1" r:id="rId4"/>
    <sheet name="Calcul immunité" sheetId="2" r:id="rId5"/>
    <sheet name="BD budgetaire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1" i="4" l="1"/>
  <c r="C4" i="2"/>
  <c r="J46" i="4"/>
  <c r="K46" i="4"/>
  <c r="L46" i="4"/>
  <c r="M46" i="4"/>
  <c r="N46" i="4"/>
  <c r="O46" i="4"/>
  <c r="P46" i="4"/>
  <c r="I46" i="4"/>
  <c r="H46" i="4"/>
  <c r="X46" i="4" s="1"/>
  <c r="S50" i="4"/>
  <c r="T50" i="4"/>
  <c r="U50" i="4"/>
  <c r="V50" i="4"/>
  <c r="W50" i="4"/>
  <c r="X50" i="4"/>
  <c r="Y50" i="4"/>
  <c r="R50" i="4"/>
  <c r="S49" i="4"/>
  <c r="T49" i="4"/>
  <c r="U49" i="4"/>
  <c r="V49" i="4"/>
  <c r="W49" i="4"/>
  <c r="X49" i="4"/>
  <c r="Y49" i="4"/>
  <c r="R49" i="4"/>
  <c r="J50" i="4"/>
  <c r="K50" i="4"/>
  <c r="L50" i="4"/>
  <c r="M50" i="4"/>
  <c r="N50" i="4"/>
  <c r="O50" i="4"/>
  <c r="P50" i="4"/>
  <c r="J49" i="4"/>
  <c r="K49" i="4"/>
  <c r="Q49" i="4" s="1"/>
  <c r="L49" i="4"/>
  <c r="M49" i="4"/>
  <c r="N49" i="4"/>
  <c r="O49" i="4"/>
  <c r="P49" i="4"/>
  <c r="I50" i="4"/>
  <c r="I49" i="4"/>
  <c r="H50" i="4"/>
  <c r="H49" i="4"/>
  <c r="Y100" i="4"/>
  <c r="X100" i="4"/>
  <c r="W100" i="4"/>
  <c r="V100" i="4"/>
  <c r="U100" i="4"/>
  <c r="T100" i="4"/>
  <c r="S100" i="4"/>
  <c r="R100" i="4"/>
  <c r="Z100" i="4" s="1"/>
  <c r="Q100" i="4"/>
  <c r="Y99" i="4"/>
  <c r="X99" i="4"/>
  <c r="W99" i="4"/>
  <c r="V99" i="4"/>
  <c r="U99" i="4"/>
  <c r="T99" i="4"/>
  <c r="Z99" i="4" s="1"/>
  <c r="S99" i="4"/>
  <c r="R99" i="4"/>
  <c r="Q99" i="4"/>
  <c r="Y98" i="4"/>
  <c r="Z98" i="4" s="1"/>
  <c r="X98" i="4"/>
  <c r="W98" i="4"/>
  <c r="V98" i="4"/>
  <c r="U98" i="4"/>
  <c r="T98" i="4"/>
  <c r="S98" i="4"/>
  <c r="R98" i="4"/>
  <c r="Q98" i="4"/>
  <c r="Y97" i="4"/>
  <c r="X97" i="4"/>
  <c r="W97" i="4"/>
  <c r="Z97" i="4" s="1"/>
  <c r="V97" i="4"/>
  <c r="U97" i="4"/>
  <c r="T97" i="4"/>
  <c r="S97" i="4"/>
  <c r="R97" i="4"/>
  <c r="Q97" i="4"/>
  <c r="Y96" i="4"/>
  <c r="X96" i="4"/>
  <c r="W96" i="4"/>
  <c r="V96" i="4"/>
  <c r="U96" i="4"/>
  <c r="Z96" i="4" s="1"/>
  <c r="T96" i="4"/>
  <c r="S96" i="4"/>
  <c r="R96" i="4"/>
  <c r="Q96" i="4"/>
  <c r="Y95" i="4"/>
  <c r="X95" i="4"/>
  <c r="W95" i="4"/>
  <c r="V95" i="4"/>
  <c r="U95" i="4"/>
  <c r="T95" i="4"/>
  <c r="S95" i="4"/>
  <c r="Z95" i="4" s="1"/>
  <c r="R95" i="4"/>
  <c r="Q95" i="4"/>
  <c r="Y94" i="4"/>
  <c r="X94" i="4"/>
  <c r="W94" i="4"/>
  <c r="V94" i="4"/>
  <c r="U94" i="4"/>
  <c r="T94" i="4"/>
  <c r="S94" i="4"/>
  <c r="R94" i="4"/>
  <c r="Z94" i="4" s="1"/>
  <c r="Q94" i="4"/>
  <c r="Y93" i="4"/>
  <c r="X93" i="4"/>
  <c r="W93" i="4"/>
  <c r="V93" i="4"/>
  <c r="U93" i="4"/>
  <c r="T93" i="4"/>
  <c r="S93" i="4"/>
  <c r="R93" i="4"/>
  <c r="Z93" i="4" s="1"/>
  <c r="Q93" i="4"/>
  <c r="Y92" i="4"/>
  <c r="Z92" i="4" s="1"/>
  <c r="X92" i="4"/>
  <c r="W92" i="4"/>
  <c r="V92" i="4"/>
  <c r="U92" i="4"/>
  <c r="T92" i="4"/>
  <c r="S92" i="4"/>
  <c r="R92" i="4"/>
  <c r="Q92" i="4"/>
  <c r="Y91" i="4"/>
  <c r="X91" i="4"/>
  <c r="W91" i="4"/>
  <c r="Z91" i="4" s="1"/>
  <c r="V91" i="4"/>
  <c r="U91" i="4"/>
  <c r="T91" i="4"/>
  <c r="S91" i="4"/>
  <c r="R91" i="4"/>
  <c r="Q91" i="4"/>
  <c r="Y90" i="4"/>
  <c r="X90" i="4"/>
  <c r="W90" i="4"/>
  <c r="V90" i="4"/>
  <c r="U90" i="4"/>
  <c r="Z90" i="4" s="1"/>
  <c r="T90" i="4"/>
  <c r="S90" i="4"/>
  <c r="R90" i="4"/>
  <c r="Q90" i="4"/>
  <c r="Y89" i="4"/>
  <c r="X89" i="4"/>
  <c r="W89" i="4"/>
  <c r="V89" i="4"/>
  <c r="U89" i="4"/>
  <c r="T89" i="4"/>
  <c r="S89" i="4"/>
  <c r="Z89" i="4" s="1"/>
  <c r="R89" i="4"/>
  <c r="Q89" i="4"/>
  <c r="Y88" i="4"/>
  <c r="X88" i="4"/>
  <c r="W88" i="4"/>
  <c r="V88" i="4"/>
  <c r="U88" i="4"/>
  <c r="T88" i="4"/>
  <c r="S88" i="4"/>
  <c r="R88" i="4"/>
  <c r="Z88" i="4" s="1"/>
  <c r="Q88" i="4"/>
  <c r="Y87" i="4"/>
  <c r="X87" i="4"/>
  <c r="W87" i="4"/>
  <c r="V87" i="4"/>
  <c r="U87" i="4"/>
  <c r="T87" i="4"/>
  <c r="S87" i="4"/>
  <c r="R87" i="4"/>
  <c r="Z87" i="4" s="1"/>
  <c r="Q87" i="4"/>
  <c r="Y86" i="4"/>
  <c r="Z86" i="4" s="1"/>
  <c r="X86" i="4"/>
  <c r="W86" i="4"/>
  <c r="V86" i="4"/>
  <c r="U86" i="4"/>
  <c r="T86" i="4"/>
  <c r="S86" i="4"/>
  <c r="R86" i="4"/>
  <c r="Q86" i="4"/>
  <c r="Y85" i="4"/>
  <c r="X85" i="4"/>
  <c r="W85" i="4"/>
  <c r="Z85" i="4" s="1"/>
  <c r="V85" i="4"/>
  <c r="U85" i="4"/>
  <c r="T85" i="4"/>
  <c r="S85" i="4"/>
  <c r="R85" i="4"/>
  <c r="Q85" i="4"/>
  <c r="X84" i="4"/>
  <c r="V84" i="4"/>
  <c r="U84" i="4"/>
  <c r="Q84" i="4"/>
  <c r="H84" i="4"/>
  <c r="R84" i="4" s="1"/>
  <c r="Y83" i="4"/>
  <c r="X83" i="4"/>
  <c r="W83" i="4"/>
  <c r="V83" i="4"/>
  <c r="U83" i="4"/>
  <c r="T83" i="4"/>
  <c r="Z83" i="4" s="1"/>
  <c r="S83" i="4"/>
  <c r="R83" i="4"/>
  <c r="Q83" i="4"/>
  <c r="Y82" i="4"/>
  <c r="X82" i="4"/>
  <c r="U82" i="4"/>
  <c r="S82" i="4"/>
  <c r="R82" i="4"/>
  <c r="Q82" i="4"/>
  <c r="H82" i="4"/>
  <c r="W82" i="4" s="1"/>
  <c r="Y81" i="4"/>
  <c r="X81" i="4"/>
  <c r="W81" i="4"/>
  <c r="V81" i="4"/>
  <c r="U81" i="4"/>
  <c r="T81" i="4"/>
  <c r="S81" i="4"/>
  <c r="R81" i="4"/>
  <c r="Z81" i="4" s="1"/>
  <c r="Q81" i="4"/>
  <c r="Q80" i="4"/>
  <c r="H80" i="4"/>
  <c r="X80" i="4" s="1"/>
  <c r="Y79" i="4"/>
  <c r="X79" i="4"/>
  <c r="W79" i="4"/>
  <c r="V79" i="4"/>
  <c r="U79" i="4"/>
  <c r="T79" i="4"/>
  <c r="S79" i="4"/>
  <c r="Q79" i="4"/>
  <c r="H79" i="4"/>
  <c r="R79" i="4" s="1"/>
  <c r="Z79" i="4" s="1"/>
  <c r="Y78" i="4"/>
  <c r="Q78" i="4"/>
  <c r="H78" i="4"/>
  <c r="V78" i="4" s="1"/>
  <c r="Y77" i="4"/>
  <c r="X77" i="4"/>
  <c r="W77" i="4"/>
  <c r="V77" i="4"/>
  <c r="U77" i="4"/>
  <c r="T77" i="4"/>
  <c r="S77" i="4"/>
  <c r="R77" i="4"/>
  <c r="Z77" i="4" s="1"/>
  <c r="Q77" i="4"/>
  <c r="W76" i="4"/>
  <c r="V76" i="4"/>
  <c r="Q76" i="4"/>
  <c r="H76" i="4"/>
  <c r="S76" i="4" s="1"/>
  <c r="Y75" i="4"/>
  <c r="X75" i="4"/>
  <c r="W75" i="4"/>
  <c r="V75" i="4"/>
  <c r="U75" i="4"/>
  <c r="T75" i="4"/>
  <c r="S75" i="4"/>
  <c r="Z75" i="4" s="1"/>
  <c r="R75" i="4"/>
  <c r="Q75" i="4"/>
  <c r="Y74" i="4"/>
  <c r="X74" i="4"/>
  <c r="W74" i="4"/>
  <c r="V74" i="4"/>
  <c r="U74" i="4"/>
  <c r="T74" i="4"/>
  <c r="S74" i="4"/>
  <c r="Z74" i="4" s="1"/>
  <c r="R74" i="4"/>
  <c r="Q74" i="4"/>
  <c r="Y73" i="4"/>
  <c r="X73" i="4"/>
  <c r="W73" i="4"/>
  <c r="V73" i="4"/>
  <c r="U73" i="4"/>
  <c r="T73" i="4"/>
  <c r="S73" i="4"/>
  <c r="R73" i="4"/>
  <c r="Z73" i="4" s="1"/>
  <c r="Q73" i="4"/>
  <c r="Y72" i="4"/>
  <c r="X72" i="4"/>
  <c r="W72" i="4"/>
  <c r="V72" i="4"/>
  <c r="U72" i="4"/>
  <c r="T72" i="4"/>
  <c r="S72" i="4"/>
  <c r="R72" i="4"/>
  <c r="Z72" i="4" s="1"/>
  <c r="Q72" i="4"/>
  <c r="Y71" i="4"/>
  <c r="Z71" i="4" s="1"/>
  <c r="X71" i="4"/>
  <c r="W71" i="4"/>
  <c r="V71" i="4"/>
  <c r="U71" i="4"/>
  <c r="T71" i="4"/>
  <c r="S71" i="4"/>
  <c r="R71" i="4"/>
  <c r="Q71" i="4"/>
  <c r="Y70" i="4"/>
  <c r="X70" i="4"/>
  <c r="W70" i="4"/>
  <c r="V70" i="4"/>
  <c r="U70" i="4"/>
  <c r="T70" i="4"/>
  <c r="S70" i="4"/>
  <c r="Z70" i="4" s="1"/>
  <c r="R70" i="4"/>
  <c r="Q70" i="4"/>
  <c r="Y69" i="4"/>
  <c r="X69" i="4"/>
  <c r="W69" i="4"/>
  <c r="V69" i="4"/>
  <c r="U69" i="4"/>
  <c r="T69" i="4"/>
  <c r="S69" i="4"/>
  <c r="Z69" i="4" s="1"/>
  <c r="R69" i="4"/>
  <c r="Q69" i="4"/>
  <c r="Y68" i="4"/>
  <c r="X68" i="4"/>
  <c r="W68" i="4"/>
  <c r="V68" i="4"/>
  <c r="U68" i="4"/>
  <c r="T68" i="4"/>
  <c r="S68" i="4"/>
  <c r="Z68" i="4" s="1"/>
  <c r="R68" i="4"/>
  <c r="Q68" i="4"/>
  <c r="Y67" i="4"/>
  <c r="X67" i="4"/>
  <c r="W67" i="4"/>
  <c r="V67" i="4"/>
  <c r="U67" i="4"/>
  <c r="T67" i="4"/>
  <c r="S67" i="4"/>
  <c r="R67" i="4"/>
  <c r="Z67" i="4" s="1"/>
  <c r="Q67" i="4"/>
  <c r="Y66" i="4"/>
  <c r="X66" i="4"/>
  <c r="W66" i="4"/>
  <c r="V66" i="4"/>
  <c r="U66" i="4"/>
  <c r="T66" i="4"/>
  <c r="S66" i="4"/>
  <c r="R66" i="4"/>
  <c r="Z66" i="4" s="1"/>
  <c r="Q66" i="4"/>
  <c r="Y65" i="4"/>
  <c r="Z65" i="4" s="1"/>
  <c r="X65" i="4"/>
  <c r="W65" i="4"/>
  <c r="V65" i="4"/>
  <c r="U65" i="4"/>
  <c r="T65" i="4"/>
  <c r="S65" i="4"/>
  <c r="R65" i="4"/>
  <c r="Q65" i="4"/>
  <c r="Y64" i="4"/>
  <c r="X64" i="4"/>
  <c r="W64" i="4"/>
  <c r="V64" i="4"/>
  <c r="U64" i="4"/>
  <c r="T64" i="4"/>
  <c r="S64" i="4"/>
  <c r="Z64" i="4" s="1"/>
  <c r="R64" i="4"/>
  <c r="Q64" i="4"/>
  <c r="Y63" i="4"/>
  <c r="X63" i="4"/>
  <c r="W63" i="4"/>
  <c r="V63" i="4"/>
  <c r="U63" i="4"/>
  <c r="T63" i="4"/>
  <c r="S63" i="4"/>
  <c r="Z63" i="4" s="1"/>
  <c r="R63" i="4"/>
  <c r="Q63" i="4"/>
  <c r="Y62" i="4"/>
  <c r="X62" i="4"/>
  <c r="W62" i="4"/>
  <c r="V62" i="4"/>
  <c r="U62" i="4"/>
  <c r="T62" i="4"/>
  <c r="S62" i="4"/>
  <c r="Z62" i="4" s="1"/>
  <c r="R62" i="4"/>
  <c r="Q62" i="4"/>
  <c r="Y61" i="4"/>
  <c r="X61" i="4"/>
  <c r="W61" i="4"/>
  <c r="V61" i="4"/>
  <c r="U61" i="4"/>
  <c r="T61" i="4"/>
  <c r="S61" i="4"/>
  <c r="R61" i="4"/>
  <c r="Z61" i="4" s="1"/>
  <c r="Q61" i="4"/>
  <c r="Q60" i="4"/>
  <c r="H60" i="4"/>
  <c r="X60" i="4" s="1"/>
  <c r="Y59" i="4"/>
  <c r="X59" i="4"/>
  <c r="W59" i="4"/>
  <c r="V59" i="4"/>
  <c r="U59" i="4"/>
  <c r="T59" i="4"/>
  <c r="S59" i="4"/>
  <c r="Q59" i="4"/>
  <c r="H59" i="4"/>
  <c r="R59" i="4" s="1"/>
  <c r="Z59" i="4" s="1"/>
  <c r="Y58" i="4"/>
  <c r="Z58" i="4" s="1"/>
  <c r="X58" i="4"/>
  <c r="W58" i="4"/>
  <c r="V58" i="4"/>
  <c r="U58" i="4"/>
  <c r="T58" i="4"/>
  <c r="S58" i="4"/>
  <c r="R58" i="4"/>
  <c r="Q58" i="4"/>
  <c r="Y57" i="4"/>
  <c r="X57" i="4"/>
  <c r="W57" i="4"/>
  <c r="V57" i="4"/>
  <c r="U57" i="4"/>
  <c r="T57" i="4"/>
  <c r="S57" i="4"/>
  <c r="R57" i="4"/>
  <c r="Z57" i="4" s="1"/>
  <c r="Q57" i="4"/>
  <c r="Y56" i="4"/>
  <c r="X56" i="4"/>
  <c r="W56" i="4"/>
  <c r="V56" i="4"/>
  <c r="U56" i="4"/>
  <c r="T56" i="4"/>
  <c r="S56" i="4"/>
  <c r="Z56" i="4" s="1"/>
  <c r="R56" i="4"/>
  <c r="Q56" i="4"/>
  <c r="Y55" i="4"/>
  <c r="X55" i="4"/>
  <c r="W55" i="4"/>
  <c r="V55" i="4"/>
  <c r="U55" i="4"/>
  <c r="T55" i="4"/>
  <c r="S55" i="4"/>
  <c r="Z55" i="4" s="1"/>
  <c r="R55" i="4"/>
  <c r="Q55" i="4"/>
  <c r="Y54" i="4"/>
  <c r="X54" i="4"/>
  <c r="W54" i="4"/>
  <c r="V54" i="4"/>
  <c r="T54" i="4"/>
  <c r="R54" i="4"/>
  <c r="Q54" i="4"/>
  <c r="H54" i="4"/>
  <c r="U54" i="4" s="1"/>
  <c r="Q53" i="4"/>
  <c r="H53" i="4"/>
  <c r="Y53" i="4" s="1"/>
  <c r="Q52" i="4"/>
  <c r="H52" i="4"/>
  <c r="X52" i="4" s="1"/>
  <c r="Y51" i="4"/>
  <c r="X51" i="4"/>
  <c r="W51" i="4"/>
  <c r="V51" i="4"/>
  <c r="U51" i="4"/>
  <c r="T51" i="4"/>
  <c r="S51" i="4"/>
  <c r="Q51" i="4"/>
  <c r="R51" i="4"/>
  <c r="Z51" i="4" s="1"/>
  <c r="Y48" i="4"/>
  <c r="X48" i="4"/>
  <c r="W48" i="4"/>
  <c r="V48" i="4"/>
  <c r="U48" i="4"/>
  <c r="T48" i="4"/>
  <c r="S48" i="4"/>
  <c r="R48" i="4"/>
  <c r="Z48" i="4" s="1"/>
  <c r="Q48" i="4"/>
  <c r="Y47" i="4"/>
  <c r="U47" i="4"/>
  <c r="T47" i="4"/>
  <c r="S47" i="4"/>
  <c r="Q47" i="4"/>
  <c r="H47" i="4"/>
  <c r="V47" i="4" s="1"/>
  <c r="R46" i="4"/>
  <c r="Q46" i="4"/>
  <c r="Y45" i="4"/>
  <c r="X45" i="4"/>
  <c r="W45" i="4"/>
  <c r="V45" i="4"/>
  <c r="U45" i="4"/>
  <c r="T45" i="4"/>
  <c r="S45" i="4"/>
  <c r="Z45" i="4" s="1"/>
  <c r="R45" i="4"/>
  <c r="Q45" i="4"/>
  <c r="Y44" i="4"/>
  <c r="X44" i="4"/>
  <c r="W44" i="4"/>
  <c r="V44" i="4"/>
  <c r="U44" i="4"/>
  <c r="T44" i="4"/>
  <c r="S44" i="4"/>
  <c r="R44" i="4"/>
  <c r="Z44" i="4" s="1"/>
  <c r="Q44" i="4"/>
  <c r="Y43" i="4"/>
  <c r="X43" i="4"/>
  <c r="W43" i="4"/>
  <c r="V43" i="4"/>
  <c r="U43" i="4"/>
  <c r="T43" i="4"/>
  <c r="S43" i="4"/>
  <c r="R43" i="4"/>
  <c r="Z43" i="4" s="1"/>
  <c r="Q43" i="4"/>
  <c r="Y42" i="4"/>
  <c r="Z42" i="4" s="1"/>
  <c r="X42" i="4"/>
  <c r="W42" i="4"/>
  <c r="V42" i="4"/>
  <c r="U42" i="4"/>
  <c r="T42" i="4"/>
  <c r="S42" i="4"/>
  <c r="R42" i="4"/>
  <c r="Q42" i="4"/>
  <c r="Y41" i="4"/>
  <c r="X41" i="4"/>
  <c r="W41" i="4"/>
  <c r="V41" i="4"/>
  <c r="U41" i="4"/>
  <c r="T41" i="4"/>
  <c r="S41" i="4"/>
  <c r="R41" i="4"/>
  <c r="Z41" i="4" s="1"/>
  <c r="Q41" i="4"/>
  <c r="Y40" i="4"/>
  <c r="X40" i="4"/>
  <c r="W40" i="4"/>
  <c r="V40" i="4"/>
  <c r="U40" i="4"/>
  <c r="T40" i="4"/>
  <c r="S40" i="4"/>
  <c r="Z40" i="4" s="1"/>
  <c r="R40" i="4"/>
  <c r="Q40" i="4"/>
  <c r="Y39" i="4"/>
  <c r="X39" i="4"/>
  <c r="W39" i="4"/>
  <c r="V39" i="4"/>
  <c r="U39" i="4"/>
  <c r="T39" i="4"/>
  <c r="S39" i="4"/>
  <c r="Z39" i="4" s="1"/>
  <c r="R39" i="4"/>
  <c r="Q39" i="4"/>
  <c r="Y38" i="4"/>
  <c r="X38" i="4"/>
  <c r="W38" i="4"/>
  <c r="V38" i="4"/>
  <c r="U38" i="4"/>
  <c r="T38" i="4"/>
  <c r="S38" i="4"/>
  <c r="R38" i="4"/>
  <c r="Z38" i="4" s="1"/>
  <c r="Q38" i="4"/>
  <c r="Y37" i="4"/>
  <c r="X37" i="4"/>
  <c r="W37" i="4"/>
  <c r="V37" i="4"/>
  <c r="U37" i="4"/>
  <c r="T37" i="4"/>
  <c r="S37" i="4"/>
  <c r="R37" i="4"/>
  <c r="Z37" i="4" s="1"/>
  <c r="Q37" i="4"/>
  <c r="Y36" i="4"/>
  <c r="Z36" i="4" s="1"/>
  <c r="X36" i="4"/>
  <c r="W36" i="4"/>
  <c r="V36" i="4"/>
  <c r="U36" i="4"/>
  <c r="T36" i="4"/>
  <c r="S36" i="4"/>
  <c r="R36" i="4"/>
  <c r="Q36" i="4"/>
  <c r="Y35" i="4"/>
  <c r="X35" i="4"/>
  <c r="W35" i="4"/>
  <c r="V35" i="4"/>
  <c r="U35" i="4"/>
  <c r="T35" i="4"/>
  <c r="S35" i="4"/>
  <c r="R35" i="4"/>
  <c r="Z35" i="4" s="1"/>
  <c r="Q35" i="4"/>
  <c r="V34" i="4"/>
  <c r="U34" i="4"/>
  <c r="Q34" i="4"/>
  <c r="H34" i="4"/>
  <c r="R34" i="4" s="1"/>
  <c r="Y33" i="4"/>
  <c r="X33" i="4"/>
  <c r="W33" i="4"/>
  <c r="V33" i="4"/>
  <c r="U33" i="4"/>
  <c r="T33" i="4"/>
  <c r="Z33" i="4" s="1"/>
  <c r="S33" i="4"/>
  <c r="R33" i="4"/>
  <c r="Q33" i="4"/>
  <c r="Y32" i="4"/>
  <c r="X32" i="4"/>
  <c r="W32" i="4"/>
  <c r="V32" i="4"/>
  <c r="U32" i="4"/>
  <c r="T32" i="4"/>
  <c r="S32" i="4"/>
  <c r="R32" i="4"/>
  <c r="Z32" i="4" s="1"/>
  <c r="Q32" i="4"/>
  <c r="Y31" i="4"/>
  <c r="X31" i="4"/>
  <c r="W31" i="4"/>
  <c r="V31" i="4"/>
  <c r="U31" i="4"/>
  <c r="T31" i="4"/>
  <c r="S31" i="4"/>
  <c r="Z31" i="4" s="1"/>
  <c r="R31" i="4"/>
  <c r="Q31" i="4"/>
  <c r="Y30" i="4"/>
  <c r="X30" i="4"/>
  <c r="W30" i="4"/>
  <c r="V30" i="4"/>
  <c r="U30" i="4"/>
  <c r="T30" i="4"/>
  <c r="S30" i="4"/>
  <c r="Q30" i="4"/>
  <c r="H30" i="4"/>
  <c r="R30" i="4" s="1"/>
  <c r="Z30" i="4" s="1"/>
  <c r="Y29" i="4"/>
  <c r="U29" i="4"/>
  <c r="T29" i="4"/>
  <c r="S29" i="4"/>
  <c r="Q29" i="4"/>
  <c r="H29" i="4"/>
  <c r="V29" i="4" s="1"/>
  <c r="Y28" i="4"/>
  <c r="X28" i="4"/>
  <c r="W28" i="4"/>
  <c r="V28" i="4"/>
  <c r="U28" i="4"/>
  <c r="T28" i="4"/>
  <c r="S28" i="4"/>
  <c r="R28" i="4"/>
  <c r="Z28" i="4" s="1"/>
  <c r="Q28" i="4"/>
  <c r="H28" i="4"/>
  <c r="X27" i="4"/>
  <c r="W27" i="4"/>
  <c r="S27" i="4"/>
  <c r="R27" i="4"/>
  <c r="Q27" i="4"/>
  <c r="H27" i="4"/>
  <c r="T27" i="4" s="1"/>
  <c r="Y26" i="4"/>
  <c r="X26" i="4"/>
  <c r="W26" i="4"/>
  <c r="V26" i="4"/>
  <c r="U26" i="4"/>
  <c r="T26" i="4"/>
  <c r="S26" i="4"/>
  <c r="R26" i="4"/>
  <c r="Z26" i="4" s="1"/>
  <c r="Q26" i="4"/>
  <c r="Y25" i="4"/>
  <c r="X25" i="4"/>
  <c r="W25" i="4"/>
  <c r="V25" i="4"/>
  <c r="U25" i="4"/>
  <c r="T25" i="4"/>
  <c r="Z25" i="4" s="1"/>
  <c r="S25" i="4"/>
  <c r="R25" i="4"/>
  <c r="Q25" i="4"/>
  <c r="Y24" i="4"/>
  <c r="X24" i="4"/>
  <c r="W24" i="4"/>
  <c r="V24" i="4"/>
  <c r="U24" i="4"/>
  <c r="T24" i="4"/>
  <c r="S24" i="4"/>
  <c r="R24" i="4"/>
  <c r="Z24" i="4" s="1"/>
  <c r="Q24" i="4"/>
  <c r="Y23" i="4"/>
  <c r="X23" i="4"/>
  <c r="W23" i="4"/>
  <c r="V23" i="4"/>
  <c r="U23" i="4"/>
  <c r="T23" i="4"/>
  <c r="S23" i="4"/>
  <c r="Z23" i="4" s="1"/>
  <c r="R23" i="4"/>
  <c r="Q23" i="4"/>
  <c r="Z22" i="4"/>
  <c r="Y22" i="4"/>
  <c r="X22" i="4"/>
  <c r="W22" i="4"/>
  <c r="V22" i="4"/>
  <c r="U22" i="4"/>
  <c r="T22" i="4"/>
  <c r="S22" i="4"/>
  <c r="R22" i="4"/>
  <c r="Q22" i="4"/>
  <c r="Y21" i="4"/>
  <c r="X21" i="4"/>
  <c r="W21" i="4"/>
  <c r="V21" i="4"/>
  <c r="U21" i="4"/>
  <c r="T21" i="4"/>
  <c r="S21" i="4"/>
  <c r="R21" i="4"/>
  <c r="Z21" i="4" s="1"/>
  <c r="Q21" i="4"/>
  <c r="Y20" i="4"/>
  <c r="X20" i="4"/>
  <c r="W20" i="4"/>
  <c r="V20" i="4"/>
  <c r="U20" i="4"/>
  <c r="S20" i="4"/>
  <c r="R20" i="4"/>
  <c r="K20" i="4"/>
  <c r="Q20" i="4" s="1"/>
  <c r="Y19" i="4"/>
  <c r="X19" i="4"/>
  <c r="W19" i="4"/>
  <c r="V19" i="4"/>
  <c r="U19" i="4"/>
  <c r="S19" i="4"/>
  <c r="R19" i="4"/>
  <c r="K19" i="4"/>
  <c r="Q19" i="4" s="1"/>
  <c r="Y18" i="4"/>
  <c r="X18" i="4"/>
  <c r="W18" i="4"/>
  <c r="V18" i="4"/>
  <c r="U18" i="4"/>
  <c r="T18" i="4"/>
  <c r="Z18" i="4" s="1"/>
  <c r="S18" i="4"/>
  <c r="R18" i="4"/>
  <c r="K18" i="4"/>
  <c r="Q18" i="4" s="1"/>
  <c r="Y17" i="4"/>
  <c r="X17" i="4"/>
  <c r="W17" i="4"/>
  <c r="V17" i="4"/>
  <c r="U17" i="4"/>
  <c r="T17" i="4"/>
  <c r="S17" i="4"/>
  <c r="Z17" i="4" s="1"/>
  <c r="R17" i="4"/>
  <c r="Q17" i="4"/>
  <c r="K17" i="4"/>
  <c r="Y16" i="4"/>
  <c r="X16" i="4"/>
  <c r="S16" i="4"/>
  <c r="R16" i="4"/>
  <c r="P16" i="4"/>
  <c r="O16" i="4"/>
  <c r="N16" i="4"/>
  <c r="W16" i="4" s="1"/>
  <c r="M16" i="4"/>
  <c r="L16" i="4"/>
  <c r="U16" i="4" s="1"/>
  <c r="K16" i="4"/>
  <c r="Q16" i="4" s="1"/>
  <c r="H16" i="4"/>
  <c r="V16" i="4" s="1"/>
  <c r="Y15" i="4"/>
  <c r="X15" i="4"/>
  <c r="W15" i="4"/>
  <c r="V15" i="4"/>
  <c r="U15" i="4"/>
  <c r="T15" i="4"/>
  <c r="S15" i="4"/>
  <c r="R15" i="4"/>
  <c r="Z15" i="4" s="1"/>
  <c r="Q15" i="4"/>
  <c r="Y14" i="4"/>
  <c r="X14" i="4"/>
  <c r="W14" i="4"/>
  <c r="V14" i="4"/>
  <c r="U14" i="4"/>
  <c r="S14" i="4"/>
  <c r="R14" i="4"/>
  <c r="K14" i="4"/>
  <c r="Q14" i="4" s="1"/>
  <c r="Y13" i="4"/>
  <c r="X13" i="4"/>
  <c r="W13" i="4"/>
  <c r="V13" i="4"/>
  <c r="U13" i="4"/>
  <c r="T13" i="4"/>
  <c r="Z13" i="4" s="1"/>
  <c r="S13" i="4"/>
  <c r="R13" i="4"/>
  <c r="Q13" i="4"/>
  <c r="Y12" i="4"/>
  <c r="X12" i="4"/>
  <c r="W12" i="4"/>
  <c r="V12" i="4"/>
  <c r="U12" i="4"/>
  <c r="S12" i="4"/>
  <c r="R12" i="4"/>
  <c r="K12" i="4"/>
  <c r="T12" i="4" s="1"/>
  <c r="Y11" i="4"/>
  <c r="X11" i="4"/>
  <c r="W11" i="4"/>
  <c r="V11" i="4"/>
  <c r="U11" i="4"/>
  <c r="T11" i="4"/>
  <c r="S11" i="4"/>
  <c r="R11" i="4"/>
  <c r="Z11" i="4" s="1"/>
  <c r="Q11" i="4"/>
  <c r="Y10" i="4"/>
  <c r="X10" i="4"/>
  <c r="W10" i="4"/>
  <c r="V10" i="4"/>
  <c r="U10" i="4"/>
  <c r="T10" i="4"/>
  <c r="S10" i="4"/>
  <c r="R10" i="4"/>
  <c r="Z10" i="4" s="1"/>
  <c r="Q10" i="4"/>
  <c r="Y9" i="4"/>
  <c r="U9" i="4"/>
  <c r="T9" i="4"/>
  <c r="S9" i="4"/>
  <c r="Q9" i="4"/>
  <c r="H9" i="4"/>
  <c r="V9" i="4" s="1"/>
  <c r="Y8" i="4"/>
  <c r="X8" i="4"/>
  <c r="W8" i="4"/>
  <c r="V8" i="4"/>
  <c r="U8" i="4"/>
  <c r="T8" i="4"/>
  <c r="S8" i="4"/>
  <c r="R8" i="4"/>
  <c r="Z8" i="4" s="1"/>
  <c r="Q8" i="4"/>
  <c r="K8" i="4"/>
  <c r="Y7" i="4"/>
  <c r="X7" i="4"/>
  <c r="W7" i="4"/>
  <c r="V7" i="4"/>
  <c r="U7" i="4"/>
  <c r="T7" i="4"/>
  <c r="S7" i="4"/>
  <c r="R7" i="4"/>
  <c r="Z7" i="4" s="1"/>
  <c r="Q7" i="4"/>
  <c r="Y6" i="4"/>
  <c r="X6" i="4"/>
  <c r="W6" i="4"/>
  <c r="V6" i="4"/>
  <c r="U6" i="4"/>
  <c r="Z6" i="4" s="1"/>
  <c r="T6" i="4"/>
  <c r="S6" i="4"/>
  <c r="R6" i="4"/>
  <c r="Q6" i="4"/>
  <c r="Y5" i="4"/>
  <c r="X5" i="4"/>
  <c r="W5" i="4"/>
  <c r="V5" i="4"/>
  <c r="U5" i="4"/>
  <c r="T5" i="4"/>
  <c r="S5" i="4"/>
  <c r="Z5" i="4" s="1"/>
  <c r="R5" i="4"/>
  <c r="Q5" i="4"/>
  <c r="Y4" i="4"/>
  <c r="X4" i="4"/>
  <c r="W4" i="4"/>
  <c r="V4" i="4"/>
  <c r="U4" i="4"/>
  <c r="T4" i="4"/>
  <c r="S4" i="4"/>
  <c r="R4" i="4"/>
  <c r="Z4" i="4" s="1"/>
  <c r="Q4" i="4"/>
  <c r="K26" i="3"/>
  <c r="D26" i="3"/>
  <c r="E26" i="3"/>
  <c r="F26" i="3"/>
  <c r="G26" i="3"/>
  <c r="H26" i="3"/>
  <c r="I26" i="3"/>
  <c r="J26" i="3"/>
  <c r="C26" i="3"/>
  <c r="K22" i="3"/>
  <c r="K23" i="3"/>
  <c r="K24" i="3"/>
  <c r="K25" i="3"/>
  <c r="K21" i="3"/>
  <c r="D25" i="3"/>
  <c r="E25" i="3"/>
  <c r="F25" i="3"/>
  <c r="G25" i="3"/>
  <c r="H25" i="3"/>
  <c r="I25" i="3"/>
  <c r="J25" i="3"/>
  <c r="C25" i="3"/>
  <c r="D24" i="3"/>
  <c r="E24" i="3"/>
  <c r="F24" i="3"/>
  <c r="G24" i="3"/>
  <c r="H24" i="3"/>
  <c r="I24" i="3"/>
  <c r="J24" i="3"/>
  <c r="C24" i="3"/>
  <c r="D23" i="3"/>
  <c r="E23" i="3"/>
  <c r="F23" i="3"/>
  <c r="G23" i="3"/>
  <c r="H23" i="3"/>
  <c r="I23" i="3"/>
  <c r="J23" i="3"/>
  <c r="C23" i="3"/>
  <c r="D22" i="3"/>
  <c r="E22" i="3"/>
  <c r="F22" i="3"/>
  <c r="G22" i="3"/>
  <c r="H22" i="3"/>
  <c r="I22" i="3"/>
  <c r="J22" i="3"/>
  <c r="C22" i="3"/>
  <c r="D21" i="3"/>
  <c r="E21" i="3"/>
  <c r="F21" i="3"/>
  <c r="G21" i="3"/>
  <c r="H21" i="3"/>
  <c r="I21" i="3"/>
  <c r="J21" i="3"/>
  <c r="C21" i="3"/>
  <c r="C9" i="3"/>
  <c r="C8" i="3"/>
  <c r="B32" i="2"/>
  <c r="B31" i="2"/>
  <c r="C30" i="2"/>
  <c r="D30" i="2"/>
  <c r="E30" i="2"/>
  <c r="F30" i="2"/>
  <c r="G30" i="2"/>
  <c r="H30" i="2"/>
  <c r="I30" i="2"/>
  <c r="J30" i="2"/>
  <c r="K30" i="2"/>
  <c r="L30" i="2"/>
  <c r="B30" i="2"/>
  <c r="L29" i="2"/>
  <c r="M29" i="2"/>
  <c r="N29" i="2"/>
  <c r="C29" i="2"/>
  <c r="D29" i="2"/>
  <c r="E29" i="2"/>
  <c r="F29" i="2"/>
  <c r="G29" i="2"/>
  <c r="H29" i="2"/>
  <c r="J29" i="2"/>
  <c r="K29" i="2"/>
  <c r="B29" i="2"/>
  <c r="H28" i="2"/>
  <c r="G28" i="2"/>
  <c r="F28" i="2"/>
  <c r="E28" i="2"/>
  <c r="D28" i="2"/>
  <c r="C28" i="2"/>
  <c r="N26" i="2"/>
  <c r="G21" i="2"/>
  <c r="F20" i="2"/>
  <c r="E19" i="2"/>
  <c r="D18" i="2"/>
  <c r="B16" i="2"/>
  <c r="B25" i="2" s="1"/>
  <c r="B28" i="2" s="1"/>
  <c r="C17" i="2"/>
  <c r="D17" i="2" s="1"/>
  <c r="T4" i="2"/>
  <c r="P4" i="2"/>
  <c r="Q4" i="2" s="1"/>
  <c r="R4" i="2" s="1"/>
  <c r="S4" i="2" s="1"/>
  <c r="O4" i="2"/>
  <c r="N4" i="2"/>
  <c r="I22" i="2" s="1"/>
  <c r="J22" i="2" s="1"/>
  <c r="I11" i="2"/>
  <c r="H10" i="2"/>
  <c r="G9" i="2"/>
  <c r="F8" i="2"/>
  <c r="E7" i="2"/>
  <c r="D6" i="2"/>
  <c r="E6" i="2" s="1"/>
  <c r="F6" i="2" s="1"/>
  <c r="C5" i="2"/>
  <c r="B4" i="2"/>
  <c r="P3" i="2"/>
  <c r="Q3" i="2"/>
  <c r="R3" i="2"/>
  <c r="S3" i="2" s="1"/>
  <c r="O3" i="2"/>
  <c r="N3" i="2"/>
  <c r="O5" i="2"/>
  <c r="P5" i="2"/>
  <c r="Q5" i="2"/>
  <c r="R5" i="2"/>
  <c r="S5" i="2" s="1"/>
  <c r="N5" i="2"/>
  <c r="I12" i="2" s="1"/>
  <c r="I28" i="2" s="1"/>
  <c r="P39" i="1"/>
  <c r="R39" i="1"/>
  <c r="S39" i="1"/>
  <c r="T39" i="1"/>
  <c r="U39" i="1"/>
  <c r="Q39" i="1"/>
  <c r="U38" i="1"/>
  <c r="T38" i="1"/>
  <c r="S38" i="1"/>
  <c r="R38" i="1"/>
  <c r="Q38" i="1"/>
  <c r="P38" i="1"/>
  <c r="P29" i="1"/>
  <c r="P30" i="1" s="1"/>
  <c r="O29" i="1"/>
  <c r="N29" i="1"/>
  <c r="N30" i="1" s="1"/>
  <c r="Q29" i="1"/>
  <c r="Q30" i="1" s="1"/>
  <c r="N10" i="1"/>
  <c r="O10" i="1"/>
  <c r="P10" i="1"/>
  <c r="M10" i="1"/>
  <c r="P9" i="1"/>
  <c r="O9" i="1"/>
  <c r="N9" i="1"/>
  <c r="M9" i="1"/>
  <c r="D7" i="3"/>
  <c r="E7" i="3"/>
  <c r="F7" i="3"/>
  <c r="G7" i="3"/>
  <c r="H7" i="3"/>
  <c r="C7" i="3"/>
  <c r="D6" i="3"/>
  <c r="E6" i="3"/>
  <c r="F6" i="3"/>
  <c r="G6" i="3"/>
  <c r="H6" i="3"/>
  <c r="C6" i="3"/>
  <c r="E5" i="3"/>
  <c r="F5" i="3"/>
  <c r="G5" i="3" s="1"/>
  <c r="H5" i="3" s="1"/>
  <c r="D5" i="3"/>
  <c r="C5" i="3"/>
  <c r="I26" i="1"/>
  <c r="J26" i="1" s="1"/>
  <c r="K26" i="1" s="1"/>
  <c r="L26" i="1" s="1"/>
  <c r="B26" i="5"/>
  <c r="B29" i="5"/>
  <c r="G23" i="1"/>
  <c r="H23" i="1" s="1"/>
  <c r="B37" i="5"/>
  <c r="B36" i="5"/>
  <c r="B35" i="5"/>
  <c r="B34" i="5"/>
  <c r="B33" i="5"/>
  <c r="B32" i="5"/>
  <c r="B5" i="1" s="1"/>
  <c r="B16" i="1" s="1"/>
  <c r="B31" i="5"/>
  <c r="B30" i="5"/>
  <c r="B28" i="5"/>
  <c r="B27" i="5"/>
  <c r="B23" i="1"/>
  <c r="B34" i="1" s="1"/>
  <c r="B18" i="5"/>
  <c r="B22" i="5" s="1"/>
  <c r="Y46" i="4" l="1"/>
  <c r="S46" i="4"/>
  <c r="U46" i="4"/>
  <c r="Z50" i="4"/>
  <c r="Z12" i="4"/>
  <c r="Z20" i="4"/>
  <c r="Z54" i="4"/>
  <c r="T20" i="4"/>
  <c r="Y52" i="4"/>
  <c r="Y60" i="4"/>
  <c r="W78" i="4"/>
  <c r="Y80" i="4"/>
  <c r="S84" i="4"/>
  <c r="W9" i="4"/>
  <c r="U27" i="4"/>
  <c r="Z27" i="4" s="1"/>
  <c r="W29" i="4"/>
  <c r="S34" i="4"/>
  <c r="V46" i="4"/>
  <c r="W47" i="4"/>
  <c r="Z49" i="4"/>
  <c r="T76" i="4"/>
  <c r="X9" i="4"/>
  <c r="Q12" i="4"/>
  <c r="T14" i="4"/>
  <c r="Z14" i="4" s="1"/>
  <c r="T19" i="4"/>
  <c r="Z19" i="4" s="1"/>
  <c r="V27" i="4"/>
  <c r="X29" i="4"/>
  <c r="T34" i="4"/>
  <c r="W46" i="4"/>
  <c r="X47" i="4"/>
  <c r="U76" i="4"/>
  <c r="X78" i="4"/>
  <c r="T84" i="4"/>
  <c r="T16" i="4"/>
  <c r="Z16" i="4" s="1"/>
  <c r="Y27" i="4"/>
  <c r="W34" i="4"/>
  <c r="Z34" i="4" s="1"/>
  <c r="R53" i="4"/>
  <c r="S54" i="4"/>
  <c r="X76" i="4"/>
  <c r="T82" i="4"/>
  <c r="Z82" i="4" s="1"/>
  <c r="W84" i="4"/>
  <c r="S53" i="4"/>
  <c r="Y76" i="4"/>
  <c r="X34" i="4"/>
  <c r="R52" i="4"/>
  <c r="R60" i="4"/>
  <c r="R80" i="4"/>
  <c r="Y34" i="4"/>
  <c r="Q50" i="4"/>
  <c r="S52" i="4"/>
  <c r="T53" i="4"/>
  <c r="S60" i="4"/>
  <c r="S80" i="4"/>
  <c r="V82" i="4"/>
  <c r="Y84" i="4"/>
  <c r="Z84" i="4" s="1"/>
  <c r="R9" i="4"/>
  <c r="R29" i="4"/>
  <c r="Z29" i="4" s="1"/>
  <c r="R47" i="4"/>
  <c r="Z47" i="4" s="1"/>
  <c r="T52" i="4"/>
  <c r="U53" i="4"/>
  <c r="T60" i="4"/>
  <c r="R78" i="4"/>
  <c r="T80" i="4"/>
  <c r="U52" i="4"/>
  <c r="V53" i="4"/>
  <c r="U60" i="4"/>
  <c r="S78" i="4"/>
  <c r="U80" i="4"/>
  <c r="V52" i="4"/>
  <c r="W53" i="4"/>
  <c r="V60" i="4"/>
  <c r="T78" i="4"/>
  <c r="V80" i="4"/>
  <c r="W52" i="4"/>
  <c r="U78" i="4"/>
  <c r="W80" i="4"/>
  <c r="T46" i="4"/>
  <c r="X53" i="4"/>
  <c r="W60" i="4"/>
  <c r="R76" i="4"/>
  <c r="E18" i="2"/>
  <c r="F18" i="2" s="1"/>
  <c r="G18" i="2" s="1"/>
  <c r="H18" i="2" s="1"/>
  <c r="I18" i="2" s="1"/>
  <c r="G6" i="2"/>
  <c r="H6" i="2" s="1"/>
  <c r="I6" i="2" s="1"/>
  <c r="F19" i="2"/>
  <c r="G19" i="2" s="1"/>
  <c r="H21" i="2"/>
  <c r="I21" i="2" s="1"/>
  <c r="J21" i="2" s="1"/>
  <c r="K21" i="2" s="1"/>
  <c r="L21" i="2" s="1"/>
  <c r="E17" i="2"/>
  <c r="F17" i="2" s="1"/>
  <c r="G17" i="2" s="1"/>
  <c r="H17" i="2" s="1"/>
  <c r="I17" i="2" s="1"/>
  <c r="J17" i="2" s="1"/>
  <c r="C16" i="2"/>
  <c r="C25" i="2" s="1"/>
  <c r="G8" i="2"/>
  <c r="H8" i="2" s="1"/>
  <c r="I8" i="2" s="1"/>
  <c r="J8" i="2" s="1"/>
  <c r="K8" i="2" s="1"/>
  <c r="H9" i="2"/>
  <c r="I9" i="2" s="1"/>
  <c r="J9" i="2" s="1"/>
  <c r="K9" i="2" s="1"/>
  <c r="L9" i="2" s="1"/>
  <c r="K22" i="2"/>
  <c r="L22" i="2" s="1"/>
  <c r="M22" i="2" s="1"/>
  <c r="N22" i="2" s="1"/>
  <c r="O22" i="2" s="1"/>
  <c r="I10" i="2"/>
  <c r="J10" i="2" s="1"/>
  <c r="K10" i="2" s="1"/>
  <c r="L10" i="2" s="1"/>
  <c r="M10" i="2" s="1"/>
  <c r="N10" i="2" s="1"/>
  <c r="O10" i="2" s="1"/>
  <c r="H19" i="2"/>
  <c r="I19" i="2" s="1"/>
  <c r="J19" i="2" s="1"/>
  <c r="G20" i="2"/>
  <c r="H20" i="2" s="1"/>
  <c r="I20" i="2" s="1"/>
  <c r="J20" i="2" s="1"/>
  <c r="K20" i="2" s="1"/>
  <c r="J18" i="2"/>
  <c r="K18" i="2" s="1"/>
  <c r="F7" i="2"/>
  <c r="G7" i="2" s="1"/>
  <c r="H7" i="2" s="1"/>
  <c r="I7" i="2" s="1"/>
  <c r="J7" i="2" s="1"/>
  <c r="C13" i="2"/>
  <c r="D5" i="2"/>
  <c r="E5" i="2" s="1"/>
  <c r="F5" i="2" s="1"/>
  <c r="G5" i="2" s="1"/>
  <c r="J11" i="2"/>
  <c r="K11" i="2" s="1"/>
  <c r="L11" i="2" s="1"/>
  <c r="M11" i="2" s="1"/>
  <c r="N11" i="2" s="1"/>
  <c r="O11" i="2" s="1"/>
  <c r="B13" i="2"/>
  <c r="B26" i="2" s="1"/>
  <c r="M21" i="2"/>
  <c r="H5" i="2"/>
  <c r="O30" i="1"/>
  <c r="B36" i="1"/>
  <c r="I23" i="1"/>
  <c r="C24" i="1"/>
  <c r="D25" i="1" s="1"/>
  <c r="C23" i="1"/>
  <c r="C5" i="1"/>
  <c r="C6" i="1"/>
  <c r="D7" i="1" s="1"/>
  <c r="E8" i="1" s="1"/>
  <c r="F9" i="1" s="1"/>
  <c r="B3" i="3"/>
  <c r="B23" i="5"/>
  <c r="B24" i="5"/>
  <c r="B25" i="5" s="1"/>
  <c r="B19" i="5"/>
  <c r="B21" i="5"/>
  <c r="B20" i="5"/>
  <c r="C26" i="2" l="1"/>
  <c r="C32" i="2"/>
  <c r="C31" i="2"/>
  <c r="D8" i="3"/>
  <c r="D9" i="3" s="1"/>
  <c r="Z46" i="4"/>
  <c r="Z52" i="4"/>
  <c r="Z60" i="4"/>
  <c r="Z76" i="4"/>
  <c r="Z9" i="4"/>
  <c r="Z78" i="4"/>
  <c r="Z80" i="4"/>
  <c r="Z53" i="4"/>
  <c r="K25" i="2"/>
  <c r="M25" i="2"/>
  <c r="L25" i="2"/>
  <c r="D16" i="2"/>
  <c r="J13" i="2"/>
  <c r="H13" i="2"/>
  <c r="D4" i="2"/>
  <c r="I13" i="2"/>
  <c r="M9" i="2"/>
  <c r="M13" i="2" s="1"/>
  <c r="L13" i="2"/>
  <c r="K13" i="2"/>
  <c r="C34" i="1"/>
  <c r="J23" i="1"/>
  <c r="D24" i="1"/>
  <c r="E25" i="1" s="1"/>
  <c r="F25" i="1" s="1"/>
  <c r="G25" i="1" s="1"/>
  <c r="H25" i="1" s="1"/>
  <c r="I25" i="1" s="1"/>
  <c r="J25" i="1" s="1"/>
  <c r="K25" i="1" s="1"/>
  <c r="L25" i="1" s="1"/>
  <c r="D23" i="1"/>
  <c r="E26" i="1"/>
  <c r="C16" i="1"/>
  <c r="D6" i="1"/>
  <c r="E7" i="1" s="1"/>
  <c r="F8" i="1" s="1"/>
  <c r="G9" i="1" s="1"/>
  <c r="D5" i="1"/>
  <c r="M26" i="2" l="1"/>
  <c r="K26" i="2"/>
  <c r="D25" i="2"/>
  <c r="E16" i="2"/>
  <c r="L26" i="2"/>
  <c r="D13" i="2"/>
  <c r="E4" i="2"/>
  <c r="D34" i="1"/>
  <c r="C36" i="1"/>
  <c r="F26" i="1"/>
  <c r="G26" i="1" s="1"/>
  <c r="H26" i="1" s="1"/>
  <c r="F27" i="1"/>
  <c r="G27" i="1" s="1"/>
  <c r="H27" i="1" s="1"/>
  <c r="I27" i="1" s="1"/>
  <c r="J27" i="1" s="1"/>
  <c r="K27" i="1" s="1"/>
  <c r="L27" i="1" s="1"/>
  <c r="K23" i="1"/>
  <c r="E24" i="1"/>
  <c r="E23" i="1"/>
  <c r="E6" i="1"/>
  <c r="F7" i="1" s="1"/>
  <c r="G8" i="1" s="1"/>
  <c r="H9" i="1" s="1"/>
  <c r="E5" i="1"/>
  <c r="D16" i="1"/>
  <c r="D18" i="1" s="1"/>
  <c r="E25" i="2" l="1"/>
  <c r="F16" i="2"/>
  <c r="D26" i="2"/>
  <c r="E13" i="2"/>
  <c r="F4" i="2"/>
  <c r="L23" i="1"/>
  <c r="F24" i="1"/>
  <c r="E34" i="1"/>
  <c r="D36" i="1"/>
  <c r="E16" i="1"/>
  <c r="E18" i="1" s="1"/>
  <c r="F5" i="1"/>
  <c r="F6" i="1"/>
  <c r="G7" i="1" s="1"/>
  <c r="H8" i="1" s="1"/>
  <c r="I9" i="1" s="1"/>
  <c r="E8" i="3" l="1"/>
  <c r="E9" i="3" s="1"/>
  <c r="D32" i="2"/>
  <c r="D31" i="2"/>
  <c r="E26" i="2"/>
  <c r="G16" i="2"/>
  <c r="F25" i="2"/>
  <c r="G4" i="2"/>
  <c r="G13" i="2" s="1"/>
  <c r="F13" i="2"/>
  <c r="G28" i="1"/>
  <c r="H28" i="1" s="1"/>
  <c r="I28" i="1" s="1"/>
  <c r="J28" i="1" s="1"/>
  <c r="K28" i="1" s="1"/>
  <c r="L28" i="1" s="1"/>
  <c r="E36" i="1"/>
  <c r="F34" i="1"/>
  <c r="G24" i="1"/>
  <c r="G10" i="1"/>
  <c r="H10" i="1" s="1"/>
  <c r="I10" i="1" s="1"/>
  <c r="J10" i="1" s="1"/>
  <c r="K10" i="1" s="1"/>
  <c r="G6" i="1"/>
  <c r="F16" i="1"/>
  <c r="F18" i="1" s="1"/>
  <c r="G5" i="1"/>
  <c r="E31" i="2" l="1"/>
  <c r="F8" i="3"/>
  <c r="F9" i="3" s="1"/>
  <c r="E32" i="2"/>
  <c r="F26" i="2"/>
  <c r="G8" i="3" s="1"/>
  <c r="G9" i="3" s="1"/>
  <c r="H16" i="2"/>
  <c r="G25" i="2"/>
  <c r="G26" i="2" s="1"/>
  <c r="H8" i="3" s="1"/>
  <c r="H9" i="3" s="1"/>
  <c r="F36" i="1"/>
  <c r="H29" i="1"/>
  <c r="I29" i="1" s="1"/>
  <c r="J29" i="1" s="1"/>
  <c r="K29" i="1" s="1"/>
  <c r="L29" i="1" s="1"/>
  <c r="H24" i="1"/>
  <c r="G34" i="1"/>
  <c r="G18" i="1"/>
  <c r="G16" i="1"/>
  <c r="H6" i="1"/>
  <c r="H11" i="1"/>
  <c r="I11" i="1" s="1"/>
  <c r="J11" i="1" s="1"/>
  <c r="K11" i="1" s="1"/>
  <c r="H7" i="1"/>
  <c r="L11" i="1"/>
  <c r="M11" i="1" s="1"/>
  <c r="F31" i="2" l="1"/>
  <c r="F32" i="2"/>
  <c r="G31" i="2"/>
  <c r="G32" i="2"/>
  <c r="H25" i="2"/>
  <c r="H26" i="2" s="1"/>
  <c r="I16" i="2"/>
  <c r="G36" i="1"/>
  <c r="I30" i="1"/>
  <c r="J30" i="1" s="1"/>
  <c r="K30" i="1" s="1"/>
  <c r="L30" i="1" s="1"/>
  <c r="I24" i="1"/>
  <c r="H34" i="1"/>
  <c r="H18" i="1"/>
  <c r="I12" i="1"/>
  <c r="J12" i="1" s="1"/>
  <c r="K12" i="1" s="1"/>
  <c r="I8" i="1"/>
  <c r="H16" i="1"/>
  <c r="I7" i="1"/>
  <c r="H31" i="2" l="1"/>
  <c r="H32" i="2"/>
  <c r="J16" i="2"/>
  <c r="J25" i="2" s="1"/>
  <c r="J26" i="2" s="1"/>
  <c r="I25" i="2"/>
  <c r="I26" i="2" s="1"/>
  <c r="J31" i="1"/>
  <c r="K31" i="1" s="1"/>
  <c r="L31" i="1" s="1"/>
  <c r="M31" i="1" s="1"/>
  <c r="H36" i="1"/>
  <c r="J24" i="1"/>
  <c r="I34" i="1"/>
  <c r="I18" i="1"/>
  <c r="L12" i="1"/>
  <c r="M12" i="1" s="1"/>
  <c r="J8" i="1"/>
  <c r="I16" i="1"/>
  <c r="J9" i="1"/>
  <c r="J13" i="1"/>
  <c r="K13" i="1" s="1"/>
  <c r="L13" i="1" s="1"/>
  <c r="M13" i="1" s="1"/>
  <c r="N13" i="1" s="1"/>
  <c r="I31" i="2" l="1"/>
  <c r="I32" i="2"/>
  <c r="O13" i="1"/>
  <c r="N12" i="1"/>
  <c r="K32" i="1"/>
  <c r="L32" i="1" s="1"/>
  <c r="M32" i="1" s="1"/>
  <c r="N32" i="1" s="1"/>
  <c r="I36" i="1"/>
  <c r="K24" i="1"/>
  <c r="J34" i="1"/>
  <c r="J18" i="1"/>
  <c r="K14" i="1"/>
  <c r="L14" i="1" s="1"/>
  <c r="M14" i="1" s="1"/>
  <c r="N14" i="1" s="1"/>
  <c r="O14" i="1" s="1"/>
  <c r="K9" i="1"/>
  <c r="L33" i="1" s="1"/>
  <c r="M33" i="1" s="1"/>
  <c r="N33" i="1" s="1"/>
  <c r="O33" i="1" s="1"/>
  <c r="J16" i="1"/>
  <c r="P14" i="1" l="1"/>
  <c r="J36" i="1"/>
  <c r="L24" i="1"/>
  <c r="K34" i="1"/>
  <c r="L35" i="1" s="1"/>
  <c r="K18" i="1"/>
  <c r="K16" i="1"/>
  <c r="L10" i="1"/>
  <c r="L15" i="1"/>
  <c r="M15" i="1" s="1"/>
  <c r="N15" i="1" s="1"/>
  <c r="O15" i="1" s="1"/>
  <c r="P15" i="1" s="1"/>
  <c r="Q15" i="1" l="1"/>
  <c r="L19" i="1"/>
  <c r="L17" i="1"/>
  <c r="M34" i="1"/>
  <c r="N34" i="1" s="1"/>
  <c r="O34" i="1" s="1"/>
  <c r="M16" i="1"/>
  <c r="N16" i="1" s="1"/>
  <c r="O16" i="1" s="1"/>
  <c r="P16" i="1" s="1"/>
  <c r="Q16" i="1" s="1"/>
  <c r="L16" i="1"/>
  <c r="L20" i="1"/>
  <c r="N17" i="1"/>
  <c r="O17" i="1" s="1"/>
  <c r="P17" i="1" s="1"/>
  <c r="Q17" i="1" s="1"/>
  <c r="R17" i="1" s="1"/>
  <c r="S17" i="1" s="1"/>
  <c r="L34" i="1"/>
  <c r="L18" i="1"/>
  <c r="K36" i="1"/>
  <c r="L37" i="1" s="1"/>
  <c r="R16" i="1" l="1"/>
  <c r="L36" i="1"/>
  <c r="L38" i="1" s="1"/>
  <c r="C3" i="3" s="1"/>
  <c r="D3" i="3" s="1"/>
  <c r="E3" i="3" s="1"/>
  <c r="F3" i="3" s="1"/>
  <c r="G3" i="3" s="1"/>
  <c r="H3" i="3" s="1"/>
  <c r="I3" i="3" s="1"/>
  <c r="I4" i="3" s="1"/>
  <c r="O18" i="1"/>
  <c r="P18" i="1" s="1"/>
  <c r="Q18" i="1" s="1"/>
  <c r="R18" i="1" s="1"/>
  <c r="S18" i="1" s="1"/>
  <c r="T18" i="1" s="1"/>
  <c r="P19" i="1" l="1"/>
  <c r="Q19" i="1" s="1"/>
  <c r="R19" i="1" s="1"/>
  <c r="S19" i="1" s="1"/>
  <c r="T19" i="1" s="1"/>
  <c r="U19" i="1" s="1"/>
  <c r="J3" i="3"/>
  <c r="J4" i="3" s="1"/>
  <c r="J7" i="3" s="1"/>
  <c r="I5" i="3"/>
  <c r="I6" i="3"/>
  <c r="I7" i="3"/>
  <c r="Q20" i="1" l="1"/>
  <c r="R20" i="1" s="1"/>
  <c r="S20" i="1" s="1"/>
  <c r="T20" i="1" s="1"/>
  <c r="U20" i="1" s="1"/>
  <c r="V20" i="1" s="1"/>
  <c r="J5" i="3"/>
  <c r="J6" i="3"/>
  <c r="R21" i="1" l="1"/>
  <c r="S21" i="1" s="1"/>
  <c r="T21" i="1" s="1"/>
  <c r="U21" i="1" s="1"/>
  <c r="V21" i="1" s="1"/>
  <c r="W21" i="1" s="1"/>
</calcChain>
</file>

<file path=xl/sharedStrings.xml><?xml version="1.0" encoding="utf-8"?>
<sst xmlns="http://schemas.openxmlformats.org/spreadsheetml/2006/main" count="901" uniqueCount="356">
  <si>
    <t>Nombre ovin(fin 2023)</t>
  </si>
  <si>
    <t>Taux de croit caprin</t>
  </si>
  <si>
    <t>Taux de croit ovin</t>
  </si>
  <si>
    <t>Taux mortalité 0-6mois ovin</t>
  </si>
  <si>
    <t>Taux de mortalité ovin</t>
  </si>
  <si>
    <t>Taux mortalité 6-12 mois ovin</t>
  </si>
  <si>
    <t>Taux fertilité ovin</t>
  </si>
  <si>
    <t>Informations sur les ovins</t>
  </si>
  <si>
    <t>Informations sur les  caprins</t>
  </si>
  <si>
    <t>Nombre caprin(fin 2023)</t>
  </si>
  <si>
    <t>Taux mortalité 0-6mois caprin</t>
  </si>
  <si>
    <t>Taux de mortalité caprin</t>
  </si>
  <si>
    <t>Taux mortalité 6-12 mois caprin</t>
  </si>
  <si>
    <t>Taux fertilité caprin</t>
  </si>
  <si>
    <t>Infos global sur les PR</t>
  </si>
  <si>
    <t>Cheptel petits ruminants (fin 2023)</t>
  </si>
  <si>
    <t>Taux croissance moyen pondéré</t>
  </si>
  <si>
    <t>Taux mortalité 0-6mois moyen pondéré</t>
  </si>
  <si>
    <t>Taux mortalité 6-12 mois moyen pondéré</t>
  </si>
  <si>
    <t>Taux mortalité adulet moyen pondéré</t>
  </si>
  <si>
    <t>Taux fertilité moyen pondéré</t>
  </si>
  <si>
    <t>Ratio Ovin/Caprin</t>
  </si>
  <si>
    <t>Taux exploitation femmelle 0-1ans</t>
  </si>
  <si>
    <t>Taux exploitation femmelle 1-2ans</t>
  </si>
  <si>
    <t>Taux exploitation femmelle 2-3ans</t>
  </si>
  <si>
    <t>Taux exploitation femmelle 3-4ans</t>
  </si>
  <si>
    <t>Taux exploitation femmelle 4-5ans</t>
  </si>
  <si>
    <t>Taux exploitation femmelle 5-6ans</t>
  </si>
  <si>
    <t>Taux exploitation male 0-1ans</t>
  </si>
  <si>
    <t>Taux exploitation male 1-2ans</t>
  </si>
  <si>
    <t>Taux exploitation male 2-3ans</t>
  </si>
  <si>
    <t>Taux exploitation male 3-4ans</t>
  </si>
  <si>
    <t>Taux exploitation male 4-5ans</t>
  </si>
  <si>
    <t>Taux exploitation male 5-6ans</t>
  </si>
  <si>
    <t>Taux de séroprévalence initiale</t>
  </si>
  <si>
    <t>Taux de perte d'immunité (annuel)</t>
  </si>
  <si>
    <t>Prolificité caprin</t>
  </si>
  <si>
    <t>Prolificité ovin</t>
  </si>
  <si>
    <t>Planification de la campagne</t>
  </si>
  <si>
    <t>2022/2023</t>
  </si>
  <si>
    <t>2023/2024</t>
  </si>
  <si>
    <t>2024/2025</t>
  </si>
  <si>
    <t>2025/2026</t>
  </si>
  <si>
    <t>2026/2027</t>
  </si>
  <si>
    <t>2027/2028</t>
  </si>
  <si>
    <t>2028/2029</t>
  </si>
  <si>
    <t>2029/2030</t>
  </si>
  <si>
    <t>2030/2031</t>
  </si>
  <si>
    <t xml:space="preserve">Evolution cheptel </t>
  </si>
  <si>
    <t>Nb vaccination effectuées</t>
  </si>
  <si>
    <t>Nb vaccinations cumulées</t>
  </si>
  <si>
    <t xml:space="preserve">Quantité de vaccins nécessaires </t>
  </si>
  <si>
    <t>NB animaux encochés immunisés</t>
  </si>
  <si>
    <t xml:space="preserve">Evolution nb animaux encochés immunisés </t>
  </si>
  <si>
    <t>Evolution taux animaux encochés immunisés</t>
  </si>
  <si>
    <t>Taux SP observée</t>
  </si>
  <si>
    <t>Cout achat vaccins</t>
  </si>
  <si>
    <t>Transport vaccin sur le terrain terrain</t>
  </si>
  <si>
    <t>Paiement éleveurs</t>
  </si>
  <si>
    <t>Paiement vétérinaire punlic par tête</t>
  </si>
  <si>
    <t>Paiement vétérinaire privé/tête</t>
  </si>
  <si>
    <t>Déperdition vaccin</t>
  </si>
  <si>
    <t>Taux de vacc secteur privé (Privé/Total)</t>
  </si>
  <si>
    <t xml:space="preserve">Taux de marquage </t>
  </si>
  <si>
    <t>Taux d'efficacité de la vacination</t>
  </si>
  <si>
    <t>Cout proportionnels</t>
  </si>
  <si>
    <t>Cout achat vaccins + diluant</t>
  </si>
  <si>
    <t>Transport terrain</t>
  </si>
  <si>
    <t>Paiement vac privé</t>
  </si>
  <si>
    <t>Paiement vac pulic</t>
  </si>
  <si>
    <t>Total cout campagne Cfa</t>
  </si>
  <si>
    <t>Taux de prolificité</t>
  </si>
  <si>
    <t>Taux disparition animaux marqués femmelle  0-1ans</t>
  </si>
  <si>
    <t>Taux disparition animaux marqués femmelle  1-2ans</t>
  </si>
  <si>
    <t>Taux disparition animaux marqués femmelle  2-3ans</t>
  </si>
  <si>
    <t>Taux disparition animaux marqués femmelle  3-4ans</t>
  </si>
  <si>
    <t>Taux disparition animaux marqués femmelle  4-5ans</t>
  </si>
  <si>
    <t>Taux disparition animaux marqués femmelle  5-6ans</t>
  </si>
  <si>
    <t>Taux disparition animaux marqués male  0-1ans</t>
  </si>
  <si>
    <t>Taux disparition animaux marqués male  1-2ans</t>
  </si>
  <si>
    <t>Taux disparition animaux marqués male  2-3ans</t>
  </si>
  <si>
    <t>Taux disparition animaux marqués male  3-4ans</t>
  </si>
  <si>
    <t>Taux disparition animaux marqués male  4-5ans</t>
  </si>
  <si>
    <t>Taux disparition animaux marqués male  5-6ans</t>
  </si>
  <si>
    <t>Evolution du troupeau</t>
  </si>
  <si>
    <t>Nombre de femmelle initial</t>
  </si>
  <si>
    <t>Evolution des femmelles sur plusieurs années</t>
  </si>
  <si>
    <t>NB1</t>
  </si>
  <si>
    <t>NB2</t>
  </si>
  <si>
    <t>NB3</t>
  </si>
  <si>
    <t>NB4</t>
  </si>
  <si>
    <t>NB5</t>
  </si>
  <si>
    <t>NB6</t>
  </si>
  <si>
    <t>NB7</t>
  </si>
  <si>
    <t>NB8</t>
  </si>
  <si>
    <t>NB9</t>
  </si>
  <si>
    <t>NB10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</si>
  <si>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</si>
  <si>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</si>
  <si>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</si>
  <si>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</si>
  <si>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</si>
  <si>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</si>
  <si>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</si>
  <si>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</si>
  <si>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</si>
  <si>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</si>
  <si>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A0</t>
  </si>
  <si>
    <t>NB11</t>
  </si>
  <si>
    <t>Total Femmelle</t>
  </si>
  <si>
    <t>Evolution des males sur plusieurs années</t>
  </si>
  <si>
    <t>Tot FAR</t>
  </si>
  <si>
    <t>Total male</t>
  </si>
  <si>
    <t>Tot F+M</t>
  </si>
  <si>
    <t>Taux disparition femelle</t>
  </si>
  <si>
    <t>Taux disparition male</t>
  </si>
  <si>
    <t>Taux disparition globale</t>
  </si>
  <si>
    <t>Ratio F/Tota</t>
  </si>
  <si>
    <t>Ration FAR/Tot</t>
  </si>
  <si>
    <t>Contrôle</t>
  </si>
  <si>
    <t>Evolution de l'immunité des animaux</t>
  </si>
  <si>
    <t>Evolution de l'immunité des femmelles</t>
  </si>
  <si>
    <t>2031/2032</t>
  </si>
  <si>
    <t>Nb imun A1</t>
  </si>
  <si>
    <t>Nb imun A2</t>
  </si>
  <si>
    <t>Nb imun A3</t>
  </si>
  <si>
    <t>Nb imun A4</t>
  </si>
  <si>
    <t>Nb imun A5</t>
  </si>
  <si>
    <t>Nb Imun A6</t>
  </si>
  <si>
    <t>Nb Imun A7</t>
  </si>
  <si>
    <t>Nb Imun A8</t>
  </si>
  <si>
    <t>Nb Imun A9</t>
  </si>
  <si>
    <t>Total F</t>
  </si>
  <si>
    <t>Global</t>
  </si>
  <si>
    <t>A1/A2</t>
  </si>
  <si>
    <t>A2/A3</t>
  </si>
  <si>
    <t>A3/A4</t>
  </si>
  <si>
    <t>A4/A5</t>
  </si>
  <si>
    <t>A5/A6</t>
  </si>
  <si>
    <t>A6/A7</t>
  </si>
  <si>
    <t>Femelle</t>
  </si>
  <si>
    <t>Male</t>
  </si>
  <si>
    <t>Disparition animaux marquées</t>
  </si>
  <si>
    <t>Total M</t>
  </si>
  <si>
    <t>Evolution de l'immunité des males</t>
  </si>
  <si>
    <t>Total F+M</t>
  </si>
  <si>
    <t>contrôle</t>
  </si>
  <si>
    <t>Cheptel total</t>
  </si>
  <si>
    <t xml:space="preserve">Nb animaux non encochés </t>
  </si>
  <si>
    <t>Taux encochés SP/total</t>
  </si>
  <si>
    <t>Composante</t>
  </si>
  <si>
    <t>Sous composante</t>
  </si>
  <si>
    <t>Rubriques</t>
  </si>
  <si>
    <t>Nomenclatures</t>
  </si>
  <si>
    <t>Articles</t>
  </si>
  <si>
    <t>Source Fin 1</t>
  </si>
  <si>
    <t>Désignation</t>
  </si>
  <si>
    <t>Cout Unitaire</t>
  </si>
  <si>
    <t>Q2023/2024</t>
  </si>
  <si>
    <t>Q2024/2025</t>
  </si>
  <si>
    <t>Q2025/2026</t>
  </si>
  <si>
    <t>Q2026/2027</t>
  </si>
  <si>
    <t>Q2027/2028</t>
  </si>
  <si>
    <t>Q2028/2029</t>
  </si>
  <si>
    <t>Q2029/2030</t>
  </si>
  <si>
    <t>Q2030/2031</t>
  </si>
  <si>
    <t>Tot</t>
  </si>
  <si>
    <t>MT2023/2024</t>
  </si>
  <si>
    <t>MT2024/2025</t>
  </si>
  <si>
    <t>MT2025/2026</t>
  </si>
  <si>
    <t>MT2026/2027</t>
  </si>
  <si>
    <t>MT2027/2028</t>
  </si>
  <si>
    <t>MT2028/2029</t>
  </si>
  <si>
    <t>MT2029/2030</t>
  </si>
  <si>
    <t>MT2030/2031</t>
  </si>
  <si>
    <t xml:space="preserve">1 Dispositif/réseau d'épidémiosurveillance </t>
  </si>
  <si>
    <t>Renforcement des capacités techniques du RES</t>
  </si>
  <si>
    <t>Equipement</t>
  </si>
  <si>
    <t>Eq Transport</t>
  </si>
  <si>
    <t>véhicule 4x4</t>
  </si>
  <si>
    <t>A trouver</t>
  </si>
  <si>
    <t>Hilux double cabine 4x4</t>
  </si>
  <si>
    <t>Etat</t>
  </si>
  <si>
    <t>camion frigorifique</t>
  </si>
  <si>
    <t>Camion de contenance 20 pieds</t>
  </si>
  <si>
    <t xml:space="preserve">Motos </t>
  </si>
  <si>
    <t xml:space="preserve">Motos tout terrain </t>
  </si>
  <si>
    <t>Eq Bureaux/informatiques</t>
  </si>
  <si>
    <t xml:space="preserve">Suite informatiques </t>
  </si>
  <si>
    <t>Ordinateur portable</t>
  </si>
  <si>
    <t>Serveur 24" DDR 20T</t>
  </si>
  <si>
    <t>Imprimante couleur haute gamme</t>
  </si>
  <si>
    <t>Video projecteur</t>
  </si>
  <si>
    <t>Appareil GPS</t>
  </si>
  <si>
    <t>Logiciel</t>
  </si>
  <si>
    <t>BD et SIG</t>
  </si>
  <si>
    <t>Smartphone</t>
  </si>
  <si>
    <t>FAO</t>
  </si>
  <si>
    <t>Service</t>
  </si>
  <si>
    <t>Service public</t>
  </si>
  <si>
    <t>Abonnement téléphonique internet</t>
  </si>
  <si>
    <t>Forfait par ab/an</t>
  </si>
  <si>
    <t>Eq Vétérinaire</t>
  </si>
  <si>
    <t>Trousse vétérinaires</t>
  </si>
  <si>
    <t>Eq Froid</t>
  </si>
  <si>
    <t>Congélateur</t>
  </si>
  <si>
    <t>Congélateur - 20</t>
  </si>
  <si>
    <t xml:space="preserve">Refrigérateur </t>
  </si>
  <si>
    <t>Réfrigérateur 150 litres</t>
  </si>
  <si>
    <t>Refrigérateur</t>
  </si>
  <si>
    <t>Réfrigérateur 80 litres</t>
  </si>
  <si>
    <t>Régulateur de tension</t>
  </si>
  <si>
    <t>Régulateur de tension pour réfrigérateur</t>
  </si>
  <si>
    <t>Formation</t>
  </si>
  <si>
    <t>formation continue</t>
  </si>
  <si>
    <t>Formation Kobo Tool Box (KBT) formateur</t>
  </si>
  <si>
    <t>Forfait par session</t>
  </si>
  <si>
    <t>Formation Kobo Tool Box (KBT) agent du réseau</t>
  </si>
  <si>
    <t xml:space="preserve">Formation superviseur </t>
  </si>
  <si>
    <t xml:space="preserve">Formation formateur épidémiologie </t>
  </si>
  <si>
    <t>Forfait annuel</t>
  </si>
  <si>
    <t>Formation épidémiologie agent réseau</t>
  </si>
  <si>
    <t>Fonctionnement du RES</t>
  </si>
  <si>
    <t>Consommables</t>
  </si>
  <si>
    <t>Carburants/lubrifiants</t>
  </si>
  <si>
    <t>Carburant véhicule annuel</t>
  </si>
  <si>
    <t>200000km/an/15l au 100 km/775 cfa litre</t>
  </si>
  <si>
    <t xml:space="preserve">Carburant motos </t>
  </si>
  <si>
    <t>agent réseau annuel</t>
  </si>
  <si>
    <t>Entretien véhicule</t>
  </si>
  <si>
    <t>Entretien motos</t>
  </si>
  <si>
    <t>Cons Bureaux/informatiques</t>
  </si>
  <si>
    <t>Consommable bureau</t>
  </si>
  <si>
    <t>Consommable informatique</t>
  </si>
  <si>
    <t>Frais de transport</t>
  </si>
  <si>
    <t>Transport prélèvement</t>
  </si>
  <si>
    <t>Supervision du RES</t>
  </si>
  <si>
    <t>Personnel</t>
  </si>
  <si>
    <t>Frais de missions</t>
  </si>
  <si>
    <t>Mission supervision</t>
  </si>
  <si>
    <t>30 h/j par an</t>
  </si>
  <si>
    <t xml:space="preserve">Réunions </t>
  </si>
  <si>
    <t>Frais d'organisation de réunion</t>
  </si>
  <si>
    <t>Réunion préparatoire et bilan réseau épidémio</t>
  </si>
  <si>
    <t>Forfait par réunion</t>
  </si>
  <si>
    <t>Dispositif d'intervention rapide</t>
  </si>
  <si>
    <t>Missions terrain</t>
  </si>
  <si>
    <t>60 h/j par an</t>
  </si>
  <si>
    <t>Médicaments</t>
  </si>
  <si>
    <t>Médicaments divers</t>
  </si>
  <si>
    <t>Carburant véhicule</t>
  </si>
  <si>
    <t>15000km</t>
  </si>
  <si>
    <t>2 Organisation des campagne de vaccination</t>
  </si>
  <si>
    <t>Renforcement des capacités techniques des SV</t>
  </si>
  <si>
    <t>Matériel de vaccination</t>
  </si>
  <si>
    <t>Seringues automatiques,</t>
  </si>
  <si>
    <t>Verre de rechange seringue automatique</t>
  </si>
  <si>
    <t>Boite de 100 aiguilles seringue automatique</t>
  </si>
  <si>
    <t>Pinces à marquer</t>
  </si>
  <si>
    <t xml:space="preserve">Thermomêtre </t>
  </si>
  <si>
    <t xml:space="preserve">Thermomètres enregistreur numérique </t>
  </si>
  <si>
    <t>Eq prod energie</t>
  </si>
  <si>
    <t xml:space="preserve">Groupe </t>
  </si>
  <si>
    <t>Groupe électrogène région</t>
  </si>
  <si>
    <t>Formation des vaccinateurs</t>
  </si>
  <si>
    <t>Fonctionnement des campagnes de vaccination</t>
  </si>
  <si>
    <t>Vaccins</t>
  </si>
  <si>
    <t>Vaccins et diluants</t>
  </si>
  <si>
    <t>Par dose</t>
  </si>
  <si>
    <t>Par la banque de vaccins de l'OMSA le cout du vaccin est entre 28 et 33 FCFa la dose</t>
  </si>
  <si>
    <t>Carburant équipe de vaccination</t>
  </si>
  <si>
    <t>1200km/équipe/mois</t>
  </si>
  <si>
    <t>forfait annuel</t>
  </si>
  <si>
    <t>Frais de vaccination</t>
  </si>
  <si>
    <t>Montant Vaccinateur privé/tête</t>
  </si>
  <si>
    <t>50 cfa/tête</t>
  </si>
  <si>
    <t>Montant Vaccinateur public/tête</t>
  </si>
  <si>
    <t>25 cfa/tête</t>
  </si>
  <si>
    <t>Supervision DSV</t>
  </si>
  <si>
    <t>PD service centraux</t>
  </si>
  <si>
    <t>PD services déconcentrés</t>
  </si>
  <si>
    <t>Carburant véhicule SC</t>
  </si>
  <si>
    <t>Carburant véhicule SD</t>
  </si>
  <si>
    <t>Réunion de programmation annuelle</t>
  </si>
  <si>
    <t>Atelier Bilan campagne</t>
  </si>
  <si>
    <t>Lancement campagne</t>
  </si>
  <si>
    <t>3 Renforcement des capacités des Laboratoire</t>
  </si>
  <si>
    <t>Fonctionnement des laboratoires</t>
  </si>
  <si>
    <t>Réactifs</t>
  </si>
  <si>
    <t>Kits diagnostic divers</t>
  </si>
  <si>
    <t>80000km/an/15l au 100 km/775 cfa litre</t>
  </si>
  <si>
    <t>Entretien et maintenance informatique</t>
  </si>
  <si>
    <t>Cons Vétérinaire</t>
  </si>
  <si>
    <t>Consommable de laboratoire</t>
  </si>
  <si>
    <t>Renforcement du plateau technique des laboratoires</t>
  </si>
  <si>
    <t>Ordinateur/imprimante/onduleur</t>
  </si>
  <si>
    <t>Suite Bureautique</t>
  </si>
  <si>
    <t>Congélateur - 80</t>
  </si>
  <si>
    <t>Réfrigérateur</t>
  </si>
  <si>
    <t>Eq Labo</t>
  </si>
  <si>
    <t>Appareil PCR</t>
  </si>
  <si>
    <t>Thermocycleur real time</t>
  </si>
  <si>
    <t>A mon avis cout unitaire trop faible</t>
  </si>
  <si>
    <t>Formation continue</t>
  </si>
  <si>
    <t>Maintenance Eq labo</t>
  </si>
  <si>
    <t>Forfait annuel mais une seule activité prévu sur tout le PNS</t>
  </si>
  <si>
    <t>Formation continue des techniciens</t>
  </si>
  <si>
    <t>Recrutement</t>
  </si>
  <si>
    <t>Agent contractuel</t>
  </si>
  <si>
    <t>Salaires annuel</t>
  </si>
  <si>
    <t>Sero monitoring</t>
  </si>
  <si>
    <t>Kits diagnostics C-ELISA PPR</t>
  </si>
  <si>
    <t xml:space="preserve">forfait </t>
  </si>
  <si>
    <t>Kits diagnostics PPR (PCR)</t>
  </si>
  <si>
    <t>12 000 km/15 litre au 100km/ 775 cfa litre</t>
  </si>
  <si>
    <t>Petit matériel de prélèvement</t>
  </si>
  <si>
    <t>Missions prélèvement</t>
  </si>
  <si>
    <t>42 h/j par an</t>
  </si>
  <si>
    <t>Suivi de la qualité des vaccins</t>
  </si>
  <si>
    <t>Frais d'analyse</t>
  </si>
  <si>
    <t>Frais d'expédition externe (2 envois)</t>
  </si>
  <si>
    <t>Forfait</t>
  </si>
  <si>
    <t>Frais d'analyse externe (187 échantillons)</t>
  </si>
  <si>
    <t>Cout unitaire disproportionné et nombre de prélèvement ne correspondnat pas au narratif</t>
  </si>
  <si>
    <t>Equipement de froid</t>
  </si>
  <si>
    <t>Maintenance de la chambre froide</t>
  </si>
  <si>
    <t>3 000 km/15 litre au 100km/ 775 cfa litre</t>
  </si>
  <si>
    <t>18 h/j par an</t>
  </si>
  <si>
    <t>4 Renforcement de l'implication des éleveurs</t>
  </si>
  <si>
    <t>Conception/diffusion messages de comm/sensibilisation</t>
  </si>
  <si>
    <t>Etude/expertise</t>
  </si>
  <si>
    <t>Conception et impression de dépliants, affiches, autocollants et T-shirts</t>
  </si>
  <si>
    <t xml:space="preserve">Conception de spot radio </t>
  </si>
  <si>
    <t>Conception de spot télé</t>
  </si>
  <si>
    <t>Médias</t>
  </si>
  <si>
    <t>Diffusion de dépliants, affiches, autocollants et T-shirts</t>
  </si>
  <si>
    <t>Diffusion radio</t>
  </si>
  <si>
    <t xml:space="preserve">Diffusion télevision </t>
  </si>
  <si>
    <t>5 Suivi/évaluation du PNS</t>
  </si>
  <si>
    <t xml:space="preserve">Comité de pilotage </t>
  </si>
  <si>
    <t>Atelier de validation du PNS</t>
  </si>
  <si>
    <t>Atelier de vulgarisation du PNS</t>
  </si>
  <si>
    <t>Atelier à mi parcours PNS</t>
  </si>
  <si>
    <t>Atelier bilan final PNS</t>
  </si>
  <si>
    <t>Comité de pilotage annuel</t>
  </si>
  <si>
    <t>Comité de coordination</t>
  </si>
  <si>
    <t>Forfait anniel</t>
  </si>
  <si>
    <t xml:space="preserve">Participation aux réunions internationales </t>
  </si>
  <si>
    <t>Forfait par mission</t>
  </si>
  <si>
    <t>Etudes/expertise</t>
  </si>
  <si>
    <t>Etude PPR diverses</t>
  </si>
  <si>
    <t>Impact économique PPR</t>
  </si>
  <si>
    <t>Forfait par étude</t>
  </si>
  <si>
    <t>Etude PPR</t>
  </si>
  <si>
    <t>Expertise externe</t>
  </si>
  <si>
    <t>Expertise spécifique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</si>
</sst>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_-* #,##0\ _€_-;\-* #,##0\ _€_-;_-* &quot;-&quot;??\ _€_-;_-@_-"/>
    <numFmt numFmtId="167" formatCode="_-* #,##0.00\ _€_-;\-* #,##0.00\ _€_-;_-* &quot;-&quot;??\ _€_-;_-@"/>
    <numFmt numFmtId="168" formatCode="_-* #,##0\ _€_-;\-* #,##0\ _€_-;_-* &quot;-&quot;??\ _€_-;_-@"/>
    <numFmt numFmtId="169" formatCode="_-* #,##0.0000\ _€_-;\-* #,##0.0000\ _€_-;_-* &quot;-&quot;??\ _€_-;_-@"/>
  </numFmts>
  <fonts count="1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70C0"/>
      <name val="Calibri"/>
      <family val="2"/>
    </font>
    <font>
      <b/>
      <sz val="11"/>
      <color theme="0"/>
      <name val="Gill Sans MT"/>
      <family val="2"/>
    </font>
    <font>
      <sz val="11"/>
      <color theme="1"/>
      <name val="Gill Sans MT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4"/>
      <color theme="0"/>
      <name val="Gill Sans MT"/>
      <family val="2"/>
    </font>
    <font>
      <b/>
      <sz val="14"/>
      <color theme="0"/>
      <name val="Gill Sans MT"/>
      <family val="2"/>
    </font>
    <font>
      <b/>
      <sz val="16"/>
      <color theme="0"/>
      <name val="Gill Sans MT"/>
      <family val="2"/>
    </font>
    <font>
      <sz val="11"/>
      <color rgb="FFFF0000"/>
      <name val="Gill Sans MT"/>
      <family val="2"/>
    </font>
    <font>
      <b/>
      <sz val="11"/>
      <color theme="1"/>
      <name val="Gill Sans MT"/>
      <family val="2"/>
    </font>
    <font>
      <sz val="8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Calibri"/>
      <family val="2"/>
    </font>
    <font>
      <b/>
      <sz val="14"/>
      <color theme="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2EFD9"/>
        <bgColor rgb="FFE2EFD9"/>
      </patternFill>
    </fill>
    <fill>
      <patternFill patternType="solid">
        <fgColor theme="0"/>
        <bgColor rgb="FFFF000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6">
    <xf numFmtId="0" fontId="0" fillId="0" borderId="0" xfId="0"/>
    <xf numFmtId="0" fontId="0" fillId="0" borderId="1" xfId="0" applyBorder="1"/>
    <xf numFmtId="0" fontId="2" fillId="0" borderId="1" xfId="0" applyFont="1" applyBorder="1"/>
    <xf numFmtId="164" fontId="3" fillId="0" borderId="1" xfId="0" applyNumberFormat="1" applyFont="1" applyBorder="1" applyAlignment="1">
      <alignment horizontal="center"/>
    </xf>
    <xf numFmtId="0" fontId="5" fillId="0" borderId="1" xfId="0" applyFont="1" applyBorder="1"/>
    <xf numFmtId="3" fontId="6" fillId="0" borderId="1" xfId="0" applyNumberFormat="1" applyFont="1" applyBorder="1"/>
    <xf numFmtId="43" fontId="3" fillId="0" borderId="1" xfId="1" applyFont="1" applyBorder="1" applyAlignment="1">
      <alignment horizontal="center"/>
    </xf>
    <xf numFmtId="10" fontId="3" fillId="0" borderId="1" xfId="2" applyNumberFormat="1" applyFont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0" fontId="1" fillId="0" borderId="1" xfId="0" applyFont="1" applyBorder="1"/>
    <xf numFmtId="3" fontId="7" fillId="3" borderId="1" xfId="0" applyNumberFormat="1" applyFont="1" applyFill="1" applyBorder="1" applyAlignment="1">
      <alignment horizontal="center"/>
    </xf>
    <xf numFmtId="164" fontId="7" fillId="3" borderId="1" xfId="0" applyNumberFormat="1" applyFont="1" applyFill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0" fontId="7" fillId="0" borderId="1" xfId="0" applyNumberFormat="1" applyFont="1" applyBorder="1" applyAlignment="1">
      <alignment horizontal="center"/>
    </xf>
    <xf numFmtId="9" fontId="7" fillId="0" borderId="1" xfId="0" applyNumberFormat="1" applyFont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11" fillId="0" borderId="1" xfId="0" applyFont="1" applyBorder="1"/>
    <xf numFmtId="9" fontId="11" fillId="0" borderId="1" xfId="2" applyFont="1" applyBorder="1"/>
    <xf numFmtId="0" fontId="12" fillId="0" borderId="1" xfId="0" applyFont="1" applyBorder="1"/>
    <xf numFmtId="2" fontId="3" fillId="0" borderId="1" xfId="0" applyNumberFormat="1" applyFont="1" applyBorder="1" applyAlignment="1">
      <alignment horizontal="center"/>
    </xf>
    <xf numFmtId="9" fontId="3" fillId="0" borderId="1" xfId="2" applyFont="1" applyBorder="1" applyAlignment="1">
      <alignment horizontal="center"/>
    </xf>
    <xf numFmtId="1" fontId="0" fillId="0" borderId="0" xfId="0" applyNumberFormat="1"/>
    <xf numFmtId="0" fontId="14" fillId="0" borderId="0" xfId="0" applyFont="1"/>
    <xf numFmtId="0" fontId="1" fillId="0" borderId="0" xfId="0" applyFont="1"/>
    <xf numFmtId="1" fontId="0" fillId="0" borderId="1" xfId="0" applyNumberFormat="1" applyBorder="1"/>
    <xf numFmtId="1" fontId="5" fillId="0" borderId="1" xfId="0" applyNumberFormat="1" applyFont="1" applyBorder="1"/>
    <xf numFmtId="0" fontId="5" fillId="4" borderId="1" xfId="0" applyFont="1" applyFill="1" applyBorder="1"/>
    <xf numFmtId="1" fontId="5" fillId="4" borderId="1" xfId="0" applyNumberFormat="1" applyFont="1" applyFill="1" applyBorder="1"/>
    <xf numFmtId="0" fontId="12" fillId="4" borderId="1" xfId="0" applyFont="1" applyFill="1" applyBorder="1"/>
    <xf numFmtId="0" fontId="0" fillId="0" borderId="8" xfId="0" applyBorder="1"/>
    <xf numFmtId="0" fontId="8" fillId="3" borderId="1" xfId="0" applyFont="1" applyFill="1" applyBorder="1" applyAlignment="1">
      <alignment horizontal="center"/>
    </xf>
    <xf numFmtId="0" fontId="0" fillId="3" borderId="1" xfId="0" applyFill="1" applyBorder="1"/>
    <xf numFmtId="0" fontId="0" fillId="3" borderId="0" xfId="0" applyFill="1"/>
    <xf numFmtId="1" fontId="0" fillId="0" borderId="8" xfId="0" applyNumberFormat="1" applyBorder="1"/>
    <xf numFmtId="165" fontId="0" fillId="0" borderId="1" xfId="1" applyNumberFormat="1" applyFont="1" applyBorder="1"/>
    <xf numFmtId="165" fontId="0" fillId="0" borderId="1" xfId="0" applyNumberFormat="1" applyBorder="1"/>
    <xf numFmtId="0" fontId="5" fillId="5" borderId="1" xfId="0" applyFont="1" applyFill="1" applyBorder="1"/>
    <xf numFmtId="1" fontId="5" fillId="5" borderId="2" xfId="0" applyNumberFormat="1" applyFont="1" applyFill="1" applyBorder="1" applyAlignment="1">
      <alignment horizontal="center"/>
    </xf>
    <xf numFmtId="1" fontId="5" fillId="5" borderId="3" xfId="0" applyNumberFormat="1" applyFont="1" applyFill="1" applyBorder="1" applyAlignment="1">
      <alignment horizontal="center"/>
    </xf>
    <xf numFmtId="1" fontId="5" fillId="5" borderId="4" xfId="0" applyNumberFormat="1" applyFont="1" applyFill="1" applyBorder="1" applyAlignment="1">
      <alignment horizontal="center"/>
    </xf>
    <xf numFmtId="9" fontId="5" fillId="6" borderId="1" xfId="0" applyNumberFormat="1" applyFont="1" applyFill="1" applyBorder="1"/>
    <xf numFmtId="9" fontId="0" fillId="0" borderId="0" xfId="2" applyFont="1"/>
    <xf numFmtId="9" fontId="5" fillId="6" borderId="7" xfId="0" applyNumberFormat="1" applyFont="1" applyFill="1" applyBorder="1"/>
    <xf numFmtId="166" fontId="5" fillId="0" borderId="1" xfId="0" applyNumberFormat="1" applyFont="1" applyBorder="1"/>
    <xf numFmtId="164" fontId="5" fillId="6" borderId="1" xfId="2" applyNumberFormat="1" applyFont="1" applyFill="1" applyBorder="1"/>
    <xf numFmtId="0" fontId="5" fillId="0" borderId="1" xfId="1" applyNumberFormat="1" applyFont="1" applyBorder="1"/>
    <xf numFmtId="1" fontId="5" fillId="4" borderId="9" xfId="0" applyNumberFormat="1" applyFont="1" applyFill="1" applyBorder="1"/>
    <xf numFmtId="3" fontId="7" fillId="0" borderId="10" xfId="0" applyNumberFormat="1" applyFont="1" applyBorder="1" applyAlignment="1">
      <alignment horizontal="center"/>
    </xf>
    <xf numFmtId="3" fontId="7" fillId="0" borderId="11" xfId="0" applyNumberFormat="1" applyFont="1" applyBorder="1" applyAlignment="1">
      <alignment horizontal="center"/>
    </xf>
    <xf numFmtId="3" fontId="5" fillId="0" borderId="1" xfId="0" applyNumberFormat="1" applyFont="1" applyBorder="1"/>
    <xf numFmtId="165" fontId="5" fillId="0" borderId="1" xfId="1" applyNumberFormat="1" applyFont="1" applyBorder="1"/>
    <xf numFmtId="0" fontId="15" fillId="0" borderId="12" xfId="0" applyFont="1" applyBorder="1" applyAlignment="1">
      <alignment horizontal="center"/>
    </xf>
    <xf numFmtId="0" fontId="15" fillId="7" borderId="12" xfId="0" applyFont="1" applyFill="1" applyBorder="1" applyAlignment="1">
      <alignment horizontal="center"/>
    </xf>
    <xf numFmtId="0" fontId="15" fillId="7" borderId="13" xfId="0" applyFont="1" applyFill="1" applyBorder="1" applyAlignment="1">
      <alignment horizontal="center"/>
    </xf>
    <xf numFmtId="1" fontId="0" fillId="6" borderId="0" xfId="0" applyNumberFormat="1" applyFill="1"/>
    <xf numFmtId="9" fontId="0" fillId="6" borderId="0" xfId="2" applyFont="1" applyFill="1"/>
    <xf numFmtId="0" fontId="0" fillId="6" borderId="0" xfId="0" applyFill="1"/>
    <xf numFmtId="9" fontId="6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9" fontId="1" fillId="0" borderId="1" xfId="0" applyNumberFormat="1" applyFont="1" applyBorder="1" applyAlignment="1">
      <alignment horizontal="center"/>
    </xf>
    <xf numFmtId="1" fontId="5" fillId="0" borderId="0" xfId="0" applyNumberFormat="1" applyFont="1"/>
    <xf numFmtId="164" fontId="0" fillId="0" borderId="0" xfId="2" applyNumberFormat="1" applyFont="1"/>
    <xf numFmtId="1" fontId="5" fillId="8" borderId="1" xfId="0" applyNumberFormat="1" applyFont="1" applyFill="1" applyBorder="1"/>
    <xf numFmtId="0" fontId="5" fillId="8" borderId="1" xfId="0" applyFont="1" applyFill="1" applyBorder="1"/>
    <xf numFmtId="10" fontId="5" fillId="0" borderId="1" xfId="2" applyNumberFormat="1" applyFont="1" applyBorder="1"/>
    <xf numFmtId="165" fontId="5" fillId="0" borderId="1" xfId="0" applyNumberFormat="1" applyFont="1" applyBorder="1"/>
    <xf numFmtId="165" fontId="16" fillId="9" borderId="1" xfId="0" applyNumberFormat="1" applyFont="1" applyFill="1" applyBorder="1"/>
    <xf numFmtId="0" fontId="15" fillId="0" borderId="0" xfId="0" applyFont="1"/>
    <xf numFmtId="167" fontId="15" fillId="0" borderId="0" xfId="0" applyNumberFormat="1" applyFont="1"/>
    <xf numFmtId="0" fontId="6" fillId="0" borderId="0" xfId="0" applyFont="1"/>
    <xf numFmtId="167" fontId="6" fillId="0" borderId="0" xfId="0" applyNumberFormat="1" applyFont="1"/>
    <xf numFmtId="168" fontId="6" fillId="0" borderId="0" xfId="0" applyNumberFormat="1" applyFont="1"/>
    <xf numFmtId="0" fontId="6" fillId="10" borderId="0" xfId="0" applyFont="1" applyFill="1"/>
    <xf numFmtId="169" fontId="6" fillId="10" borderId="0" xfId="0" applyNumberFormat="1" applyFont="1" applyFill="1"/>
    <xf numFmtId="3" fontId="6" fillId="10" borderId="0" xfId="0" applyNumberFormat="1" applyFont="1" applyFill="1"/>
    <xf numFmtId="168" fontId="6" fillId="10" borderId="0" xfId="0" applyNumberFormat="1" applyFont="1" applyFill="1"/>
    <xf numFmtId="0" fontId="7" fillId="0" borderId="0" xfId="0" applyFont="1"/>
    <xf numFmtId="167" fontId="7" fillId="0" borderId="0" xfId="0" applyNumberFormat="1" applyFont="1"/>
    <xf numFmtId="168" fontId="7" fillId="0" borderId="0" xfId="0" applyNumberFormat="1" applyFont="1"/>
    <xf numFmtId="0" fontId="6" fillId="11" borderId="0" xfId="0" applyFont="1" applyFill="1"/>
    <xf numFmtId="0" fontId="4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1" fontId="5" fillId="5" borderId="1" xfId="0" applyNumberFormat="1" applyFont="1" applyFill="1" applyBorder="1" applyAlignment="1">
      <alignment horizontal="center"/>
    </xf>
    <xf numFmtId="1" fontId="5" fillId="5" borderId="2" xfId="0" applyNumberFormat="1" applyFont="1" applyFill="1" applyBorder="1" applyAlignment="1">
      <alignment horizontal="center"/>
    </xf>
    <xf numFmtId="1" fontId="5" fillId="5" borderId="3" xfId="0" applyNumberFormat="1" applyFont="1" applyFill="1" applyBorder="1" applyAlignment="1">
      <alignment horizontal="center"/>
    </xf>
    <xf numFmtId="1" fontId="5" fillId="5" borderId="4" xfId="0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358140</xdr:colOff>
      <xdr:row>1</xdr:row>
      <xdr:rowOff>0</xdr:rowOff>
    </xdr:from>
    <xdr:to>
      <xdr:col>5</xdr:col>
      <xdr:colOff>434340</xdr:colOff>
      <xdr:row>19</xdr:row>
      <xdr:rowOff>83820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3BAB0714-C04C-059A-1A30-23C87CAC46E8}"/>
            </a:ext>
          </a:extLst>
        </xdr:cNvPr>
        <xdr:cNvSpPr txBox="1"/>
      </xdr:nvSpPr>
      <xdr:spPr>
        <a:xfrm>
          <a:off x="358140" y="182880"/>
          <a:ext cx="4038600" cy="33756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2000">
              <a:latin typeface="Gill Sans MT" panose="020B0502020104020203" pitchFamily="34" charset="0"/>
            </a:rPr>
            <a:t>Les cellules en rouges sont à mettre</a:t>
          </a:r>
          <a:r>
            <a:rPr lang="fr-FR" sz="2000" baseline="0">
              <a:latin typeface="Gill Sans MT" panose="020B0502020104020203" pitchFamily="34" charset="0"/>
            </a:rPr>
            <a:t> à jour en fonction du pays</a:t>
          </a:r>
          <a:endParaRPr lang="fr-FR" sz="2000">
            <a:latin typeface="Gill Sans MT" panose="020B0502020104020203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D429D-F3C8-4BF7-A48C-F2CF9269AD1B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0E74B-3CF4-47CC-B0BD-AEC54690C822}">
  <dimension ref="A1:B51"/>
  <sheetViews>
    <sheetView topLeftCell="A25" zoomScale="98" workbookViewId="0">
      <selection activeCell="B26" sqref="B26"/>
    </sheetView>
  </sheetViews>
  <sheetFormatPr baseColWidth="10" defaultRowHeight="14.4" x14ac:dyDescent="0.3"/>
  <cols>
    <col min="1" max="1" width="43.6640625" bestFit="1" customWidth="1"/>
    <col min="2" max="2" width="13.109375" bestFit="1" customWidth="1"/>
  </cols>
  <sheetData>
    <row r="1" spans="1:2" ht="18" x14ac:dyDescent="0.5">
      <c r="A1" s="83" t="s">
        <v>8</v>
      </c>
      <c r="B1" s="83"/>
    </row>
    <row r="2" spans="1:2" x14ac:dyDescent="0.3">
      <c r="A2" s="1" t="s">
        <v>9</v>
      </c>
      <c r="B2" s="10">
        <v>4070444</v>
      </c>
    </row>
    <row r="3" spans="1:2" x14ac:dyDescent="0.3">
      <c r="A3" s="1" t="s">
        <v>1</v>
      </c>
      <c r="B3" s="11">
        <v>0.02</v>
      </c>
    </row>
    <row r="4" spans="1:2" x14ac:dyDescent="0.3">
      <c r="A4" s="1" t="s">
        <v>10</v>
      </c>
      <c r="B4" s="11">
        <v>0.2</v>
      </c>
    </row>
    <row r="5" spans="1:2" x14ac:dyDescent="0.3">
      <c r="A5" s="1" t="s">
        <v>11</v>
      </c>
      <c r="B5" s="11">
        <v>0.05</v>
      </c>
    </row>
    <row r="6" spans="1:2" x14ac:dyDescent="0.3">
      <c r="A6" s="1" t="s">
        <v>12</v>
      </c>
      <c r="B6" s="11">
        <v>0.1</v>
      </c>
    </row>
    <row r="7" spans="1:2" x14ac:dyDescent="0.3">
      <c r="A7" s="1" t="s">
        <v>13</v>
      </c>
      <c r="B7" s="11">
        <v>1</v>
      </c>
    </row>
    <row r="8" spans="1:2" x14ac:dyDescent="0.3">
      <c r="A8" s="1" t="s">
        <v>36</v>
      </c>
      <c r="B8" s="16">
        <v>2</v>
      </c>
    </row>
    <row r="9" spans="1:2" ht="18" x14ac:dyDescent="0.5">
      <c r="A9" s="83" t="s">
        <v>7</v>
      </c>
      <c r="B9" s="83"/>
    </row>
    <row r="10" spans="1:2" x14ac:dyDescent="0.3">
      <c r="A10" s="1" t="s">
        <v>0</v>
      </c>
      <c r="B10" s="12">
        <v>2366690</v>
      </c>
    </row>
    <row r="11" spans="1:2" x14ac:dyDescent="0.3">
      <c r="A11" s="2" t="s">
        <v>2</v>
      </c>
      <c r="B11" s="13">
        <v>0.01</v>
      </c>
    </row>
    <row r="12" spans="1:2" x14ac:dyDescent="0.3">
      <c r="A12" s="2" t="s">
        <v>3</v>
      </c>
      <c r="B12" s="13">
        <v>0.2</v>
      </c>
    </row>
    <row r="13" spans="1:2" x14ac:dyDescent="0.3">
      <c r="A13" s="1" t="s">
        <v>4</v>
      </c>
      <c r="B13" s="13">
        <v>0.05</v>
      </c>
    </row>
    <row r="14" spans="1:2" x14ac:dyDescent="0.3">
      <c r="A14" s="1" t="s">
        <v>5</v>
      </c>
      <c r="B14" s="13">
        <v>0.1</v>
      </c>
    </row>
    <row r="15" spans="1:2" x14ac:dyDescent="0.3">
      <c r="A15" s="1" t="s">
        <v>6</v>
      </c>
      <c r="B15" s="13">
        <v>0.9</v>
      </c>
    </row>
    <row r="16" spans="1:2" x14ac:dyDescent="0.3">
      <c r="A16" s="1" t="s">
        <v>37</v>
      </c>
      <c r="B16" s="17">
        <v>1.25</v>
      </c>
    </row>
    <row r="17" spans="1:2" ht="18" x14ac:dyDescent="0.5">
      <c r="A17" s="83" t="s">
        <v>14</v>
      </c>
      <c r="B17" s="83"/>
    </row>
    <row r="18" spans="1:2" x14ac:dyDescent="0.3">
      <c r="A18" s="5" t="s">
        <v>15</v>
      </c>
      <c r="B18" s="6">
        <f>B2+B10</f>
        <v>6437134</v>
      </c>
    </row>
    <row r="19" spans="1:2" x14ac:dyDescent="0.3">
      <c r="A19" s="1" t="s">
        <v>16</v>
      </c>
      <c r="B19" s="7">
        <f>((B2*B3)+(B10*B11))/B18</f>
        <v>1.6323379317565861E-2</v>
      </c>
    </row>
    <row r="20" spans="1:2" x14ac:dyDescent="0.3">
      <c r="A20" s="1" t="s">
        <v>17</v>
      </c>
      <c r="B20" s="3">
        <f>((B2*B4)+(B10*B12))/B18</f>
        <v>0.2</v>
      </c>
    </row>
    <row r="21" spans="1:2" x14ac:dyDescent="0.3">
      <c r="A21" s="1" t="s">
        <v>18</v>
      </c>
      <c r="B21" s="3">
        <f>((B2*B6)+(B10*B14))/B18</f>
        <v>0.1</v>
      </c>
    </row>
    <row r="22" spans="1:2" x14ac:dyDescent="0.3">
      <c r="A22" s="1" t="s">
        <v>19</v>
      </c>
      <c r="B22" s="3">
        <f>((B2*B5)+(B10*B13))/B18</f>
        <v>0.05</v>
      </c>
    </row>
    <row r="23" spans="1:2" x14ac:dyDescent="0.3">
      <c r="A23" s="1" t="s">
        <v>20</v>
      </c>
      <c r="B23" s="8">
        <f>((B2*B7)+(B10*B15))/B18</f>
        <v>0.9632337931756586</v>
      </c>
    </row>
    <row r="24" spans="1:2" x14ac:dyDescent="0.3">
      <c r="A24" s="1" t="s">
        <v>21</v>
      </c>
      <c r="B24" s="8">
        <f>B10/B18</f>
        <v>0.36766206824341391</v>
      </c>
    </row>
    <row r="25" spans="1:2" x14ac:dyDescent="0.3">
      <c r="A25" s="1" t="s">
        <v>71</v>
      </c>
      <c r="B25" s="21">
        <f>B8*(1-B24)+(B16*B24)</f>
        <v>1.7242534488174395</v>
      </c>
    </row>
    <row r="26" spans="1:2" x14ac:dyDescent="0.3">
      <c r="A26" s="1" t="s">
        <v>78</v>
      </c>
      <c r="B26" s="22">
        <f>B20+B21+B44</f>
        <v>0.45000000000000007</v>
      </c>
    </row>
    <row r="27" spans="1:2" x14ac:dyDescent="0.3">
      <c r="A27" s="1" t="s">
        <v>79</v>
      </c>
      <c r="B27" s="22">
        <f>IF((B22+B45)&lt;1,B22+B45,1)</f>
        <v>0.55000000000000004</v>
      </c>
    </row>
    <row r="28" spans="1:2" x14ac:dyDescent="0.3">
      <c r="A28" s="1" t="s">
        <v>80</v>
      </c>
      <c r="B28" s="22">
        <f>IF((B22+B46)&lt;1,B22+B46,1)</f>
        <v>0.75</v>
      </c>
    </row>
    <row r="29" spans="1:2" x14ac:dyDescent="0.3">
      <c r="A29" s="1" t="s">
        <v>81</v>
      </c>
      <c r="B29" s="22">
        <f>IF((B22+B47)&lt;1,B22+B47,1)</f>
        <v>1</v>
      </c>
    </row>
    <row r="30" spans="1:2" x14ac:dyDescent="0.3">
      <c r="A30" s="1" t="s">
        <v>82</v>
      </c>
      <c r="B30" s="22">
        <f>IF((B22+B47)&lt;1,B22+B47,1)</f>
        <v>1</v>
      </c>
    </row>
    <row r="31" spans="1:2" x14ac:dyDescent="0.3">
      <c r="A31" s="1" t="s">
        <v>83</v>
      </c>
      <c r="B31" s="22">
        <f>IF((B22+B49)&lt;1,B22+B49,1)</f>
        <v>1</v>
      </c>
    </row>
    <row r="32" spans="1:2" x14ac:dyDescent="0.3">
      <c r="A32" s="1" t="s">
        <v>72</v>
      </c>
      <c r="B32" s="22">
        <f>IF((B20+B21+B38)&lt;1,B20+B21+B38,1)</f>
        <v>0.35000000000000003</v>
      </c>
    </row>
    <row r="33" spans="1:2" x14ac:dyDescent="0.3">
      <c r="A33" s="1" t="s">
        <v>73</v>
      </c>
      <c r="B33" s="22">
        <f>IF((B22+B39)&lt;1,B22+B39,1)</f>
        <v>0.2</v>
      </c>
    </row>
    <row r="34" spans="1:2" x14ac:dyDescent="0.3">
      <c r="A34" s="1" t="s">
        <v>74</v>
      </c>
      <c r="B34" s="22">
        <f>IF((B22+B40)&lt;1,B22+B40,1)</f>
        <v>0.31</v>
      </c>
    </row>
    <row r="35" spans="1:2" x14ac:dyDescent="0.3">
      <c r="A35" s="1" t="s">
        <v>75</v>
      </c>
      <c r="B35" s="22">
        <f>IF((B22+B41)&lt;1,B22+B41,1)</f>
        <v>0.53</v>
      </c>
    </row>
    <row r="36" spans="1:2" x14ac:dyDescent="0.3">
      <c r="A36" s="1" t="s">
        <v>76</v>
      </c>
      <c r="B36" s="22">
        <f>IF((B22+B42)&lt;1,B22+B42,1)</f>
        <v>0.74</v>
      </c>
    </row>
    <row r="37" spans="1:2" x14ac:dyDescent="0.3">
      <c r="A37" s="1" t="s">
        <v>77</v>
      </c>
      <c r="B37" s="22">
        <f>IF((B22+B43)&lt;1,B22+B43,1)</f>
        <v>1</v>
      </c>
    </row>
    <row r="38" spans="1:2" x14ac:dyDescent="0.3">
      <c r="A38" s="1" t="s">
        <v>22</v>
      </c>
      <c r="B38" s="14">
        <v>0.05</v>
      </c>
    </row>
    <row r="39" spans="1:2" x14ac:dyDescent="0.3">
      <c r="A39" s="1" t="s">
        <v>23</v>
      </c>
      <c r="B39" s="14">
        <v>0.15</v>
      </c>
    </row>
    <row r="40" spans="1:2" x14ac:dyDescent="0.3">
      <c r="A40" s="1" t="s">
        <v>24</v>
      </c>
      <c r="B40" s="14">
        <v>0.26</v>
      </c>
    </row>
    <row r="41" spans="1:2" x14ac:dyDescent="0.3">
      <c r="A41" s="1" t="s">
        <v>25</v>
      </c>
      <c r="B41" s="14">
        <v>0.48</v>
      </c>
    </row>
    <row r="42" spans="1:2" x14ac:dyDescent="0.3">
      <c r="A42" s="1" t="s">
        <v>26</v>
      </c>
      <c r="B42" s="14">
        <v>0.69</v>
      </c>
    </row>
    <row r="43" spans="1:2" x14ac:dyDescent="0.3">
      <c r="A43" s="1" t="s">
        <v>27</v>
      </c>
      <c r="B43" s="14">
        <v>1</v>
      </c>
    </row>
    <row r="44" spans="1:2" x14ac:dyDescent="0.3">
      <c r="A44" s="1" t="s">
        <v>28</v>
      </c>
      <c r="B44" s="14">
        <v>0.15</v>
      </c>
    </row>
    <row r="45" spans="1:2" x14ac:dyDescent="0.3">
      <c r="A45" s="1" t="s">
        <v>29</v>
      </c>
      <c r="B45" s="14">
        <v>0.5</v>
      </c>
    </row>
    <row r="46" spans="1:2" x14ac:dyDescent="0.3">
      <c r="A46" s="1" t="s">
        <v>30</v>
      </c>
      <c r="B46" s="14">
        <v>0.7</v>
      </c>
    </row>
    <row r="47" spans="1:2" x14ac:dyDescent="0.3">
      <c r="A47" s="1" t="s">
        <v>31</v>
      </c>
      <c r="B47" s="14">
        <v>1</v>
      </c>
    </row>
    <row r="48" spans="1:2" x14ac:dyDescent="0.3">
      <c r="A48" s="1" t="s">
        <v>32</v>
      </c>
      <c r="B48" s="14">
        <v>1</v>
      </c>
    </row>
    <row r="49" spans="1:2" x14ac:dyDescent="0.3">
      <c r="A49" s="1" t="s">
        <v>33</v>
      </c>
      <c r="B49" s="14">
        <v>1</v>
      </c>
    </row>
    <row r="50" spans="1:2" x14ac:dyDescent="0.3">
      <c r="A50" s="1" t="s">
        <v>34</v>
      </c>
      <c r="B50" s="15">
        <v>0.45</v>
      </c>
    </row>
    <row r="51" spans="1:2" x14ac:dyDescent="0.3">
      <c r="A51" s="9" t="s">
        <v>35</v>
      </c>
      <c r="B51" s="15">
        <v>0.05</v>
      </c>
    </row>
  </sheetData>
  <mergeCells count="3">
    <mergeCell ref="A9:B9"/>
    <mergeCell ref="A1:B1"/>
    <mergeCell ref="A17:B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CDA0B-106A-4B8B-8758-8EB2336D0C63}">
  <dimension ref="A1:K26"/>
  <sheetViews>
    <sheetView workbookViewId="0">
      <pane ySplit="1" topLeftCell="A2" activePane="bottomLeft" state="frozen"/>
      <selection pane="bottomLeft" activeCell="N20" sqref="N20"/>
    </sheetView>
  </sheetViews>
  <sheetFormatPr baseColWidth="10" defaultRowHeight="14.4" x14ac:dyDescent="0.3"/>
  <cols>
    <col min="1" max="1" width="36.88671875" bestFit="1" customWidth="1"/>
    <col min="2" max="2" width="12.77734375" bestFit="1" customWidth="1"/>
    <col min="3" max="3" width="15.5546875" bestFit="1" customWidth="1"/>
    <col min="4" max="8" width="12.6640625" bestFit="1" customWidth="1"/>
    <col min="9" max="9" width="14.5546875" bestFit="1" customWidth="1"/>
    <col min="10" max="10" width="12.6640625" bestFit="1" customWidth="1"/>
    <col min="11" max="11" width="17.6640625" bestFit="1" customWidth="1"/>
  </cols>
  <sheetData>
    <row r="1" spans="1:10" ht="21.6" x14ac:dyDescent="0.55000000000000004">
      <c r="A1" s="84" t="s">
        <v>38</v>
      </c>
      <c r="B1" s="84"/>
      <c r="C1" s="84"/>
      <c r="D1" s="84"/>
      <c r="E1" s="84"/>
      <c r="F1" s="84"/>
      <c r="G1" s="84"/>
      <c r="H1" s="84"/>
      <c r="I1" s="84"/>
      <c r="J1" s="84"/>
    </row>
    <row r="2" spans="1:10" ht="18" x14ac:dyDescent="0.5">
      <c r="A2" s="4"/>
      <c r="B2" s="20" t="s">
        <v>39</v>
      </c>
      <c r="C2" s="20" t="s">
        <v>40</v>
      </c>
      <c r="D2" s="20" t="s">
        <v>41</v>
      </c>
      <c r="E2" s="20" t="s">
        <v>42</v>
      </c>
      <c r="F2" s="20" t="s">
        <v>43</v>
      </c>
      <c r="G2" s="20" t="s">
        <v>44</v>
      </c>
      <c r="H2" s="20" t="s">
        <v>45</v>
      </c>
      <c r="I2" s="20" t="s">
        <v>46</v>
      </c>
      <c r="J2" s="20" t="s">
        <v>47</v>
      </c>
    </row>
    <row r="3" spans="1:10" ht="18" x14ac:dyDescent="0.5">
      <c r="A3" s="4" t="s">
        <v>48</v>
      </c>
      <c r="B3" s="47">
        <f>InfosCheptel!B18</f>
        <v>6437134</v>
      </c>
      <c r="C3" s="45">
        <f>B3*(1+Troupeau!$L$38)</f>
        <v>6541688.3313591043</v>
      </c>
      <c r="D3" s="45">
        <f>C3*(1+Troupeau!$L$38)</f>
        <v>6647940.873164962</v>
      </c>
      <c r="E3" s="45">
        <f>D3*(1+Troupeau!$L$38)</f>
        <v>6755919.2083850494</v>
      </c>
      <c r="F3" s="45">
        <f>E3*(1+Troupeau!$L$38)</f>
        <v>6865651.3679996897</v>
      </c>
      <c r="G3" s="45">
        <f>F3*(1+Troupeau!$L$38)</f>
        <v>6977165.8382788431</v>
      </c>
      <c r="H3" s="45">
        <f>G3*(1+Troupeau!$L$38)</f>
        <v>7090491.568177091</v>
      </c>
      <c r="I3" s="45">
        <f>H3*(1+Troupeau!$L$38)</f>
        <v>7205657.9768487336</v>
      </c>
      <c r="J3" s="45">
        <f>I3*(1+Troupeau!$L$38)</f>
        <v>7322694.9612849467</v>
      </c>
    </row>
    <row r="4" spans="1:10" ht="18" x14ac:dyDescent="0.5">
      <c r="A4" s="4" t="s">
        <v>49</v>
      </c>
      <c r="B4" s="4"/>
      <c r="C4" s="49">
        <v>1000000</v>
      </c>
      <c r="D4" s="50">
        <v>1000000</v>
      </c>
      <c r="E4" s="50">
        <v>3000000</v>
      </c>
      <c r="F4" s="50">
        <v>4000000</v>
      </c>
      <c r="G4" s="50">
        <v>4000000</v>
      </c>
      <c r="H4" s="50">
        <v>4000000</v>
      </c>
      <c r="I4" s="45">
        <f>I3*Troupeau!$L$20*InfosCheptel!$B$23*InfosCheptel!$B$25*(1-InfosCheptel!$B$20)/2</f>
        <v>2283890.1608118373</v>
      </c>
      <c r="J4" s="45">
        <f>J3*Troupeau!$L$20*InfosCheptel!$B$23*InfosCheptel!$B$25*(1-InfosCheptel!$B$20)/2</f>
        <v>2320985.9566522404</v>
      </c>
    </row>
    <row r="5" spans="1:10" ht="18" x14ac:dyDescent="0.5">
      <c r="A5" s="4" t="s">
        <v>50</v>
      </c>
      <c r="B5" s="4"/>
      <c r="C5" s="51">
        <f>C4</f>
        <v>1000000</v>
      </c>
      <c r="D5" s="51">
        <f>C5+D4</f>
        <v>2000000</v>
      </c>
      <c r="E5" s="51">
        <f>D5+E4</f>
        <v>5000000</v>
      </c>
      <c r="F5" s="51">
        <f t="shared" ref="F5:H5" si="0">E5+F4</f>
        <v>9000000</v>
      </c>
      <c r="G5" s="51">
        <f t="shared" si="0"/>
        <v>13000000</v>
      </c>
      <c r="H5" s="51">
        <f t="shared" si="0"/>
        <v>17000000</v>
      </c>
      <c r="I5" s="51">
        <f t="shared" ref="I5" si="1">H5+I4</f>
        <v>19283890.160811838</v>
      </c>
      <c r="J5" s="51">
        <f t="shared" ref="J5" si="2">I5+J4</f>
        <v>21604876.117464077</v>
      </c>
    </row>
    <row r="6" spans="1:10" ht="18" x14ac:dyDescent="0.5">
      <c r="A6" s="4" t="s">
        <v>51</v>
      </c>
      <c r="B6" s="4"/>
      <c r="C6" s="52">
        <f>C4*(1+B16)</f>
        <v>1050000</v>
      </c>
      <c r="D6" s="52">
        <f t="shared" ref="D6:J6" si="3">D4*(1+C16)</f>
        <v>1050000</v>
      </c>
      <c r="E6" s="52">
        <f t="shared" si="3"/>
        <v>3150000</v>
      </c>
      <c r="F6" s="52">
        <f t="shared" si="3"/>
        <v>4200000</v>
      </c>
      <c r="G6" s="52">
        <f t="shared" si="3"/>
        <v>4200000</v>
      </c>
      <c r="H6" s="52">
        <f t="shared" si="3"/>
        <v>4200000</v>
      </c>
      <c r="I6" s="52">
        <f t="shared" si="3"/>
        <v>2398084.6688524294</v>
      </c>
      <c r="J6" s="52">
        <f t="shared" si="3"/>
        <v>2437035.2544848523</v>
      </c>
    </row>
    <row r="7" spans="1:10" ht="18" x14ac:dyDescent="0.5">
      <c r="A7" s="4" t="s">
        <v>52</v>
      </c>
      <c r="B7" s="4"/>
      <c r="C7" s="52">
        <f>C4*C18*C19</f>
        <v>350000</v>
      </c>
      <c r="D7" s="52">
        <f t="shared" ref="D7:J7" si="4">D4*D18*D19</f>
        <v>450000</v>
      </c>
      <c r="E7" s="52">
        <f t="shared" si="4"/>
        <v>1680000</v>
      </c>
      <c r="F7" s="52">
        <f t="shared" si="4"/>
        <v>2880000</v>
      </c>
      <c r="G7" s="52">
        <f t="shared" si="4"/>
        <v>3420000</v>
      </c>
      <c r="H7" s="52">
        <f t="shared" si="4"/>
        <v>3420000</v>
      </c>
      <c r="I7" s="52">
        <f t="shared" si="4"/>
        <v>1952726.0874941209</v>
      </c>
      <c r="J7" s="52">
        <f t="shared" si="4"/>
        <v>1984442.9929376657</v>
      </c>
    </row>
    <row r="8" spans="1:10" ht="18" x14ac:dyDescent="0.5">
      <c r="A8" s="4" t="s">
        <v>53</v>
      </c>
      <c r="B8" s="4"/>
      <c r="C8" s="27">
        <f>'Calcul immunité'!B26</f>
        <v>350000</v>
      </c>
      <c r="D8" s="27">
        <f>'Calcul immunité'!C26</f>
        <v>629731.60485295695</v>
      </c>
      <c r="E8" s="27">
        <f>'Calcul immunité'!D26</f>
        <v>1988689.7576488866</v>
      </c>
      <c r="F8" s="27">
        <f>'Calcul immunité'!E26</f>
        <v>3867272.7322856667</v>
      </c>
      <c r="G8" s="27">
        <f>'Calcul immunité'!F26</f>
        <v>5308180.5981532149</v>
      </c>
      <c r="H8" s="27">
        <f>'Calcul immunité'!G26</f>
        <v>5940041.4669286814</v>
      </c>
      <c r="I8" s="65"/>
      <c r="J8" s="65"/>
    </row>
    <row r="9" spans="1:10" ht="18" x14ac:dyDescent="0.5">
      <c r="A9" s="4" t="s">
        <v>54</v>
      </c>
      <c r="B9" s="4"/>
      <c r="C9" s="67">
        <f>IF(C8/C3&lt;1,C8/C3,"Nombre vacc trop élévé")</f>
        <v>5.3503007522109181E-2</v>
      </c>
      <c r="D9" s="67">
        <f t="shared" ref="D9:H9" si="5">IF(D8/D3&lt;1,D8/D3,"Nombre vacc trop élévé")</f>
        <v>9.4725813130337511E-2</v>
      </c>
      <c r="E9" s="67">
        <f t="shared" si="5"/>
        <v>0.29436257248023956</v>
      </c>
      <c r="F9" s="67">
        <f t="shared" si="5"/>
        <v>0.56327834388893505</v>
      </c>
      <c r="G9" s="67">
        <f t="shared" si="5"/>
        <v>0.76079323914460084</v>
      </c>
      <c r="H9" s="67">
        <f t="shared" si="5"/>
        <v>0.83774748334632299</v>
      </c>
      <c r="I9" s="66"/>
      <c r="J9" s="66"/>
    </row>
    <row r="10" spans="1:10" ht="18" x14ac:dyDescent="0.5">
      <c r="A10" s="4" t="s">
        <v>55</v>
      </c>
      <c r="B10" s="4"/>
      <c r="C10" s="4"/>
      <c r="D10" s="4"/>
      <c r="E10" s="4"/>
      <c r="F10" s="4"/>
      <c r="G10" s="4"/>
      <c r="H10" s="4"/>
      <c r="I10" s="4"/>
      <c r="J10" s="4"/>
    </row>
    <row r="11" spans="1:10" ht="18" x14ac:dyDescent="0.5">
      <c r="A11" s="4" t="s">
        <v>56</v>
      </c>
      <c r="B11" s="18">
        <v>35</v>
      </c>
      <c r="C11" s="18">
        <v>35</v>
      </c>
      <c r="D11" s="18">
        <v>35</v>
      </c>
      <c r="E11" s="18">
        <v>35</v>
      </c>
      <c r="F11" s="18">
        <v>35</v>
      </c>
      <c r="G11" s="18">
        <v>35</v>
      </c>
      <c r="H11" s="18">
        <v>35</v>
      </c>
      <c r="I11" s="18">
        <v>35</v>
      </c>
      <c r="J11" s="18">
        <v>35</v>
      </c>
    </row>
    <row r="12" spans="1:10" ht="18" x14ac:dyDescent="0.5">
      <c r="A12" s="4" t="s">
        <v>57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</row>
    <row r="13" spans="1:10" ht="18" x14ac:dyDescent="0.5">
      <c r="A13" s="4" t="s">
        <v>58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</row>
    <row r="14" spans="1:10" ht="18" x14ac:dyDescent="0.5">
      <c r="A14" s="4" t="s">
        <v>59</v>
      </c>
      <c r="B14" s="18">
        <v>25</v>
      </c>
      <c r="C14" s="18">
        <v>25</v>
      </c>
      <c r="D14" s="18">
        <v>25</v>
      </c>
      <c r="E14" s="18">
        <v>25</v>
      </c>
      <c r="F14" s="18">
        <v>25</v>
      </c>
      <c r="G14" s="18">
        <v>25</v>
      </c>
      <c r="H14" s="18">
        <v>25</v>
      </c>
      <c r="I14" s="18">
        <v>25</v>
      </c>
      <c r="J14" s="18">
        <v>25</v>
      </c>
    </row>
    <row r="15" spans="1:10" ht="18" x14ac:dyDescent="0.5">
      <c r="A15" s="4" t="s">
        <v>60</v>
      </c>
      <c r="B15" s="18">
        <v>50</v>
      </c>
      <c r="C15" s="18">
        <v>50</v>
      </c>
      <c r="D15" s="18">
        <v>50</v>
      </c>
      <c r="E15" s="18">
        <v>50</v>
      </c>
      <c r="F15" s="18">
        <v>50</v>
      </c>
      <c r="G15" s="18">
        <v>50</v>
      </c>
      <c r="H15" s="18">
        <v>50</v>
      </c>
      <c r="I15" s="18">
        <v>50</v>
      </c>
      <c r="J15" s="18">
        <v>50</v>
      </c>
    </row>
    <row r="16" spans="1:10" ht="18" x14ac:dyDescent="0.5">
      <c r="A16" s="4" t="s">
        <v>61</v>
      </c>
      <c r="B16" s="19">
        <v>0.05</v>
      </c>
      <c r="C16" s="19">
        <v>0.05</v>
      </c>
      <c r="D16" s="19">
        <v>0.05</v>
      </c>
      <c r="E16" s="19">
        <v>0.05</v>
      </c>
      <c r="F16" s="19">
        <v>0.05</v>
      </c>
      <c r="G16" s="19">
        <v>0.05</v>
      </c>
      <c r="H16" s="19">
        <v>0.05</v>
      </c>
      <c r="I16" s="19">
        <v>0.05</v>
      </c>
      <c r="J16" s="19">
        <v>0.05</v>
      </c>
    </row>
    <row r="17" spans="1:11" ht="18" x14ac:dyDescent="0.5">
      <c r="A17" s="4" t="s">
        <v>62</v>
      </c>
      <c r="B17" s="19">
        <v>0.5</v>
      </c>
      <c r="C17" s="19">
        <v>0.5</v>
      </c>
      <c r="D17" s="19">
        <v>0.5</v>
      </c>
      <c r="E17" s="19">
        <v>0.5</v>
      </c>
      <c r="F17" s="19">
        <v>0.5</v>
      </c>
      <c r="G17" s="19">
        <v>0.5</v>
      </c>
      <c r="H17" s="19">
        <v>0.5</v>
      </c>
      <c r="I17" s="19">
        <v>0.5</v>
      </c>
      <c r="J17" s="19">
        <v>0.5</v>
      </c>
    </row>
    <row r="18" spans="1:11" ht="18" x14ac:dyDescent="0.5">
      <c r="A18" s="4" t="s">
        <v>63</v>
      </c>
      <c r="B18" s="19">
        <v>0</v>
      </c>
      <c r="C18" s="19">
        <v>0.5</v>
      </c>
      <c r="D18" s="19">
        <v>0.6</v>
      </c>
      <c r="E18" s="19">
        <v>0.7</v>
      </c>
      <c r="F18" s="19">
        <v>0.8</v>
      </c>
      <c r="G18" s="19">
        <v>0.9</v>
      </c>
      <c r="H18" s="19">
        <v>0.9</v>
      </c>
      <c r="I18" s="19">
        <v>0.9</v>
      </c>
      <c r="J18" s="19">
        <v>0.9</v>
      </c>
    </row>
    <row r="19" spans="1:11" ht="18" x14ac:dyDescent="0.5">
      <c r="A19" s="4" t="s">
        <v>64</v>
      </c>
      <c r="B19" s="19">
        <v>0.7</v>
      </c>
      <c r="C19" s="19">
        <v>0.7</v>
      </c>
      <c r="D19" s="19">
        <v>0.75</v>
      </c>
      <c r="E19" s="19">
        <v>0.8</v>
      </c>
      <c r="F19" s="19">
        <v>0.9</v>
      </c>
      <c r="G19" s="19">
        <v>0.95</v>
      </c>
      <c r="H19" s="19">
        <v>0.95</v>
      </c>
      <c r="I19" s="19">
        <v>0.95</v>
      </c>
      <c r="J19" s="19">
        <v>0.95</v>
      </c>
    </row>
    <row r="20" spans="1:11" ht="24.6" x14ac:dyDescent="0.6">
      <c r="A20" s="85" t="s">
        <v>65</v>
      </c>
      <c r="B20" s="85"/>
      <c r="C20" s="85"/>
      <c r="D20" s="85"/>
      <c r="E20" s="85"/>
      <c r="F20" s="85"/>
      <c r="G20" s="85"/>
      <c r="H20" s="85"/>
      <c r="I20" s="85"/>
      <c r="J20" s="85"/>
      <c r="K20" s="1"/>
    </row>
    <row r="21" spans="1:11" ht="18" x14ac:dyDescent="0.5">
      <c r="A21" s="4" t="s">
        <v>66</v>
      </c>
      <c r="B21" s="4"/>
      <c r="C21" s="68">
        <f>C11*C6</f>
        <v>36750000</v>
      </c>
      <c r="D21" s="68">
        <f t="shared" ref="D21:J21" si="6">D11*D6</f>
        <v>36750000</v>
      </c>
      <c r="E21" s="68">
        <f t="shared" si="6"/>
        <v>110250000</v>
      </c>
      <c r="F21" s="68">
        <f t="shared" si="6"/>
        <v>147000000</v>
      </c>
      <c r="G21" s="68">
        <f t="shared" si="6"/>
        <v>147000000</v>
      </c>
      <c r="H21" s="68">
        <f t="shared" si="6"/>
        <v>147000000</v>
      </c>
      <c r="I21" s="68">
        <f t="shared" si="6"/>
        <v>83932963.409835026</v>
      </c>
      <c r="J21" s="68">
        <f t="shared" si="6"/>
        <v>85296233.90696983</v>
      </c>
      <c r="K21" s="37">
        <f>SUM(C21:J21)</f>
        <v>793979197.31680477</v>
      </c>
    </row>
    <row r="22" spans="1:11" ht="18" x14ac:dyDescent="0.5">
      <c r="A22" s="4" t="s">
        <v>67</v>
      </c>
      <c r="B22" s="4"/>
      <c r="C22" s="68">
        <f>B12*C6</f>
        <v>0</v>
      </c>
      <c r="D22" s="68">
        <f t="shared" ref="D22:J22" si="7">C12*D6</f>
        <v>0</v>
      </c>
      <c r="E22" s="68">
        <f t="shared" si="7"/>
        <v>0</v>
      </c>
      <c r="F22" s="68">
        <f t="shared" si="7"/>
        <v>0</v>
      </c>
      <c r="G22" s="68">
        <f t="shared" si="7"/>
        <v>0</v>
      </c>
      <c r="H22" s="68">
        <f t="shared" si="7"/>
        <v>0</v>
      </c>
      <c r="I22" s="68">
        <f t="shared" si="7"/>
        <v>0</v>
      </c>
      <c r="J22" s="68">
        <f t="shared" si="7"/>
        <v>0</v>
      </c>
      <c r="K22" s="37">
        <f t="shared" ref="K22:K26" si="8">SUM(C22:J22)</f>
        <v>0</v>
      </c>
    </row>
    <row r="23" spans="1:11" ht="18" x14ac:dyDescent="0.5">
      <c r="A23" s="4" t="s">
        <v>68</v>
      </c>
      <c r="B23" s="4"/>
      <c r="C23" s="27">
        <f>C15*C17*C4</f>
        <v>25000000</v>
      </c>
      <c r="D23" s="27">
        <f t="shared" ref="D23:J23" si="9">D15*D17*D4</f>
        <v>25000000</v>
      </c>
      <c r="E23" s="27">
        <f t="shared" si="9"/>
        <v>75000000</v>
      </c>
      <c r="F23" s="27">
        <f t="shared" si="9"/>
        <v>100000000</v>
      </c>
      <c r="G23" s="27">
        <f t="shared" si="9"/>
        <v>100000000</v>
      </c>
      <c r="H23" s="27">
        <f t="shared" si="9"/>
        <v>100000000</v>
      </c>
      <c r="I23" s="27">
        <f t="shared" si="9"/>
        <v>57097254.020295933</v>
      </c>
      <c r="J23" s="27">
        <f t="shared" si="9"/>
        <v>58024648.916306011</v>
      </c>
      <c r="K23" s="37">
        <f t="shared" si="8"/>
        <v>540121902.93660188</v>
      </c>
    </row>
    <row r="24" spans="1:11" ht="18" x14ac:dyDescent="0.5">
      <c r="A24" s="4" t="s">
        <v>69</v>
      </c>
      <c r="B24" s="4"/>
      <c r="C24" s="27">
        <f>C14*C4*(1-C17)</f>
        <v>12500000</v>
      </c>
      <c r="D24" s="27">
        <f t="shared" ref="D24:J24" si="10">D14*D4*(1-D17)</f>
        <v>12500000</v>
      </c>
      <c r="E24" s="27">
        <f t="shared" si="10"/>
        <v>37500000</v>
      </c>
      <c r="F24" s="27">
        <f t="shared" si="10"/>
        <v>50000000</v>
      </c>
      <c r="G24" s="27">
        <f t="shared" si="10"/>
        <v>50000000</v>
      </c>
      <c r="H24" s="27">
        <f t="shared" si="10"/>
        <v>50000000</v>
      </c>
      <c r="I24" s="27">
        <f t="shared" si="10"/>
        <v>28548627.010147966</v>
      </c>
      <c r="J24" s="27">
        <f t="shared" si="10"/>
        <v>29012324.458153006</v>
      </c>
      <c r="K24" s="37">
        <f t="shared" si="8"/>
        <v>270060951.46830094</v>
      </c>
    </row>
    <row r="25" spans="1:11" ht="19.8" x14ac:dyDescent="0.5">
      <c r="A25" s="4" t="s">
        <v>70</v>
      </c>
      <c r="B25" s="4"/>
      <c r="C25" s="68">
        <f>SUM(C21:C24)</f>
        <v>74250000</v>
      </c>
      <c r="D25" s="68">
        <f t="shared" ref="D25:J25" si="11">SUM(D21:D24)</f>
        <v>74250000</v>
      </c>
      <c r="E25" s="68">
        <f t="shared" si="11"/>
        <v>222750000</v>
      </c>
      <c r="F25" s="68">
        <f t="shared" si="11"/>
        <v>297000000</v>
      </c>
      <c r="G25" s="68">
        <f t="shared" si="11"/>
        <v>297000000</v>
      </c>
      <c r="H25" s="68">
        <f t="shared" si="11"/>
        <v>297000000</v>
      </c>
      <c r="I25" s="68">
        <f t="shared" si="11"/>
        <v>169578844.44027892</v>
      </c>
      <c r="J25" s="68">
        <f t="shared" si="11"/>
        <v>172333207.28142884</v>
      </c>
      <c r="K25" s="69">
        <f t="shared" si="8"/>
        <v>1604162051.7217078</v>
      </c>
    </row>
    <row r="26" spans="1:11" ht="18" x14ac:dyDescent="0.5">
      <c r="A26" s="4" t="s">
        <v>58</v>
      </c>
      <c r="B26" s="4"/>
      <c r="C26" s="4">
        <f>B13*C4</f>
        <v>0</v>
      </c>
      <c r="D26" s="4">
        <f t="shared" ref="D26:J26" si="12">C13*D4</f>
        <v>0</v>
      </c>
      <c r="E26" s="4">
        <f t="shared" si="12"/>
        <v>0</v>
      </c>
      <c r="F26" s="4">
        <f t="shared" si="12"/>
        <v>0</v>
      </c>
      <c r="G26" s="4">
        <f t="shared" si="12"/>
        <v>0</v>
      </c>
      <c r="H26" s="4">
        <f t="shared" si="12"/>
        <v>0</v>
      </c>
      <c r="I26" s="4">
        <f t="shared" si="12"/>
        <v>0</v>
      </c>
      <c r="J26" s="4">
        <f t="shared" si="12"/>
        <v>0</v>
      </c>
      <c r="K26" s="37">
        <f t="shared" si="8"/>
        <v>0</v>
      </c>
    </row>
  </sheetData>
  <mergeCells count="2">
    <mergeCell ref="A1:J1"/>
    <mergeCell ref="A20:J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6E176-E677-46EB-9BA0-14FA4AC76E2D}">
  <dimension ref="A1:BK39"/>
  <sheetViews>
    <sheetView workbookViewId="0">
      <selection activeCell="B5" sqref="B5"/>
    </sheetView>
  </sheetViews>
  <sheetFormatPr baseColWidth="10" defaultRowHeight="14.4" x14ac:dyDescent="0.3"/>
  <cols>
    <col min="1" max="1" width="23.77734375" bestFit="1" customWidth="1"/>
    <col min="2" max="2" width="13.5546875" bestFit="1" customWidth="1"/>
    <col min="3" max="3" width="12.5546875" bestFit="1" customWidth="1"/>
    <col min="7" max="7" width="15.5546875" bestFit="1" customWidth="1"/>
    <col min="12" max="12" width="20.5546875" bestFit="1" customWidth="1"/>
    <col min="15" max="15" width="15.21875" bestFit="1" customWidth="1"/>
  </cols>
  <sheetData>
    <row r="1" spans="1:18" ht="21.6" x14ac:dyDescent="0.55000000000000004">
      <c r="A1" s="90" t="s">
        <v>84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2"/>
    </row>
    <row r="2" spans="1:18" ht="18" x14ac:dyDescent="0.5">
      <c r="A2" s="4" t="s">
        <v>85</v>
      </c>
      <c r="B2" s="18">
        <v>1000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18" ht="21.6" x14ac:dyDescent="0.55000000000000004">
      <c r="A3" s="90" t="s">
        <v>86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2"/>
    </row>
    <row r="4" spans="1:18" ht="18" x14ac:dyDescent="0.5">
      <c r="A4" s="4"/>
      <c r="B4" s="28" t="s">
        <v>107</v>
      </c>
      <c r="C4" s="30" t="s">
        <v>97</v>
      </c>
      <c r="D4" s="30" t="s">
        <v>98</v>
      </c>
      <c r="E4" s="30" t="s">
        <v>99</v>
      </c>
      <c r="F4" s="30" t="s">
        <v>100</v>
      </c>
      <c r="G4" s="30" t="s">
        <v>101</v>
      </c>
      <c r="H4" s="30" t="s">
        <v>102</v>
      </c>
      <c r="I4" s="30" t="s">
        <v>103</v>
      </c>
      <c r="J4" s="30" t="s">
        <v>104</v>
      </c>
      <c r="K4" s="30" t="s">
        <v>105</v>
      </c>
      <c r="L4" s="30" t="s">
        <v>106</v>
      </c>
    </row>
    <row r="5" spans="1:18" ht="18" x14ac:dyDescent="0.5">
      <c r="A5" s="4" t="s">
        <v>87</v>
      </c>
      <c r="B5" s="27">
        <f>((B2*InfosCheptel!B23*InfosCheptel!B25)*(1-InfosCheptel!B32))/2</f>
        <v>539.77923671770577</v>
      </c>
      <c r="C5" s="27">
        <f>B5*(1-InfosCheptel!B33)</f>
        <v>431.82338937416466</v>
      </c>
      <c r="D5" s="27">
        <f>C5*(1-InfosCheptel!B34)</f>
        <v>297.9581386681736</v>
      </c>
      <c r="E5" s="27">
        <f>D5*(1-InfosCheptel!B35)</f>
        <v>140.04032517404158</v>
      </c>
      <c r="F5" s="27">
        <f>E5*(1-InfosCheptel!B36)</f>
        <v>36.41048454525081</v>
      </c>
      <c r="G5" s="27">
        <f>F5*(1-1)</f>
        <v>0</v>
      </c>
      <c r="H5" s="4"/>
      <c r="I5" s="4"/>
      <c r="J5" s="4"/>
      <c r="K5" s="4"/>
      <c r="L5" s="4"/>
    </row>
    <row r="6" spans="1:18" ht="18" x14ac:dyDescent="0.5">
      <c r="A6" s="4" t="s">
        <v>88</v>
      </c>
      <c r="B6" s="4"/>
      <c r="C6" s="27">
        <f t="shared" ref="C6:H6" si="0">B5</f>
        <v>539.77923671770577</v>
      </c>
      <c r="D6" s="27">
        <f t="shared" si="0"/>
        <v>431.82338937416466</v>
      </c>
      <c r="E6" s="27">
        <f t="shared" si="0"/>
        <v>297.9581386681736</v>
      </c>
      <c r="F6" s="27">
        <f t="shared" si="0"/>
        <v>140.04032517404158</v>
      </c>
      <c r="G6" s="27">
        <f t="shared" si="0"/>
        <v>36.41048454525081</v>
      </c>
      <c r="H6" s="27">
        <f t="shared" si="0"/>
        <v>0</v>
      </c>
      <c r="I6" s="4"/>
      <c r="J6" s="4"/>
      <c r="K6" s="4"/>
      <c r="L6" s="4"/>
    </row>
    <row r="7" spans="1:18" ht="18" x14ac:dyDescent="0.5">
      <c r="A7" s="4" t="s">
        <v>89</v>
      </c>
      <c r="B7" s="4"/>
      <c r="C7" s="4"/>
      <c r="D7" s="27">
        <f t="shared" ref="D7:I7" si="1">C6</f>
        <v>539.77923671770577</v>
      </c>
      <c r="E7" s="27">
        <f t="shared" si="1"/>
        <v>431.82338937416466</v>
      </c>
      <c r="F7" s="27">
        <f t="shared" si="1"/>
        <v>297.9581386681736</v>
      </c>
      <c r="G7" s="27">
        <f t="shared" si="1"/>
        <v>140.04032517404158</v>
      </c>
      <c r="H7" s="27">
        <f t="shared" si="1"/>
        <v>36.41048454525081</v>
      </c>
      <c r="I7" s="27">
        <f t="shared" si="1"/>
        <v>0</v>
      </c>
      <c r="J7" s="4"/>
      <c r="K7" s="4"/>
      <c r="L7" s="4"/>
    </row>
    <row r="8" spans="1:18" ht="18" x14ac:dyDescent="0.5">
      <c r="A8" s="4" t="s">
        <v>90</v>
      </c>
      <c r="B8" s="4"/>
      <c r="C8" s="4"/>
      <c r="D8" s="4"/>
      <c r="E8" s="27">
        <f t="shared" ref="E8:J8" si="2">D7</f>
        <v>539.77923671770577</v>
      </c>
      <c r="F8" s="27">
        <f t="shared" si="2"/>
        <v>431.82338937416466</v>
      </c>
      <c r="G8" s="27">
        <f t="shared" si="2"/>
        <v>297.9581386681736</v>
      </c>
      <c r="H8" s="27">
        <f t="shared" si="2"/>
        <v>140.04032517404158</v>
      </c>
      <c r="I8" s="27">
        <f t="shared" si="2"/>
        <v>36.41048454525081</v>
      </c>
      <c r="J8" s="27">
        <f t="shared" si="2"/>
        <v>0</v>
      </c>
      <c r="K8" s="4"/>
      <c r="L8" s="4"/>
    </row>
    <row r="9" spans="1:18" ht="18" x14ac:dyDescent="0.5">
      <c r="A9" s="4" t="s">
        <v>91</v>
      </c>
      <c r="B9" s="4"/>
      <c r="C9" s="4"/>
      <c r="D9" s="4"/>
      <c r="E9" s="4"/>
      <c r="F9" s="27">
        <f t="shared" ref="F9:K9" si="3">E8</f>
        <v>539.77923671770577</v>
      </c>
      <c r="G9" s="27">
        <f t="shared" si="3"/>
        <v>431.82338937416466</v>
      </c>
      <c r="H9" s="27">
        <f t="shared" si="3"/>
        <v>297.9581386681736</v>
      </c>
      <c r="I9" s="27">
        <f t="shared" si="3"/>
        <v>140.04032517404158</v>
      </c>
      <c r="J9" s="27">
        <f t="shared" si="3"/>
        <v>36.41048454525081</v>
      </c>
      <c r="K9" s="27">
        <f t="shared" si="3"/>
        <v>0</v>
      </c>
      <c r="L9" s="4"/>
      <c r="M9" s="56">
        <f>SUM(L10:L14)</f>
        <v>984.69127731110586</v>
      </c>
      <c r="N9" s="56">
        <f>SUM(M11:M14)</f>
        <v>518.17741453288568</v>
      </c>
      <c r="O9" s="56">
        <f>SUM(N12:N14)</f>
        <v>193.48085454213529</v>
      </c>
      <c r="P9" s="56">
        <f>SUM(O13:O14)</f>
        <v>40.057915034128392</v>
      </c>
    </row>
    <row r="10" spans="1:18" ht="18" x14ac:dyDescent="0.5">
      <c r="A10" s="4" t="s">
        <v>92</v>
      </c>
      <c r="B10" s="4"/>
      <c r="C10" s="4"/>
      <c r="D10" s="4"/>
      <c r="E10" s="4"/>
      <c r="F10" s="4"/>
      <c r="G10" s="27">
        <f>((SUM(F5:F8)+F9/4)*InfosCheptel!B23*InfosCheptel!B25*(1-InfosCheptel!B32)/2)</f>
        <v>562.00580566376254</v>
      </c>
      <c r="H10" s="27">
        <f>G10*(1-InfosCheptel!B33)</f>
        <v>449.60464453101008</v>
      </c>
      <c r="I10" s="27">
        <f>H10*(1-InfosCheptel!B34)</f>
        <v>310.22720472639691</v>
      </c>
      <c r="J10" s="27">
        <f>I10*(1-InfosCheptel!B35)</f>
        <v>145.80678622140653</v>
      </c>
      <c r="K10" s="27">
        <f>J10*(1-InfosCheptel!B36)</f>
        <v>37.909764417565697</v>
      </c>
      <c r="L10" s="27">
        <f>K9</f>
        <v>0</v>
      </c>
      <c r="M10" s="57">
        <f>(M9-N9)/M9</f>
        <v>0.47376662465430636</v>
      </c>
      <c r="N10" s="57">
        <f t="shared" ref="N10:P10" si="4">(N9-O9)/N9</f>
        <v>0.6266127215973899</v>
      </c>
      <c r="O10" s="57">
        <f t="shared" si="4"/>
        <v>0.79296186628426957</v>
      </c>
      <c r="P10" s="57">
        <f t="shared" si="4"/>
        <v>1</v>
      </c>
    </row>
    <row r="11" spans="1:18" ht="18" x14ac:dyDescent="0.5">
      <c r="A11" s="4" t="s">
        <v>93</v>
      </c>
      <c r="B11" s="4"/>
      <c r="C11" s="4"/>
      <c r="D11" s="4"/>
      <c r="E11" s="4"/>
      <c r="F11" s="4"/>
      <c r="G11" s="4"/>
      <c r="H11" s="27">
        <f>((SUM(G6:G9)+G10/4)*InfosCheptel!B23*InfosCheptel!B25*(1-InfosCheptel!B32))/2</f>
        <v>565.00516576890141</v>
      </c>
      <c r="I11" s="27">
        <f>H11*(1-InfosCheptel!B33)</f>
        <v>452.00413261512114</v>
      </c>
      <c r="J11" s="27">
        <f>I11*(1-InfosCheptel!B34)</f>
        <v>311.88285150443357</v>
      </c>
      <c r="K11" s="27">
        <f>J11*(1-InfosCheptel!B35)</f>
        <v>146.58494020708378</v>
      </c>
      <c r="L11" s="27">
        <f>K10</f>
        <v>37.909764417565697</v>
      </c>
      <c r="M11">
        <f>L11*(1-InfosCheptel!B37)</f>
        <v>0</v>
      </c>
    </row>
    <row r="12" spans="1:18" ht="18" x14ac:dyDescent="0.5">
      <c r="A12" s="4" t="s">
        <v>94</v>
      </c>
      <c r="B12" s="4"/>
      <c r="C12" s="4"/>
      <c r="D12" s="4"/>
      <c r="E12" s="4"/>
      <c r="F12" s="4"/>
      <c r="G12" s="4"/>
      <c r="H12" s="4"/>
      <c r="I12" s="27">
        <f>((SUM(H7:H10)+H11/4)*InfosCheptel!B23*InfosCheptel!B25*(1-InfosCheptel!B32))/2</f>
        <v>575.00786618239454</v>
      </c>
      <c r="J12" s="27">
        <f>I12*(1-InfosCheptel!B33)</f>
        <v>460.00629294591567</v>
      </c>
      <c r="K12" s="27">
        <f>J12*(1-InfosCheptel!B34)</f>
        <v>317.40434213268179</v>
      </c>
      <c r="L12" s="27">
        <f>K12*(1-InfosCheptel!B35)</f>
        <v>149.18004080236042</v>
      </c>
      <c r="M12" s="23">
        <f>L12*(1-InfosCheptel!B36)</f>
        <v>38.786810608613713</v>
      </c>
      <c r="N12">
        <f>M12*(1-InfosCheptel!$B$37)</f>
        <v>0</v>
      </c>
    </row>
    <row r="13" spans="1:18" ht="18" x14ac:dyDescent="0.5">
      <c r="A13" s="4" t="s">
        <v>95</v>
      </c>
      <c r="B13" s="4"/>
      <c r="C13" s="4"/>
      <c r="D13" s="4"/>
      <c r="E13" s="4"/>
      <c r="F13" s="4"/>
      <c r="G13" s="4"/>
      <c r="H13" s="4"/>
      <c r="I13" s="4"/>
      <c r="J13" s="27">
        <f>((SUM(I8:I11)+I12/4)*InfosCheptel!B23*InfosCheptel!B25*(1-InfosCheptel!B32))/2</f>
        <v>584.27545963967384</v>
      </c>
      <c r="K13" s="27">
        <f>J13*(1-InfosCheptel!B33)</f>
        <v>467.42036771173912</v>
      </c>
      <c r="L13" s="27">
        <f>K13*(1-InfosCheptel!B34)</f>
        <v>322.52005372109994</v>
      </c>
      <c r="M13" s="23">
        <f>L13*(1-InfosCheptel!B35)</f>
        <v>151.58442524891697</v>
      </c>
      <c r="N13" s="23">
        <f>M13*(1-InfosCheptel!$B$36)</f>
        <v>39.411950564718417</v>
      </c>
      <c r="O13">
        <f>N13*(1-InfosCheptel!$B$37)</f>
        <v>0</v>
      </c>
    </row>
    <row r="14" spans="1:18" ht="18" x14ac:dyDescent="0.5">
      <c r="A14" s="4" t="s">
        <v>96</v>
      </c>
      <c r="B14" s="4"/>
      <c r="C14" s="4"/>
      <c r="D14" s="4"/>
      <c r="E14" s="4"/>
      <c r="F14" s="4"/>
      <c r="G14" s="4"/>
      <c r="H14" s="4"/>
      <c r="I14" s="4"/>
      <c r="J14" s="4"/>
      <c r="K14" s="27">
        <f>((SUM(J9:J12)+J13/4)*InfosCheptel!B23*InfosCheptel!B25*(1-InfosCheptel!B32))/2</f>
        <v>593.85177296259974</v>
      </c>
      <c r="L14" s="27">
        <f>K14*(1-InfosCheptel!B33)</f>
        <v>475.0814183700798</v>
      </c>
      <c r="M14" s="23">
        <f>L14*(1-InfosCheptel!B34)</f>
        <v>327.80617867535506</v>
      </c>
      <c r="N14" s="23">
        <f>M14*(1-InfosCheptel!$B$35)</f>
        <v>154.06890397741688</v>
      </c>
      <c r="O14" s="23">
        <f>N14*(1-InfosCheptel!$B$36)</f>
        <v>40.057915034128392</v>
      </c>
      <c r="P14">
        <f>O14*(1-InfosCheptel!$B$37)</f>
        <v>0</v>
      </c>
    </row>
    <row r="15" spans="1:18" ht="18" x14ac:dyDescent="0.5">
      <c r="A15" s="4" t="s">
        <v>108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27">
        <f>((SUM(K10:K13)+K14/4)*InfosCheptel!B23*InfosCheptel!B25*(1-InfosCheptel!B32))/2</f>
        <v>603.35570786107041</v>
      </c>
      <c r="M15" s="23">
        <f>L15*(1-InfosCheptel!B33)</f>
        <v>482.68456628885633</v>
      </c>
      <c r="N15" s="23">
        <f>M15*(1-InfosCheptel!$B$34)</f>
        <v>333.05235073931084</v>
      </c>
      <c r="O15" s="23">
        <f>N15*(1-InfosCheptel!$B$35)</f>
        <v>156.53460484747609</v>
      </c>
      <c r="P15" s="23">
        <f>O15*(1-InfosCheptel!$B$36)</f>
        <v>40.698997260343788</v>
      </c>
      <c r="Q15">
        <f>P15*(1-InfosCheptel!$B$37)</f>
        <v>0</v>
      </c>
    </row>
    <row r="16" spans="1:18" ht="18" x14ac:dyDescent="0.5">
      <c r="A16" s="28" t="s">
        <v>109</v>
      </c>
      <c r="B16" s="29">
        <f>SUM(B5:B15)</f>
        <v>539.77923671770577</v>
      </c>
      <c r="C16" s="29">
        <f t="shared" ref="C16:K16" si="5">SUM(C5:C15)</f>
        <v>971.60262609187043</v>
      </c>
      <c r="D16" s="29">
        <f t="shared" si="5"/>
        <v>1269.5607647600441</v>
      </c>
      <c r="E16" s="29">
        <f t="shared" si="5"/>
        <v>1409.6010899340856</v>
      </c>
      <c r="F16" s="29">
        <f t="shared" si="5"/>
        <v>1446.0115744793366</v>
      </c>
      <c r="G16" s="29">
        <f t="shared" si="5"/>
        <v>1468.2381434253932</v>
      </c>
      <c r="H16" s="29">
        <f t="shared" si="5"/>
        <v>1489.0187586873776</v>
      </c>
      <c r="I16" s="29">
        <f t="shared" si="5"/>
        <v>1513.6900132432049</v>
      </c>
      <c r="J16" s="29">
        <f t="shared" si="5"/>
        <v>1538.3818748566805</v>
      </c>
      <c r="K16" s="29">
        <f t="shared" si="5"/>
        <v>1563.1711874316702</v>
      </c>
      <c r="L16" s="29">
        <f>SUM(L5:L15)</f>
        <v>1588.0469851721764</v>
      </c>
      <c r="M16" s="48">
        <f>((SUM(L10:L14)+L15/4)*InfosCheptel!B23*InfosCheptel!B25*(1-InfosCheptel!B32))/2</f>
        <v>612.93562693420154</v>
      </c>
      <c r="N16" s="48">
        <f>M16*(1-InfosCheptel!$B$33)</f>
        <v>490.34850154736125</v>
      </c>
      <c r="O16" s="23">
        <f>N16*(1-InfosCheptel!$B$34)</f>
        <v>338.34046606767924</v>
      </c>
      <c r="P16" s="23">
        <f>O16*(1-InfosCheptel!$B$35)</f>
        <v>159.02001905180924</v>
      </c>
      <c r="Q16" s="23">
        <f>P16*(1-InfosCheptel!$B$36)</f>
        <v>41.345204953470407</v>
      </c>
      <c r="R16">
        <f>Q16*(1-InfosCheptel!$B$37)</f>
        <v>0</v>
      </c>
    </row>
    <row r="17" spans="1:63" ht="18" x14ac:dyDescent="0.5">
      <c r="A17" s="38" t="s">
        <v>114</v>
      </c>
      <c r="B17" s="87"/>
      <c r="C17" s="88"/>
      <c r="D17" s="88"/>
      <c r="E17" s="88"/>
      <c r="F17" s="88"/>
      <c r="G17" s="88"/>
      <c r="H17" s="88"/>
      <c r="I17" s="88"/>
      <c r="J17" s="88"/>
      <c r="K17" s="89"/>
      <c r="L17" s="42">
        <f>(K16-SUM(L5:L14))/K16</f>
        <v>0.37006817600765879</v>
      </c>
      <c r="N17" s="23">
        <f>((SUM(M12:M15)+M16/4)*InfosCheptel!$B$23*InfosCheptel!$B$25*(1-InfosCheptel!$B$32))/2</f>
        <v>622.956997283639</v>
      </c>
      <c r="O17" s="48">
        <f>N17*(1-InfosCheptel!$B$33)</f>
        <v>498.3655978269112</v>
      </c>
      <c r="P17" s="23">
        <f>O17*(1-InfosCheptel!$B$34)</f>
        <v>343.8722625005687</v>
      </c>
      <c r="Q17" s="23">
        <f>P17*(1-InfosCheptel!$B$35)</f>
        <v>161.61996337526728</v>
      </c>
      <c r="R17" s="23">
        <f>Q17*(1-InfosCheptel!$B$36)</f>
        <v>42.02119047756949</v>
      </c>
      <c r="S17">
        <f>R17*(1-InfosCheptel!$B$37)</f>
        <v>0</v>
      </c>
    </row>
    <row r="18" spans="1:63" ht="18" x14ac:dyDescent="0.5">
      <c r="A18" s="28" t="s">
        <v>111</v>
      </c>
      <c r="B18" s="29"/>
      <c r="C18" s="29"/>
      <c r="D18" s="29">
        <f>(D16-D7)+D7/4</f>
        <v>864.72633722176477</v>
      </c>
      <c r="E18" s="29">
        <f>(E16-E8)+E8/4</f>
        <v>1004.7666623958063</v>
      </c>
      <c r="F18" s="29">
        <f>(F16-F9)+F9/4</f>
        <v>1041.1771469410573</v>
      </c>
      <c r="G18" s="29">
        <f>SUM(G6:G9)+G10/4</f>
        <v>1046.7337891775712</v>
      </c>
      <c r="H18" s="29">
        <f>SUM(H7:H10)+H11/4</f>
        <v>1065.2648843607014</v>
      </c>
      <c r="I18" s="29">
        <f>SUM(I7:I11)+I12/4</f>
        <v>1082.434113606409</v>
      </c>
      <c r="J18" s="29">
        <f>SUM(J8:J12)+J13/4</f>
        <v>1100.1752801269249</v>
      </c>
      <c r="K18" s="29">
        <f>SUM(K9:K13)+K14/4</f>
        <v>1117.7823577097204</v>
      </c>
      <c r="L18" s="29">
        <f>SUM(L10:L14)+L15/4</f>
        <v>1135.5302042763735</v>
      </c>
      <c r="O18" s="23">
        <f>((SUM(N13:N16)+N17/4)*InfosCheptel!$B$23*InfosCheptel!$B$25*(1-InfosCheptel!$B$32))/2</f>
        <v>632.95644466968076</v>
      </c>
      <c r="P18" s="48">
        <f>O18*(1-InfosCheptel!$B$33)</f>
        <v>506.36515573574462</v>
      </c>
      <c r="Q18" s="23">
        <f>P18*(1-InfosCheptel!$B$34)</f>
        <v>349.39195745766375</v>
      </c>
      <c r="R18" s="23">
        <f>Q18*(1-InfosCheptel!$B$35)</f>
        <v>164.21422000510196</v>
      </c>
      <c r="S18" s="23">
        <f>R18*(1-InfosCheptel!$B$36)</f>
        <v>42.69569720132651</v>
      </c>
      <c r="T18">
        <f>S18*(1-InfosCheptel!$B$37)</f>
        <v>0</v>
      </c>
    </row>
    <row r="19" spans="1:63" ht="18" x14ac:dyDescent="0.5">
      <c r="A19" s="38" t="s">
        <v>117</v>
      </c>
      <c r="B19" s="39"/>
      <c r="C19" s="40"/>
      <c r="D19" s="40"/>
      <c r="E19" s="40"/>
      <c r="F19" s="40"/>
      <c r="G19" s="40"/>
      <c r="H19" s="40"/>
      <c r="I19" s="40"/>
      <c r="J19" s="40"/>
      <c r="K19" s="41"/>
      <c r="L19" s="42">
        <f>K16/(K16+K34)</f>
        <v>0.6672030992328799</v>
      </c>
      <c r="P19" s="23">
        <f>((SUM(O14:O17)+O18/4)*InfosCheptel!$B$23*InfosCheptel!$B$25*(1-InfosCheptel!$B$32))/2</f>
        <v>643.16730749703913</v>
      </c>
      <c r="Q19" s="48">
        <f>P19*(1-InfosCheptel!$B$33)</f>
        <v>514.53384599763137</v>
      </c>
      <c r="R19" s="23">
        <f>Q19*(1-InfosCheptel!$B$34)</f>
        <v>355.02835373836564</v>
      </c>
      <c r="S19" s="23">
        <f>R19*(1-InfosCheptel!$B$35)</f>
        <v>166.86332625703184</v>
      </c>
      <c r="T19" s="23">
        <f>S19*(1-InfosCheptel!$B$36)</f>
        <v>43.384464826828278</v>
      </c>
      <c r="U19">
        <f>T19*(1-InfosCheptel!$B$37)</f>
        <v>0</v>
      </c>
    </row>
    <row r="20" spans="1:63" ht="18" x14ac:dyDescent="0.5">
      <c r="A20" s="38" t="s">
        <v>118</v>
      </c>
      <c r="B20" s="87"/>
      <c r="C20" s="88"/>
      <c r="D20" s="88"/>
      <c r="E20" s="88"/>
      <c r="F20" s="88"/>
      <c r="G20" s="88"/>
      <c r="H20" s="88"/>
      <c r="I20" s="88"/>
      <c r="J20" s="88"/>
      <c r="K20" s="89"/>
      <c r="L20" s="44">
        <f>(SUM(K5:K13)+K14/4)/(K16+K34)</f>
        <v>0.47709928338502028</v>
      </c>
      <c r="N20" s="23"/>
      <c r="Q20" s="23">
        <f>((SUM(P15:P18)+P19/4)*InfosCheptel!$B$23*InfosCheptel!$B$25*(1-InfosCheptel!$B$32))/2</f>
        <v>653.53677240804859</v>
      </c>
      <c r="R20" s="48">
        <f>Q20*(1-InfosCheptel!$B$33)</f>
        <v>522.82941792643885</v>
      </c>
      <c r="S20" s="23">
        <f>R20*(1-InfosCheptel!$B$34)</f>
        <v>360.75229836924279</v>
      </c>
      <c r="T20" s="23">
        <f>S20*(1-InfosCheptel!$B$35)</f>
        <v>169.5535802335441</v>
      </c>
      <c r="U20" s="23">
        <f>T20*(1-InfosCheptel!$B$36)</f>
        <v>44.083930860721466</v>
      </c>
      <c r="V20">
        <f>U20*(1-InfosCheptel!$B$37)</f>
        <v>0</v>
      </c>
    </row>
    <row r="21" spans="1:63" ht="21.6" x14ac:dyDescent="0.55000000000000004">
      <c r="A21" s="93" t="s">
        <v>110</v>
      </c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5"/>
      <c r="N21" s="23"/>
      <c r="R21" s="23">
        <f>((SUM(Q16:Q19)+Q20/4)*InfosCheptel!$B$23*InfosCheptel!$B$25*(1-InfosCheptel!$B$32))/2</f>
        <v>664.07698945493917</v>
      </c>
      <c r="S21" s="48">
        <f>R21*(1-InfosCheptel!$B$33)</f>
        <v>531.26159156395136</v>
      </c>
      <c r="T21" s="23">
        <f>S21*(1-InfosCheptel!$B$34)</f>
        <v>366.57049817912639</v>
      </c>
      <c r="U21" s="23">
        <f>T21*(1-InfosCheptel!$B$35)</f>
        <v>172.2881341441894</v>
      </c>
      <c r="V21" s="23">
        <f>U21*(1-InfosCheptel!$B$36)</f>
        <v>44.794914877489248</v>
      </c>
      <c r="W21">
        <f>V21*(1-InfosCheptel!$B$37)</f>
        <v>0</v>
      </c>
    </row>
    <row r="22" spans="1:63" s="33" customFormat="1" ht="21.6" x14ac:dyDescent="0.55000000000000004">
      <c r="A22" s="32"/>
      <c r="B22" s="28" t="s">
        <v>107</v>
      </c>
      <c r="C22" s="30" t="s">
        <v>97</v>
      </c>
      <c r="D22" s="30" t="s">
        <v>98</v>
      </c>
      <c r="E22" s="30" t="s">
        <v>99</v>
      </c>
      <c r="F22" s="30" t="s">
        <v>100</v>
      </c>
      <c r="G22" s="30" t="s">
        <v>101</v>
      </c>
      <c r="H22" s="30" t="s">
        <v>102</v>
      </c>
      <c r="I22" s="30" t="s">
        <v>103</v>
      </c>
      <c r="J22" s="30" t="s">
        <v>104</v>
      </c>
      <c r="K22" s="30" t="s">
        <v>105</v>
      </c>
      <c r="L22" s="30" t="s">
        <v>106</v>
      </c>
      <c r="M22" s="34"/>
      <c r="N22" s="34"/>
      <c r="O22" s="34"/>
      <c r="P22" s="34"/>
      <c r="Q22" s="34"/>
      <c r="R22" s="34"/>
      <c r="S22" s="23"/>
      <c r="T22" s="48"/>
      <c r="U22" s="23"/>
      <c r="V22" s="23"/>
      <c r="W22" s="23"/>
      <c r="X22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</row>
    <row r="23" spans="1:63" ht="18" x14ac:dyDescent="0.5">
      <c r="A23" s="31" t="s">
        <v>87</v>
      </c>
      <c r="B23" s="35">
        <f>(B2*InfosCheptel!B23*InfosCheptel!B25*(1-InfosCheptel!B26))/2</f>
        <v>456.73627722267418</v>
      </c>
      <c r="C23" s="35">
        <f>B23*(1-InfosCheptel!B27)</f>
        <v>205.53132475020337</v>
      </c>
      <c r="D23" s="35">
        <f>C23*(1-InfosCheptel!B28)</f>
        <v>51.382831187550842</v>
      </c>
      <c r="E23" s="31">
        <f>D23*(1-InfosCheptel!B30)</f>
        <v>0</v>
      </c>
      <c r="F23" s="31"/>
      <c r="G23" s="31">
        <f>F23*(1-InfosCheptel!B31)</f>
        <v>0</v>
      </c>
      <c r="H23" s="31">
        <f>G23*(1-InfosCheptel!B31)</f>
        <v>0</v>
      </c>
      <c r="I23" s="31">
        <f>H23*(1-InfosCheptel!B31)</f>
        <v>0</v>
      </c>
      <c r="J23" s="31">
        <f>I23*(1-InfosCheptel!B31)</f>
        <v>0</v>
      </c>
      <c r="K23" s="31">
        <f>J23*(1-InfosCheptel!B31)</f>
        <v>0</v>
      </c>
      <c r="L23" s="31">
        <f>K23*(1-InfosCheptel!B31)</f>
        <v>0</v>
      </c>
      <c r="N23" s="23"/>
      <c r="T23" s="23"/>
      <c r="U23" s="48"/>
      <c r="V23" s="23"/>
      <c r="W23" s="23"/>
      <c r="X23" s="23"/>
    </row>
    <row r="24" spans="1:63" ht="18" x14ac:dyDescent="0.5">
      <c r="A24" s="1" t="s">
        <v>88</v>
      </c>
      <c r="B24" s="1"/>
      <c r="C24" s="26">
        <f>B23</f>
        <v>456.73627722267418</v>
      </c>
      <c r="D24" s="26">
        <f>C23</f>
        <v>205.53132475020337</v>
      </c>
      <c r="E24" s="26">
        <f>D23</f>
        <v>51.382831187550842</v>
      </c>
      <c r="F24" s="1">
        <f>E23</f>
        <v>0</v>
      </c>
      <c r="G24" s="1">
        <f>F24*(1-InfosCheptel!B30)</f>
        <v>0</v>
      </c>
      <c r="H24" s="1">
        <f>G24*(1-InfosCheptel!B31)</f>
        <v>0</v>
      </c>
      <c r="I24" s="1">
        <f>H24*(1-InfosCheptel!B31)</f>
        <v>0</v>
      </c>
      <c r="J24" s="1">
        <f>I24*(1-InfosCheptel!B31)</f>
        <v>0</v>
      </c>
      <c r="K24" s="1">
        <f>J24*(1-InfosCheptel!B31)</f>
        <v>0</v>
      </c>
      <c r="L24" s="1">
        <f>K24*(1-InfosCheptel!B31)</f>
        <v>0</v>
      </c>
      <c r="U24" s="23"/>
      <c r="V24" s="48"/>
      <c r="W24" s="23"/>
      <c r="X24" s="23"/>
      <c r="Y24" s="23"/>
    </row>
    <row r="25" spans="1:63" ht="18" x14ac:dyDescent="0.5">
      <c r="A25" s="1" t="s">
        <v>89</v>
      </c>
      <c r="B25" s="1"/>
      <c r="C25" s="1"/>
      <c r="D25" s="26">
        <f>C24</f>
        <v>456.73627722267418</v>
      </c>
      <c r="E25" s="26">
        <f>D24</f>
        <v>205.53132475020337</v>
      </c>
      <c r="F25" s="26">
        <f>E25*(1-InfosCheptel!B28)</f>
        <v>51.382831187550842</v>
      </c>
      <c r="G25" s="26">
        <f>F25*(1-InfosCheptel!B30)</f>
        <v>0</v>
      </c>
      <c r="H25" s="1">
        <f>G25*(1-InfosCheptel!B29)</f>
        <v>0</v>
      </c>
      <c r="I25" s="1">
        <f>H25*(1-InfosCheptel!B31)</f>
        <v>0</v>
      </c>
      <c r="J25" s="1">
        <f>I25*(1-InfosCheptel!B31)</f>
        <v>0</v>
      </c>
      <c r="K25" s="1">
        <f>J25*(1-InfosCheptel!B31)</f>
        <v>0</v>
      </c>
      <c r="L25" s="1">
        <f>K25*(1-InfosCheptel!B31)</f>
        <v>0</v>
      </c>
      <c r="V25" s="23"/>
      <c r="W25" s="48"/>
      <c r="X25" s="23"/>
      <c r="Y25" s="23"/>
      <c r="Z25" s="23"/>
    </row>
    <row r="26" spans="1:63" ht="18" x14ac:dyDescent="0.5">
      <c r="A26" s="1" t="s">
        <v>90</v>
      </c>
      <c r="B26" s="1"/>
      <c r="C26" s="1"/>
      <c r="D26" s="1"/>
      <c r="E26" s="26">
        <f>D25</f>
        <v>456.73627722267418</v>
      </c>
      <c r="F26" s="26">
        <f>E26*(1-InfosCheptel!B27)</f>
        <v>205.53132475020337</v>
      </c>
      <c r="G26" s="26">
        <f>F26*(1-InfosCheptel!B28)</f>
        <v>51.382831187550842</v>
      </c>
      <c r="H26" s="1">
        <f>G26*(1-InfosCheptel!B29)</f>
        <v>0</v>
      </c>
      <c r="I26" s="1">
        <f>H235*(1-InfosCheptel!B30)</f>
        <v>0</v>
      </c>
      <c r="J26" s="1">
        <f>I26*(1-InfosCheptel!B31)</f>
        <v>0</v>
      </c>
      <c r="K26" s="1">
        <f>J26*(1-InfosCheptel!B31)</f>
        <v>0</v>
      </c>
      <c r="L26" s="1">
        <f>K26*(1-InfosCheptel!B31)</f>
        <v>0</v>
      </c>
      <c r="W26" s="23"/>
      <c r="X26" s="48"/>
      <c r="Y26" s="23"/>
      <c r="Z26" s="23"/>
      <c r="AA26" s="23"/>
    </row>
    <row r="27" spans="1:63" ht="18" x14ac:dyDescent="0.5">
      <c r="A27" s="1" t="s">
        <v>91</v>
      </c>
      <c r="B27" s="1"/>
      <c r="C27" s="1"/>
      <c r="D27" s="1"/>
      <c r="E27" s="1"/>
      <c r="F27" s="26">
        <f>E26</f>
        <v>456.73627722267418</v>
      </c>
      <c r="G27" s="26">
        <f>F27*(1-InfosCheptel!B27)</f>
        <v>205.53132475020337</v>
      </c>
      <c r="H27" s="26">
        <f>G27*(1-InfosCheptel!B28)</f>
        <v>51.382831187550842</v>
      </c>
      <c r="I27" s="1">
        <f>H27*(1-InfosCheptel!B29)</f>
        <v>0</v>
      </c>
      <c r="J27" s="1">
        <f>I27*(InfosCheptel!B30)</f>
        <v>0</v>
      </c>
      <c r="K27" s="1">
        <f>J27*(1-InfosCheptel!B31)</f>
        <v>0</v>
      </c>
      <c r="L27" s="1">
        <f>K27*(1-InfosCheptel!B31)</f>
        <v>0</v>
      </c>
      <c r="X27" s="23"/>
      <c r="Y27" s="48"/>
      <c r="Z27" s="23"/>
      <c r="AA27" s="23"/>
      <c r="AB27" s="23"/>
    </row>
    <row r="28" spans="1:63" ht="18" x14ac:dyDescent="0.5">
      <c r="A28" s="1" t="s">
        <v>92</v>
      </c>
      <c r="B28" s="1"/>
      <c r="C28" s="1"/>
      <c r="D28" s="1"/>
      <c r="E28" s="1"/>
      <c r="F28" s="1"/>
      <c r="G28" s="26">
        <f>((SUM(F5:F8)+F9/4)*InfosCheptel!B23*InfosCheptel!B25*(1-InfosCheptel!B26))/2</f>
        <v>475.54337402318367</v>
      </c>
      <c r="H28" s="26">
        <f>G28*(1-InfosCheptel!B27)</f>
        <v>213.99451831043262</v>
      </c>
      <c r="I28" s="26">
        <f>H28*(1-InfosCheptel!B28)</f>
        <v>53.498629577608156</v>
      </c>
      <c r="J28" s="1">
        <f>I28*(1-InfosCheptel!B29)</f>
        <v>0</v>
      </c>
      <c r="K28" s="1">
        <f>J28*(1-InfosCheptel!B30)</f>
        <v>0</v>
      </c>
      <c r="L28" s="1">
        <f>K28*(1-InfosCheptel!B30)</f>
        <v>0</v>
      </c>
      <c r="Y28" s="23"/>
      <c r="Z28" s="48"/>
      <c r="AA28" s="23"/>
      <c r="AB28" s="23"/>
      <c r="AC28" s="23"/>
    </row>
    <row r="29" spans="1:63" ht="18" x14ac:dyDescent="0.5">
      <c r="A29" s="1" t="s">
        <v>93</v>
      </c>
      <c r="B29" s="1"/>
      <c r="C29" s="1"/>
      <c r="D29" s="1"/>
      <c r="E29" s="1"/>
      <c r="F29" s="1"/>
      <c r="G29" s="1"/>
      <c r="H29" s="26">
        <f>((SUM(G5:G9)+G10/4)*InfosCheptel!B23*InfosCheptel!B25*(1-InfosCheptel!B26))/2</f>
        <v>478.08129411214736</v>
      </c>
      <c r="I29" s="26">
        <f>H29*(1-InfosCheptel!B27)</f>
        <v>215.13658235046628</v>
      </c>
      <c r="J29" s="36">
        <f>I29*(1-InfosCheptel!B28)</f>
        <v>53.784145587616571</v>
      </c>
      <c r="K29" s="37">
        <f>J29*(1-InfosCheptel!B29)</f>
        <v>0</v>
      </c>
      <c r="L29" s="37">
        <f>K29*(1-InfosCheptel!B29)</f>
        <v>0</v>
      </c>
      <c r="N29" s="56">
        <f>SUM(L31:L32)</f>
        <v>281.73901211299727</v>
      </c>
      <c r="O29" s="56">
        <f>N33</f>
        <v>57.434822190621119</v>
      </c>
      <c r="P29" s="23">
        <f>SUM(O31:O33)</f>
        <v>0</v>
      </c>
      <c r="Q29" s="23">
        <f>SUM(P33:P34)</f>
        <v>0</v>
      </c>
      <c r="Z29" s="23"/>
      <c r="AA29" s="48"/>
      <c r="AB29" s="23"/>
      <c r="AC29" s="23"/>
    </row>
    <row r="30" spans="1:63" ht="18" x14ac:dyDescent="0.5">
      <c r="A30" s="1" t="s">
        <v>94</v>
      </c>
      <c r="B30" s="1"/>
      <c r="C30" s="1"/>
      <c r="D30" s="1"/>
      <c r="E30" s="1"/>
      <c r="F30" s="1"/>
      <c r="G30" s="1"/>
      <c r="H30" s="1"/>
      <c r="I30" s="26">
        <f>((SUM(H5:H10)+H11/4)*InfosCheptel!B23*InfosCheptel!B25*(1-InfosCheptel!B26))/2</f>
        <v>486.54511753894928</v>
      </c>
      <c r="J30" s="26">
        <f>I30*(1-InfosCheptel!B27)</f>
        <v>218.94530289252717</v>
      </c>
      <c r="K30" s="26">
        <f>J30*(1-InfosCheptel!B28)</f>
        <v>54.736325723131792</v>
      </c>
      <c r="L30" s="26">
        <f>K30*(1-InfosCheptel!$B$29)</f>
        <v>0</v>
      </c>
      <c r="N30" s="57">
        <f>(N29-O29)/N29</f>
        <v>0.79614174920303304</v>
      </c>
      <c r="O30" s="57">
        <f t="shared" ref="O30" si="6">(O29-P29)/O29</f>
        <v>1</v>
      </c>
      <c r="P30" s="43" t="e">
        <f t="shared" ref="P30" si="7">(P29-Q29)/P29</f>
        <v>#DIV/0!</v>
      </c>
      <c r="Q30" s="43" t="e">
        <f t="shared" ref="Q30" si="8">(Q29-R29)/Q29</f>
        <v>#DIV/0!</v>
      </c>
      <c r="AA30" s="23"/>
      <c r="AB30" s="48"/>
      <c r="AC30" s="23"/>
    </row>
    <row r="31" spans="1:63" ht="18" x14ac:dyDescent="0.5">
      <c r="A31" s="1" t="s">
        <v>95</v>
      </c>
      <c r="B31" s="1"/>
      <c r="C31" s="1"/>
      <c r="D31" s="1"/>
      <c r="E31" s="1"/>
      <c r="F31" s="1"/>
      <c r="G31" s="1"/>
      <c r="H31" s="1"/>
      <c r="I31" s="1"/>
      <c r="J31" s="26">
        <f>((SUM(I5:I11)+I12/4)*InfosCheptel!B23*InfosCheptel!B25*(1-InfosCheptel!B26))/2</f>
        <v>494.38692738741634</v>
      </c>
      <c r="K31" s="26">
        <f>J31*(1-InfosCheptel!B27)</f>
        <v>222.47411732433733</v>
      </c>
      <c r="L31" s="26">
        <f>K31*(1-InfosCheptel!$B$28)</f>
        <v>55.618529331084332</v>
      </c>
      <c r="M31" s="26">
        <f>L31*(1-InfosCheptel!$B$29)</f>
        <v>0</v>
      </c>
      <c r="N31" s="58"/>
      <c r="O31" s="58"/>
      <c r="AB31" s="23"/>
      <c r="AC31" s="48"/>
    </row>
    <row r="32" spans="1:63" x14ac:dyDescent="0.3">
      <c r="A32" s="1" t="s">
        <v>96</v>
      </c>
      <c r="B32" s="1"/>
      <c r="C32" s="1"/>
      <c r="D32" s="1"/>
      <c r="E32" s="1"/>
      <c r="F32" s="1"/>
      <c r="G32" s="1"/>
      <c r="H32" s="1"/>
      <c r="I32" s="1"/>
      <c r="J32" s="1"/>
      <c r="K32" s="26">
        <f>((SUM(J5:J12)+J13/4)*InfosCheptel!B23*InfosCheptel!B25*(1-InfosCheptel!B26))/2</f>
        <v>502.48996173758439</v>
      </c>
      <c r="L32" s="26">
        <f>K32*(1-InfosCheptel!$B$27)</f>
        <v>226.12048278191295</v>
      </c>
      <c r="M32" s="26">
        <f>L32*(1-InfosCheptel!$B$28)</f>
        <v>56.530120695478239</v>
      </c>
      <c r="N32" s="26">
        <f>M32*(1-InfosCheptel!$B$29)</f>
        <v>0</v>
      </c>
      <c r="AC32" s="23"/>
    </row>
    <row r="33" spans="1:21" x14ac:dyDescent="0.3">
      <c r="A33" s="1" t="s">
        <v>108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26">
        <f>((SUM(K5:K13)+K14/4)*InfosCheptel!$B$23*InfosCheptel!$B$25*(1-InfosCheptel!$B$26))/2</f>
        <v>510.53175280552114</v>
      </c>
      <c r="M33" s="26">
        <f>L33*(1-InfosCheptel!$B$27)</f>
        <v>229.73928876248448</v>
      </c>
      <c r="N33" s="26">
        <f>M33*(1-InfosCheptel!$B$28)</f>
        <v>57.434822190621119</v>
      </c>
      <c r="O33" s="26">
        <f>N33*(1-InfosCheptel!$B$29)</f>
        <v>0</v>
      </c>
    </row>
    <row r="34" spans="1:21" x14ac:dyDescent="0.3">
      <c r="A34" s="1" t="s">
        <v>112</v>
      </c>
      <c r="B34" s="26">
        <f>SUM(B23:B33)</f>
        <v>456.73627722267418</v>
      </c>
      <c r="C34" s="26">
        <f t="shared" ref="C34:L34" si="9">SUM(C23:C33)</f>
        <v>662.26760197287751</v>
      </c>
      <c r="D34" s="26">
        <f t="shared" si="9"/>
        <v>713.65043316042841</v>
      </c>
      <c r="E34" s="26">
        <f t="shared" si="9"/>
        <v>713.65043316042841</v>
      </c>
      <c r="F34" s="26">
        <f t="shared" si="9"/>
        <v>713.65043316042841</v>
      </c>
      <c r="G34" s="26">
        <f t="shared" si="9"/>
        <v>732.4575299609379</v>
      </c>
      <c r="H34" s="26">
        <f t="shared" si="9"/>
        <v>743.45864361013082</v>
      </c>
      <c r="I34" s="26">
        <f t="shared" si="9"/>
        <v>755.18032946702374</v>
      </c>
      <c r="J34" s="26">
        <f t="shared" si="9"/>
        <v>767.11637586756001</v>
      </c>
      <c r="K34" s="26">
        <f t="shared" si="9"/>
        <v>779.70040478505348</v>
      </c>
      <c r="L34" s="26">
        <f t="shared" si="9"/>
        <v>792.27076491851835</v>
      </c>
      <c r="M34" s="26">
        <f>((SUM(L6:L14)+L15/4)*InfosCheptel!$B$23*InfosCheptel!$B$25*(1-InfosCheptel!$B$26))/2</f>
        <v>518.63783817509363</v>
      </c>
      <c r="N34" s="26">
        <f>M34*(1-InfosCheptel!$B$27)</f>
        <v>233.38702717879212</v>
      </c>
      <c r="O34" s="26">
        <f>N34*(1-InfosCheptel!$B$28)</f>
        <v>58.346756794698031</v>
      </c>
    </row>
    <row r="35" spans="1:21" ht="18" x14ac:dyDescent="0.5">
      <c r="A35" s="38" t="s">
        <v>115</v>
      </c>
      <c r="B35" s="87"/>
      <c r="C35" s="88"/>
      <c r="D35" s="88"/>
      <c r="E35" s="88"/>
      <c r="F35" s="88"/>
      <c r="G35" s="88"/>
      <c r="H35" s="88"/>
      <c r="I35" s="88"/>
      <c r="J35" s="88"/>
      <c r="K35" s="89"/>
      <c r="L35" s="42">
        <f>(K34-SUM(L23:L32))/K34</f>
        <v>0.6386573478941997</v>
      </c>
      <c r="M35" s="23"/>
      <c r="N35" s="26"/>
      <c r="O35" s="26"/>
    </row>
    <row r="36" spans="1:21" ht="18" x14ac:dyDescent="0.5">
      <c r="A36" s="28" t="s">
        <v>113</v>
      </c>
      <c r="B36" s="29">
        <f t="shared" ref="B36:K36" si="10">B34+B16</f>
        <v>996.51551394037995</v>
      </c>
      <c r="C36" s="29">
        <f t="shared" si="10"/>
        <v>1633.8702280647481</v>
      </c>
      <c r="D36" s="29">
        <f t="shared" si="10"/>
        <v>1983.2111979204724</v>
      </c>
      <c r="E36" s="29">
        <f t="shared" si="10"/>
        <v>2123.2515230945141</v>
      </c>
      <c r="F36" s="29">
        <f t="shared" si="10"/>
        <v>2159.6620076397649</v>
      </c>
      <c r="G36" s="29">
        <f t="shared" si="10"/>
        <v>2200.6956733863312</v>
      </c>
      <c r="H36" s="29">
        <f t="shared" si="10"/>
        <v>2232.4774022975084</v>
      </c>
      <c r="I36" s="29">
        <f t="shared" si="10"/>
        <v>2268.8703427102287</v>
      </c>
      <c r="J36" s="29">
        <f t="shared" si="10"/>
        <v>2305.4982507242403</v>
      </c>
      <c r="K36" s="29">
        <f t="shared" si="10"/>
        <v>2342.8715922167239</v>
      </c>
      <c r="L36" s="29">
        <f>ROUNDUP(L34+L16,0)</f>
        <v>2381</v>
      </c>
      <c r="M36" s="48"/>
      <c r="O36" s="26"/>
    </row>
    <row r="37" spans="1:21" ht="18" x14ac:dyDescent="0.5">
      <c r="A37" s="38" t="s">
        <v>116</v>
      </c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42">
        <f>(K36-(SUM(L5:L14)+SUM(L23:L32)))/K36</f>
        <v>0.4594538199911069</v>
      </c>
    </row>
    <row r="38" spans="1:21" ht="18" x14ac:dyDescent="0.5">
      <c r="A38" s="38" t="s">
        <v>119</v>
      </c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46">
        <f>SQRT(L36/J36)-1</f>
        <v>1.6242372981377207E-2</v>
      </c>
      <c r="O38" t="s">
        <v>133</v>
      </c>
      <c r="P38" s="23">
        <f>K34+K16</f>
        <v>2342.8715922167239</v>
      </c>
      <c r="Q38" s="23">
        <f>N29+M9</f>
        <v>1266.4302894241032</v>
      </c>
      <c r="R38" s="23">
        <f>O29+N9</f>
        <v>575.61223672350684</v>
      </c>
      <c r="S38" s="23">
        <f>P29+O9</f>
        <v>193.48085454213529</v>
      </c>
      <c r="T38" s="23">
        <f>Q29+P9</f>
        <v>40.057915034128392</v>
      </c>
      <c r="U38" s="23">
        <f>R29+Q9</f>
        <v>0</v>
      </c>
    </row>
    <row r="39" spans="1:21" x14ac:dyDescent="0.3">
      <c r="P39" s="57">
        <f>L37</f>
        <v>0.4594538199911069</v>
      </c>
      <c r="Q39" s="57">
        <f t="shared" ref="Q39" si="11">(Q38-R38)/Q38</f>
        <v>0.54548446801184702</v>
      </c>
      <c r="R39" s="57">
        <f t="shared" ref="R39" si="12">(R38-S38)/R38</f>
        <v>0.66386945551494059</v>
      </c>
      <c r="S39" s="57">
        <f t="shared" ref="S39" si="13">(S38-T38)/S38</f>
        <v>0.79296186628426957</v>
      </c>
      <c r="T39" s="57">
        <f t="shared" ref="T39" si="14">(T38-U38)/T38</f>
        <v>1</v>
      </c>
      <c r="U39" s="57" t="e">
        <f t="shared" ref="U39" si="15">(U38-V38)/U38</f>
        <v>#DIV/0!</v>
      </c>
    </row>
  </sheetData>
  <mergeCells count="8">
    <mergeCell ref="B38:K38"/>
    <mergeCell ref="B35:K35"/>
    <mergeCell ref="B37:K37"/>
    <mergeCell ref="B20:K20"/>
    <mergeCell ref="A1:L1"/>
    <mergeCell ref="A3:L3"/>
    <mergeCell ref="A21:L21"/>
    <mergeCell ref="B17:K17"/>
  </mergeCells>
  <phoneticPr fontId="1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BF267-F7C6-4D86-A90A-37AF6526511F}">
  <dimension ref="A1:T32"/>
  <sheetViews>
    <sheetView workbookViewId="0">
      <selection activeCell="C4" sqref="C4"/>
    </sheetView>
  </sheetViews>
  <sheetFormatPr baseColWidth="10" defaultRowHeight="14.4" x14ac:dyDescent="0.3"/>
  <cols>
    <col min="1" max="1" width="22.5546875" bestFit="1" customWidth="1"/>
  </cols>
  <sheetData>
    <row r="1" spans="1:20" ht="21.6" x14ac:dyDescent="0.55000000000000004">
      <c r="A1" s="90" t="s">
        <v>120</v>
      </c>
      <c r="B1" s="91"/>
      <c r="C1" s="91"/>
      <c r="D1" s="91"/>
      <c r="E1" s="91"/>
      <c r="F1" s="91"/>
      <c r="G1" s="91"/>
      <c r="H1" s="91"/>
      <c r="I1" s="91"/>
      <c r="J1" s="91"/>
      <c r="M1" s="90" t="s">
        <v>142</v>
      </c>
      <c r="N1" s="91"/>
      <c r="O1" s="91"/>
      <c r="P1" s="91"/>
      <c r="Q1" s="91"/>
      <c r="R1" s="91"/>
      <c r="S1" s="91"/>
      <c r="T1" s="91"/>
    </row>
    <row r="2" spans="1:20" ht="22.2" thickBot="1" x14ac:dyDescent="0.6">
      <c r="A2" s="90" t="s">
        <v>121</v>
      </c>
      <c r="B2" s="91"/>
      <c r="C2" s="91"/>
      <c r="D2" s="91"/>
      <c r="E2" s="91"/>
      <c r="F2" s="91"/>
      <c r="G2" s="91"/>
      <c r="H2" s="91"/>
      <c r="I2" s="91"/>
      <c r="J2" s="91"/>
      <c r="M2" s="1"/>
      <c r="N2" s="9" t="s">
        <v>134</v>
      </c>
      <c r="O2" s="9" t="s">
        <v>135</v>
      </c>
      <c r="P2" s="9" t="s">
        <v>136</v>
      </c>
      <c r="Q2" s="9" t="s">
        <v>137</v>
      </c>
      <c r="R2" s="9" t="s">
        <v>138</v>
      </c>
      <c r="S2" s="9" t="s">
        <v>139</v>
      </c>
      <c r="T2" s="9" t="s">
        <v>103</v>
      </c>
    </row>
    <row r="3" spans="1:20" ht="18.600000000000001" thickBot="1" x14ac:dyDescent="0.55000000000000004">
      <c r="A3" s="4"/>
      <c r="B3" s="53" t="s">
        <v>40</v>
      </c>
      <c r="C3" s="53" t="s">
        <v>41</v>
      </c>
      <c r="D3" s="53" t="s">
        <v>42</v>
      </c>
      <c r="E3" s="53" t="s">
        <v>43</v>
      </c>
      <c r="F3" s="53" t="s">
        <v>44</v>
      </c>
      <c r="G3" s="53" t="s">
        <v>45</v>
      </c>
      <c r="H3" s="54" t="s">
        <v>46</v>
      </c>
      <c r="I3" s="55" t="s">
        <v>47</v>
      </c>
      <c r="J3" s="53" t="s">
        <v>122</v>
      </c>
      <c r="M3" s="9" t="s">
        <v>140</v>
      </c>
      <c r="N3" s="59">
        <f>Troupeau!L17</f>
        <v>0.37006817600765879</v>
      </c>
      <c r="O3" s="59">
        <f>Troupeau!M10</f>
        <v>0.47376662465430636</v>
      </c>
      <c r="P3" s="59">
        <f>Troupeau!N10</f>
        <v>0.6266127215973899</v>
      </c>
      <c r="Q3" s="59">
        <f>Troupeau!O10</f>
        <v>0.79296186628426957</v>
      </c>
      <c r="R3" s="59">
        <f>Troupeau!P10</f>
        <v>1</v>
      </c>
      <c r="S3" s="59">
        <f>R3</f>
        <v>1</v>
      </c>
      <c r="T3" s="1"/>
    </row>
    <row r="4" spans="1:20" ht="18" x14ac:dyDescent="0.5">
      <c r="A4" s="25" t="s">
        <v>123</v>
      </c>
      <c r="B4" s="27">
        <f>'Modele PPR'!C7*Troupeau!L19</f>
        <v>233521.08473150796</v>
      </c>
      <c r="C4" s="27">
        <f>B4*(1-N3)*(1-InfosCheptel!$B$51)</f>
        <v>139747.24470330944</v>
      </c>
      <c r="D4" s="27">
        <f>C4*(1-O3)*(1-InfosCheptel!$B$51)</f>
        <v>69862.681061708965</v>
      </c>
      <c r="E4" s="27">
        <f>D4*(1-P3)*(1-InfosCheptel!$B$51)</f>
        <v>24781.544526364029</v>
      </c>
      <c r="F4" s="27">
        <f>E4*(1-Q3)*(1-InfosCheptel!$B$51)</f>
        <v>4874.1884928650989</v>
      </c>
      <c r="G4" s="27">
        <f>F4*(1-R3)*(1-InfosCheptel!$B$51)</f>
        <v>0</v>
      </c>
      <c r="H4" s="4"/>
      <c r="I4" s="4"/>
      <c r="J4" s="4"/>
      <c r="M4" s="9" t="s">
        <v>141</v>
      </c>
      <c r="N4" s="59">
        <f>Troupeau!L35</f>
        <v>0.6386573478941997</v>
      </c>
      <c r="O4" s="59">
        <f>Troupeau!N30</f>
        <v>0.79614174920303304</v>
      </c>
      <c r="P4" s="59">
        <f>Troupeau!O30</f>
        <v>1</v>
      </c>
      <c r="Q4" s="59">
        <f>P4</f>
        <v>1</v>
      </c>
      <c r="R4" s="59">
        <f>Q4</f>
        <v>1</v>
      </c>
      <c r="S4" s="59">
        <f>R4</f>
        <v>1</v>
      </c>
      <c r="T4" s="59">
        <f>Troupeau!S30</f>
        <v>0</v>
      </c>
    </row>
    <row r="5" spans="1:20" ht="18" x14ac:dyDescent="0.5">
      <c r="A5" s="25" t="s">
        <v>124</v>
      </c>
      <c r="B5" s="4"/>
      <c r="C5" s="27">
        <f>'Modele PPR'!D7*Troupeau!$L$19</f>
        <v>300241.39465479593</v>
      </c>
      <c r="D5" s="27">
        <f>C5*(1-N3)*(1-InfosCheptel!$B$51)</f>
        <v>179675.02890425498</v>
      </c>
      <c r="E5" s="27">
        <f>D5*(1-O3)*(1-InfosCheptel!$B$51)</f>
        <v>89823.447079340098</v>
      </c>
      <c r="F5" s="27">
        <f>E5*(1-P3)*(1-InfosCheptel!$B$51)</f>
        <v>31861.985819610887</v>
      </c>
      <c r="G5" s="27">
        <f>F5*(1-Q3)*(1-InfosCheptel!$B$51)</f>
        <v>6266.8137765408401</v>
      </c>
      <c r="H5" s="27">
        <f>G5*(1-S4)*(1-InfosCheptel!$B$51)</f>
        <v>0</v>
      </c>
      <c r="I5" s="4"/>
      <c r="J5" s="4"/>
      <c r="M5" s="61" t="s">
        <v>133</v>
      </c>
      <c r="N5" s="62">
        <f>Troupeau!P39</f>
        <v>0.4594538199911069</v>
      </c>
      <c r="O5" s="62">
        <f>Troupeau!Q39</f>
        <v>0.54548446801184702</v>
      </c>
      <c r="P5" s="62">
        <f>Troupeau!R39</f>
        <v>0.66386945551494059</v>
      </c>
      <c r="Q5" s="62">
        <f>Troupeau!S39</f>
        <v>0.79296186628426957</v>
      </c>
      <c r="R5" s="62">
        <f>Troupeau!T39</f>
        <v>1</v>
      </c>
      <c r="S5" s="62">
        <f>R5</f>
        <v>1</v>
      </c>
      <c r="T5" s="60"/>
    </row>
    <row r="6" spans="1:20" ht="18" x14ac:dyDescent="0.5">
      <c r="A6" s="25" t="s">
        <v>125</v>
      </c>
      <c r="B6" s="4"/>
      <c r="C6" s="4"/>
      <c r="D6" s="27">
        <f>'Modele PPR'!E7*Troupeau!$L$19</f>
        <v>1120901.2067112383</v>
      </c>
      <c r="E6" s="27">
        <f>D6*(1-N3)*(1-InfosCheptel!$B$51)</f>
        <v>670786.77457588527</v>
      </c>
      <c r="F6" s="27">
        <f>E6*(1-O3)*(1-InfosCheptel!$B$51)</f>
        <v>335340.86909620301</v>
      </c>
      <c r="G6" s="27">
        <f>F6*(1-P3)*(1-InfosCheptel!$B$51)</f>
        <v>118951.41372654733</v>
      </c>
      <c r="H6" s="27">
        <f>G6*(1-Q3)*(1-InfosCheptel!$B$51)</f>
        <v>23396.104765752472</v>
      </c>
      <c r="I6" s="27">
        <f>H6*(1-R3)*(1-InfosCheptel!$B$51)</f>
        <v>0</v>
      </c>
      <c r="J6" s="4"/>
    </row>
    <row r="7" spans="1:20" ht="18" x14ac:dyDescent="0.5">
      <c r="A7" s="25" t="s">
        <v>126</v>
      </c>
      <c r="B7" s="4"/>
      <c r="C7" s="4"/>
      <c r="D7" s="4"/>
      <c r="E7" s="27">
        <f>'Modele PPR'!F7*Troupeau!$L$19</f>
        <v>1921544.9257906941</v>
      </c>
      <c r="F7" s="27">
        <f>E7*(1-N3)*(1-InfosCheptel!$B$51)</f>
        <v>1149920.1849872319</v>
      </c>
      <c r="G7" s="27">
        <f>F7*(1-O3)*(1-InfosCheptel!$B$51)</f>
        <v>574870.0613077766</v>
      </c>
      <c r="H7" s="27">
        <f>G7*(1-P3)*(1-InfosCheptel!$B$51)</f>
        <v>203916.7092455097</v>
      </c>
      <c r="I7" s="27">
        <f>H7*(1-Q3)*(1-InfosCheptel!$B$51)</f>
        <v>40107.608169861385</v>
      </c>
      <c r="J7" s="27">
        <f>I7*(1-R3)*(1-InfosCheptel!$B$51)</f>
        <v>0</v>
      </c>
    </row>
    <row r="8" spans="1:20" ht="18" x14ac:dyDescent="0.5">
      <c r="A8" s="25" t="s">
        <v>127</v>
      </c>
      <c r="B8" s="4"/>
      <c r="C8" s="4"/>
      <c r="D8" s="4"/>
      <c r="E8" s="4"/>
      <c r="F8" s="27">
        <f>'Modele PPR'!G7*Troupeau!$L$19</f>
        <v>2281834.5993764494</v>
      </c>
      <c r="G8" s="27">
        <f>F8*(1-N3)*(1-InfosCheptel!$B$51)</f>
        <v>1365530.2196723381</v>
      </c>
      <c r="H8" s="27">
        <f>G8*(1-O3)*(1-InfosCheptel!$B$51)</f>
        <v>682658.19780298485</v>
      </c>
      <c r="I8" s="27">
        <f>H8*(1-P3)*(1-InfosCheptel!$B$51)</f>
        <v>242151.09222904281</v>
      </c>
      <c r="J8" s="27">
        <f>I8*(1-Q3)*(1-InfosCheptel!$B$51)</f>
        <v>47627.7847017104</v>
      </c>
      <c r="K8" s="27">
        <f>J8*(1-R3)*(1-InfosCheptel!$B$51)</f>
        <v>0</v>
      </c>
    </row>
    <row r="9" spans="1:20" ht="18" x14ac:dyDescent="0.5">
      <c r="A9" s="25" t="s">
        <v>128</v>
      </c>
      <c r="B9" s="4"/>
      <c r="C9" s="4"/>
      <c r="D9" s="4"/>
      <c r="E9" s="4"/>
      <c r="F9" s="4"/>
      <c r="G9" s="27">
        <f>'Modele PPR'!H7*Troupeau!$L$19</f>
        <v>2281834.5993764494</v>
      </c>
      <c r="H9" s="27">
        <f>G9*(1-N3)*(1-InfosCheptel!$B$51)</f>
        <v>1365530.2196723381</v>
      </c>
      <c r="I9" s="27">
        <f>H9*(1-O3)*(1-InfosCheptel!$B$51)</f>
        <v>682658.19780298485</v>
      </c>
      <c r="J9" s="27">
        <f>I9*(1-P3)*(1-InfosCheptel!$B$51)</f>
        <v>242151.09222904281</v>
      </c>
      <c r="K9" s="27">
        <f>J9*(1-Q3)*(1-InfosCheptel!$B$51)</f>
        <v>47627.7847017104</v>
      </c>
      <c r="L9" s="27">
        <f>K9*(1-R3)*(1-InfosCheptel!$B$51)</f>
        <v>0</v>
      </c>
      <c r="M9" s="27">
        <f>L9*(1-S3)*(1-InfosCheptel!$B$51)</f>
        <v>0</v>
      </c>
    </row>
    <row r="10" spans="1:20" ht="18" x14ac:dyDescent="0.5">
      <c r="A10" s="25" t="s">
        <v>129</v>
      </c>
      <c r="B10" s="4"/>
      <c r="C10" s="4"/>
      <c r="D10" s="4"/>
      <c r="E10" s="4"/>
      <c r="F10" s="4"/>
      <c r="G10" s="4"/>
      <c r="H10" s="27">
        <f>'Modele PPR'!I7</f>
        <v>1952726.0874941209</v>
      </c>
      <c r="I10" s="27">
        <f>H10*(1-N3)*(1-InfosCheptel!$B$51)</f>
        <v>1168580.0907499697</v>
      </c>
      <c r="J10" s="27">
        <f>I10*(1-O3)*(1-InfosCheptel!$B$51)</f>
        <v>584198.55324127676</v>
      </c>
      <c r="K10" s="27">
        <f>J10*(1-P3)*(1-InfosCheptel!$B$51)</f>
        <v>207225.6924494275</v>
      </c>
      <c r="L10" s="27">
        <f>K10*(1-Q3)*(1-InfosCheptel!$B$51)</f>
        <v>40758.43959154543</v>
      </c>
      <c r="M10" s="27">
        <f>L10*(1-R3)*(1-InfosCheptel!$B$51)</f>
        <v>0</v>
      </c>
      <c r="N10" s="27">
        <f>M10*(1-S3)*(1-InfosCheptel!$B$51)</f>
        <v>0</v>
      </c>
      <c r="O10" s="27">
        <f>N10*(1-T3)*(1-InfosCheptel!$B$51)</f>
        <v>0</v>
      </c>
    </row>
    <row r="11" spans="1:20" ht="18" x14ac:dyDescent="0.5">
      <c r="A11" s="25" t="s">
        <v>130</v>
      </c>
      <c r="B11" s="4"/>
      <c r="C11" s="4"/>
      <c r="D11" s="4"/>
      <c r="E11" s="4"/>
      <c r="F11" s="4"/>
      <c r="G11" s="4"/>
      <c r="H11" s="4"/>
      <c r="I11" s="27">
        <f>'Modele PPR'!J7</f>
        <v>1984442.9929376657</v>
      </c>
      <c r="J11" s="27">
        <f>I11*(1-N3)*(1-InfosCheptel!$B$51)</f>
        <v>1187560.6044425422</v>
      </c>
      <c r="K11" s="27">
        <f>J11*(1-O3)*(1-InfosCheptel!$B$51)</f>
        <v>593687.32403820241</v>
      </c>
      <c r="L11" s="27">
        <f>K11*(1-P3)*(1-InfosCheptel!$B$51)</f>
        <v>210591.52943751522</v>
      </c>
      <c r="M11" s="27">
        <f>L11*(1-Q3)*(1-InfosCheptel!$B$51)</f>
        <v>41420.453369530231</v>
      </c>
      <c r="N11" s="27">
        <f>M11*(1-R3)*(1-InfosCheptel!$B$51)</f>
        <v>0</v>
      </c>
      <c r="O11" s="27">
        <f>N11*(1-S3)*(1-InfosCheptel!$B$51)</f>
        <v>0</v>
      </c>
    </row>
    <row r="12" spans="1:20" ht="18" x14ac:dyDescent="0.5">
      <c r="A12" s="25" t="s">
        <v>131</v>
      </c>
      <c r="B12" s="4"/>
      <c r="C12" s="4"/>
      <c r="D12" s="4"/>
      <c r="E12" s="4"/>
      <c r="F12" s="4"/>
      <c r="G12" s="4"/>
      <c r="H12" s="4"/>
      <c r="I12" s="27">
        <f>H12*(1-N5)*(1-InfosCheptel!$B$51)</f>
        <v>0</v>
      </c>
      <c r="J12" s="27"/>
    </row>
    <row r="13" spans="1:20" ht="18" x14ac:dyDescent="0.5">
      <c r="A13" s="25" t="s">
        <v>132</v>
      </c>
      <c r="B13" s="27">
        <f>SUM(B4:B12)</f>
        <v>233521.08473150796</v>
      </c>
      <c r="C13" s="27">
        <f t="shared" ref="C13:M13" si="0">SUM(C4:C12)</f>
        <v>439988.63935810537</v>
      </c>
      <c r="D13" s="27">
        <f t="shared" si="0"/>
        <v>1370438.9166772021</v>
      </c>
      <c r="E13" s="27">
        <f t="shared" si="0"/>
        <v>2706936.6919722836</v>
      </c>
      <c r="F13" s="27">
        <f t="shared" si="0"/>
        <v>3803831.8277723603</v>
      </c>
      <c r="G13" s="27">
        <f t="shared" si="0"/>
        <v>4347453.1078596525</v>
      </c>
      <c r="H13" s="27">
        <f t="shared" si="0"/>
        <v>4228227.3189807059</v>
      </c>
      <c r="I13" s="27">
        <f t="shared" si="0"/>
        <v>4117939.9818895245</v>
      </c>
      <c r="J13" s="27">
        <f t="shared" si="0"/>
        <v>2061538.0346145723</v>
      </c>
      <c r="K13" s="27">
        <f t="shared" si="0"/>
        <v>848540.8011893403</v>
      </c>
      <c r="L13" s="27">
        <f t="shared" si="0"/>
        <v>251349.96902906065</v>
      </c>
      <c r="M13" s="27">
        <f t="shared" si="0"/>
        <v>41420.453369530231</v>
      </c>
      <c r="N13" s="27"/>
    </row>
    <row r="14" spans="1:20" ht="21.6" x14ac:dyDescent="0.55000000000000004">
      <c r="A14" s="90" t="s">
        <v>144</v>
      </c>
      <c r="B14" s="91"/>
      <c r="C14" s="91"/>
      <c r="D14" s="91"/>
      <c r="E14" s="91"/>
      <c r="F14" s="91"/>
      <c r="G14" s="91"/>
      <c r="H14" s="91"/>
      <c r="I14" s="91"/>
      <c r="J14" s="91"/>
      <c r="K14" s="63"/>
      <c r="L14" s="63"/>
      <c r="M14" s="63"/>
      <c r="N14" s="63"/>
    </row>
    <row r="16" spans="1:20" ht="18" x14ac:dyDescent="0.5">
      <c r="A16" s="25" t="s">
        <v>123</v>
      </c>
      <c r="B16" s="27">
        <f>'Modele PPR'!C7*(1-Troupeau!L19)</f>
        <v>116478.91526849204</v>
      </c>
      <c r="C16" s="27">
        <f>B16*(1-N4)*(1-InfosCheptel!$B$51)</f>
        <v>39984.360149647517</v>
      </c>
      <c r="D16" s="27">
        <f>C16*(1-O4)*(1-InfosCheptel!$B$51)</f>
        <v>7743.5846333759391</v>
      </c>
      <c r="E16" s="27">
        <f>D16*(1-P4)*(1-InfosCheptel!$B$51)</f>
        <v>0</v>
      </c>
      <c r="F16" s="27">
        <f>E16*(1-Q4)*(1-InfosCheptel!$B$51)</f>
        <v>0</v>
      </c>
      <c r="G16" s="27">
        <f>F16*(1-R4)*(1-InfosCheptel!$B$51)</f>
        <v>0</v>
      </c>
      <c r="H16" s="27">
        <f>G16*(1-S4)*(1-InfosCheptel!$B$51)</f>
        <v>0</v>
      </c>
      <c r="I16" s="27">
        <f>H16*(1-T4)*(1-InfosCheptel!$B$51)</f>
        <v>0</v>
      </c>
      <c r="J16" s="27">
        <f>I16*(1-U4)*(1-InfosCheptel!$B$51)</f>
        <v>0</v>
      </c>
    </row>
    <row r="17" spans="1:15" ht="18" x14ac:dyDescent="0.5">
      <c r="A17" s="25" t="s">
        <v>124</v>
      </c>
      <c r="B17" s="4"/>
      <c r="C17" s="27">
        <f>'Modele PPR'!D7*(1-Troupeau!L19)</f>
        <v>149758.60534520404</v>
      </c>
      <c r="D17" s="27">
        <f>C17*(1-N4)*(1-InfosCheptel!$B$51)</f>
        <v>51408.463049546808</v>
      </c>
      <c r="E17" s="27">
        <f>D17*(1-O4)*(1-InfosCheptel!$B$51)</f>
        <v>9956.0373857690647</v>
      </c>
      <c r="F17" s="27">
        <f>E17*(1-P4)*(1-InfosCheptel!$B$51)</f>
        <v>0</v>
      </c>
      <c r="G17" s="27">
        <f>F17*(1-Q4)*(1-InfosCheptel!$B$51)</f>
        <v>0</v>
      </c>
      <c r="H17" s="27">
        <f>G17*(1-R4)*(1-InfosCheptel!$B$51)</f>
        <v>0</v>
      </c>
      <c r="I17" s="27">
        <f>H17*(1-S4)*(1-InfosCheptel!$B$51)</f>
        <v>0</v>
      </c>
      <c r="J17" s="27">
        <f>I17*(1-T4)*(1-InfosCheptel!$B$51)</f>
        <v>0</v>
      </c>
    </row>
    <row r="18" spans="1:15" ht="18" x14ac:dyDescent="0.5">
      <c r="A18" s="25" t="s">
        <v>125</v>
      </c>
      <c r="B18" s="4"/>
      <c r="C18" s="4"/>
      <c r="D18" s="27">
        <f>'Modele PPR'!E7*(1-Troupeau!L19)</f>
        <v>559098.79328876175</v>
      </c>
      <c r="E18" s="27">
        <f>D18*(1-N4)*(1-InfosCheptel!$B$51)</f>
        <v>191924.92871830807</v>
      </c>
      <c r="F18" s="27">
        <f>E18*(1-O4)*(1-InfosCheptel!$B$51)</f>
        <v>37169.206240204505</v>
      </c>
      <c r="G18" s="27">
        <f>F18*(1-P4)*(1-InfosCheptel!$B$51)</f>
        <v>0</v>
      </c>
      <c r="H18" s="27">
        <f>G18*(1-Q4)*(1-InfosCheptel!$B$51)</f>
        <v>0</v>
      </c>
      <c r="I18" s="27">
        <f>H18*(1-R4)*(1-InfosCheptel!$B$51)</f>
        <v>0</v>
      </c>
      <c r="J18" s="27">
        <f>I18*(1-S15)*(1-InfosCheptel!$B$51)</f>
        <v>0</v>
      </c>
      <c r="K18" s="27">
        <f>J18*(1-T15)*(1-InfosCheptel!$B$51)</f>
        <v>0</v>
      </c>
    </row>
    <row r="19" spans="1:15" ht="18" x14ac:dyDescent="0.5">
      <c r="A19" s="25" t="s">
        <v>126</v>
      </c>
      <c r="B19" s="4"/>
      <c r="C19" s="4"/>
      <c r="D19" s="4"/>
      <c r="E19" s="27">
        <f>'Modele PPR'!F7*(1-Troupeau!L19)</f>
        <v>958455.07420930592</v>
      </c>
      <c r="F19" s="27">
        <f>E19*(1-N4)*(1-InfosCheptel!$B$51)</f>
        <v>329014.16351709957</v>
      </c>
      <c r="G19" s="27">
        <f>F19*(1-O4)*(1-InfosCheptel!$B$51)</f>
        <v>63718.639268922023</v>
      </c>
      <c r="H19" s="27">
        <f>G19*(1-P4)*(1-InfosCheptel!$B$51)</f>
        <v>0</v>
      </c>
      <c r="I19" s="27">
        <f>H19*(1-Q4)*(1-InfosCheptel!$B$51)</f>
        <v>0</v>
      </c>
      <c r="J19" s="27">
        <f>I19*(1-R15)*(1-InfosCheptel!$B$51)</f>
        <v>0</v>
      </c>
    </row>
    <row r="20" spans="1:15" ht="18" x14ac:dyDescent="0.5">
      <c r="A20" s="25" t="s">
        <v>127</v>
      </c>
      <c r="B20" s="4"/>
      <c r="C20" s="4"/>
      <c r="D20" s="4"/>
      <c r="E20" s="4"/>
      <c r="F20" s="27">
        <f>'Modele PPR'!G7*(1-Troupeau!L19)</f>
        <v>1138165.4006235506</v>
      </c>
      <c r="G20" s="27">
        <f>F20*(1-N4)*(1-InfosCheptel!$B$51)</f>
        <v>390704.31917655573</v>
      </c>
      <c r="H20" s="27">
        <f>G20*(1-O4)*(1-InfosCheptel!$B$51)</f>
        <v>75665.884131844883</v>
      </c>
      <c r="I20" s="27">
        <f>H20*(1-P4)*(1-InfosCheptel!$B$51)</f>
        <v>0</v>
      </c>
      <c r="J20" s="27">
        <f>I20*(1-Q4)*(1-InfosCheptel!$B$51)</f>
        <v>0</v>
      </c>
      <c r="K20" s="27">
        <f>J20*(1-R15)*(1-InfosCheptel!$B$51)</f>
        <v>0</v>
      </c>
    </row>
    <row r="21" spans="1:15" ht="18" x14ac:dyDescent="0.5">
      <c r="A21" s="25" t="s">
        <v>128</v>
      </c>
      <c r="B21" s="4"/>
      <c r="C21" s="4"/>
      <c r="D21" s="4"/>
      <c r="E21" s="4"/>
      <c r="F21" s="4"/>
      <c r="G21" s="27">
        <f>'Modele PPR'!H7*(1-Troupeau!L19)</f>
        <v>1138165.4006235506</v>
      </c>
      <c r="H21" s="27">
        <f>G21*(1-N4)*(1-InfosCheptel!$B$51)</f>
        <v>390704.31917655573</v>
      </c>
      <c r="I21" s="27">
        <f>H21*(1-O4)*(1-InfosCheptel!$B$51)</f>
        <v>75665.884131844883</v>
      </c>
      <c r="J21" s="27">
        <f>I21*(1-P4)*(1-InfosCheptel!$B$51)</f>
        <v>0</v>
      </c>
      <c r="K21" s="27">
        <f>J21*(1-Q15)*(1-InfosCheptel!$B$51)</f>
        <v>0</v>
      </c>
      <c r="L21" s="27">
        <f>K21*(1-R15)*(1-InfosCheptel!$B$51)</f>
        <v>0</v>
      </c>
      <c r="M21" s="27">
        <f>L21*(1-S15)*(1-InfosCheptel!$B$51)</f>
        <v>0</v>
      </c>
    </row>
    <row r="22" spans="1:15" ht="18" x14ac:dyDescent="0.5">
      <c r="A22" s="25" t="s">
        <v>129</v>
      </c>
      <c r="B22" s="4"/>
      <c r="C22" s="4"/>
      <c r="D22" s="4"/>
      <c r="E22" s="4"/>
      <c r="F22" s="4"/>
      <c r="G22" s="4"/>
      <c r="H22" s="27">
        <v>0</v>
      </c>
      <c r="I22" s="27">
        <f>H22*(1-N4)*(1-InfosCheptel!$B$51)</f>
        <v>0</v>
      </c>
      <c r="J22" s="27">
        <f>I22*(1-O4)*(1-InfosCheptel!$B$51)</f>
        <v>0</v>
      </c>
      <c r="K22" s="27">
        <f>J22*(1-P4)*(1-InfosCheptel!$B$51)</f>
        <v>0</v>
      </c>
      <c r="L22" s="27">
        <f>K22*(1-Q15)*(1-InfosCheptel!$B$51)</f>
        <v>0</v>
      </c>
      <c r="M22" s="27">
        <f>L22*(1-R15)*(1-InfosCheptel!$B$51)</f>
        <v>0</v>
      </c>
      <c r="N22" s="27">
        <f>M22*(1-S15)*(1-InfosCheptel!$B$51)</f>
        <v>0</v>
      </c>
      <c r="O22" s="27">
        <f>N22*(1-T15)*(1-InfosCheptel!$B$51)</f>
        <v>0</v>
      </c>
    </row>
    <row r="23" spans="1:15" ht="18" x14ac:dyDescent="0.5">
      <c r="A23" s="25" t="s">
        <v>130</v>
      </c>
      <c r="B23" s="4"/>
      <c r="C23" s="4"/>
      <c r="D23" s="4"/>
      <c r="E23" s="4"/>
      <c r="F23" s="4"/>
      <c r="G23" s="4"/>
      <c r="H23" s="4"/>
      <c r="I23" s="27"/>
      <c r="J23" s="27"/>
      <c r="K23" s="27"/>
      <c r="L23" s="27"/>
      <c r="M23" s="27"/>
      <c r="N23" s="27"/>
      <c r="O23" s="27"/>
    </row>
    <row r="24" spans="1:15" ht="18" x14ac:dyDescent="0.5">
      <c r="A24" s="25" t="s">
        <v>131</v>
      </c>
      <c r="B24" s="4"/>
      <c r="C24" s="4"/>
      <c r="D24" s="4"/>
      <c r="E24" s="4"/>
      <c r="F24" s="4"/>
      <c r="G24" s="4"/>
      <c r="H24" s="4"/>
      <c r="I24" s="27"/>
      <c r="J24" s="27"/>
    </row>
    <row r="25" spans="1:15" ht="18" x14ac:dyDescent="0.5">
      <c r="A25" s="25" t="s">
        <v>143</v>
      </c>
      <c r="B25" s="27">
        <f>SUM(B16:B24)</f>
        <v>116478.91526849204</v>
      </c>
      <c r="C25" s="27">
        <f t="shared" ref="C25:K25" si="1">SUM(C16:C24)</f>
        <v>189742.96549485155</v>
      </c>
      <c r="D25" s="27">
        <f t="shared" si="1"/>
        <v>618250.84097168455</v>
      </c>
      <c r="E25" s="27">
        <f t="shared" si="1"/>
        <v>1160336.0403133831</v>
      </c>
      <c r="F25" s="27">
        <f t="shared" si="1"/>
        <v>1504348.7703808546</v>
      </c>
      <c r="G25" s="27">
        <f t="shared" si="1"/>
        <v>1592588.3590690284</v>
      </c>
      <c r="H25" s="27">
        <f t="shared" si="1"/>
        <v>466370.20330840058</v>
      </c>
      <c r="I25" s="27">
        <f>SUM(I16:I24)</f>
        <v>75665.884131844883</v>
      </c>
      <c r="J25" s="27">
        <f t="shared" si="1"/>
        <v>0</v>
      </c>
      <c r="K25" s="27">
        <f t="shared" si="1"/>
        <v>0</v>
      </c>
      <c r="L25" s="27">
        <f t="shared" ref="L25" si="2">SUM(L16:L24)</f>
        <v>0</v>
      </c>
      <c r="M25" s="27">
        <f>SUM(M18:M24)</f>
        <v>0</v>
      </c>
      <c r="N25" s="27"/>
    </row>
    <row r="26" spans="1:15" x14ac:dyDescent="0.3">
      <c r="A26" t="s">
        <v>145</v>
      </c>
      <c r="B26" s="23">
        <f>B25+B13</f>
        <v>350000</v>
      </c>
      <c r="C26" s="23">
        <f t="shared" ref="C26:J26" si="3">C25+C13</f>
        <v>629731.60485295695</v>
      </c>
      <c r="D26" s="23">
        <f t="shared" si="3"/>
        <v>1988689.7576488866</v>
      </c>
      <c r="E26" s="23">
        <f t="shared" si="3"/>
        <v>3867272.7322856667</v>
      </c>
      <c r="F26" s="23">
        <f t="shared" si="3"/>
        <v>5308180.5981532149</v>
      </c>
      <c r="G26" s="23">
        <f t="shared" si="3"/>
        <v>5940041.4669286814</v>
      </c>
      <c r="H26" s="23">
        <f t="shared" si="3"/>
        <v>4694597.5222891066</v>
      </c>
      <c r="I26" s="23">
        <f t="shared" si="3"/>
        <v>4193605.8660213696</v>
      </c>
      <c r="J26" s="23">
        <f t="shared" si="3"/>
        <v>2061538.0346145723</v>
      </c>
      <c r="K26" s="23">
        <f>K25+K13</f>
        <v>848540.8011893403</v>
      </c>
      <c r="L26" s="23">
        <f t="shared" ref="L26" si="4">L25+L13</f>
        <v>251349.96902906065</v>
      </c>
      <c r="M26" s="23">
        <f t="shared" ref="M26" si="5">M25+M13</f>
        <v>41420.453369530231</v>
      </c>
      <c r="N26" s="23">
        <f t="shared" ref="N26" si="6">N25+N13</f>
        <v>0</v>
      </c>
    </row>
    <row r="27" spans="1:15" x14ac:dyDescent="0.3"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</row>
    <row r="28" spans="1:15" x14ac:dyDescent="0.3">
      <c r="B28" s="23">
        <f>B25+B4</f>
        <v>350000</v>
      </c>
      <c r="C28" s="23">
        <f>C17+C5</f>
        <v>450000</v>
      </c>
      <c r="D28" s="23">
        <f>D18+D6</f>
        <v>1680000</v>
      </c>
      <c r="E28" s="23">
        <f>E19+E7</f>
        <v>2880000</v>
      </c>
      <c r="F28" s="23">
        <f>F20+F8</f>
        <v>3420000</v>
      </c>
      <c r="G28" s="23">
        <f>G21+G9</f>
        <v>3420000</v>
      </c>
      <c r="H28" s="23">
        <f>H22+H10</f>
        <v>1952726.0874941209</v>
      </c>
      <c r="I28" s="23">
        <f>I12+I22</f>
        <v>0</v>
      </c>
      <c r="J28" s="23"/>
      <c r="K28" s="23"/>
      <c r="L28" s="23"/>
      <c r="M28" s="23"/>
      <c r="N28" s="23"/>
    </row>
    <row r="29" spans="1:15" x14ac:dyDescent="0.3">
      <c r="A29" s="25" t="s">
        <v>146</v>
      </c>
      <c r="B29" s="23">
        <f>B28-'Modele PPR'!C7</f>
        <v>0</v>
      </c>
      <c r="C29" s="23">
        <f>C28-'Modele PPR'!D7</f>
        <v>0</v>
      </c>
      <c r="D29" s="23">
        <f>D28-'Modele PPR'!E7</f>
        <v>0</v>
      </c>
      <c r="E29" s="23">
        <f>E28-'Modele PPR'!F7</f>
        <v>0</v>
      </c>
      <c r="F29" s="23">
        <f>F28-'Modele PPR'!G7</f>
        <v>0</v>
      </c>
      <c r="G29" s="23">
        <f>G28-'Modele PPR'!H7</f>
        <v>0</v>
      </c>
      <c r="H29" s="23">
        <f>H28-'Modele PPR'!I7</f>
        <v>0</v>
      </c>
      <c r="I29" s="23">
        <v>0</v>
      </c>
      <c r="J29" s="23">
        <f>J28-'Modele PPR'!K7</f>
        <v>0</v>
      </c>
      <c r="K29" s="23">
        <f>K28-'Modele PPR'!L7</f>
        <v>0</v>
      </c>
      <c r="L29" s="23">
        <f>L28-'Modele PPR'!M7</f>
        <v>0</v>
      </c>
      <c r="M29" s="23">
        <f>M28-'Modele PPR'!N7</f>
        <v>0</v>
      </c>
      <c r="N29" s="23">
        <f>N28-'Modele PPR'!O7</f>
        <v>0</v>
      </c>
    </row>
    <row r="30" spans="1:15" x14ac:dyDescent="0.3">
      <c r="A30" s="25" t="s">
        <v>147</v>
      </c>
      <c r="B30" s="23">
        <f>'Modele PPR'!C3</f>
        <v>6541688.3313591043</v>
      </c>
      <c r="C30" s="23">
        <f>'Modele PPR'!D3</f>
        <v>6647940.873164962</v>
      </c>
      <c r="D30" s="23">
        <f>'Modele PPR'!E3</f>
        <v>6755919.2083850494</v>
      </c>
      <c r="E30" s="23">
        <f>'Modele PPR'!F3</f>
        <v>6865651.3679996897</v>
      </c>
      <c r="F30" s="23">
        <f>'Modele PPR'!G3</f>
        <v>6977165.8382788431</v>
      </c>
      <c r="G30" s="23">
        <f>'Modele PPR'!H3</f>
        <v>7090491.568177091</v>
      </c>
      <c r="H30" s="23">
        <f>'Modele PPR'!I3</f>
        <v>7205657.9768487336</v>
      </c>
      <c r="I30" s="23">
        <f>'Modele PPR'!J3</f>
        <v>7322694.9612849467</v>
      </c>
      <c r="J30" s="23">
        <f>'Modele PPR'!K3</f>
        <v>0</v>
      </c>
      <c r="K30" s="23">
        <f>'Modele PPR'!L3</f>
        <v>0</v>
      </c>
      <c r="L30" s="23">
        <f>'Modele PPR'!M3</f>
        <v>0</v>
      </c>
    </row>
    <row r="31" spans="1:15" x14ac:dyDescent="0.3">
      <c r="A31" t="s">
        <v>148</v>
      </c>
      <c r="B31" s="23">
        <f>B30-B26</f>
        <v>6191688.3313591043</v>
      </c>
      <c r="C31" s="23">
        <f t="shared" ref="C31:I31" si="7">C30-C26</f>
        <v>6018209.2683120053</v>
      </c>
      <c r="D31" s="23">
        <f t="shared" si="7"/>
        <v>4767229.4507361632</v>
      </c>
      <c r="E31" s="23">
        <f t="shared" si="7"/>
        <v>2998378.6357140229</v>
      </c>
      <c r="F31" s="23">
        <f t="shared" si="7"/>
        <v>1668985.2401256282</v>
      </c>
      <c r="G31" s="23">
        <f t="shared" si="7"/>
        <v>1150450.1012484096</v>
      </c>
      <c r="H31" s="23">
        <f t="shared" si="7"/>
        <v>2511060.454559627</v>
      </c>
      <c r="I31" s="23">
        <f t="shared" si="7"/>
        <v>3129089.0952635771</v>
      </c>
      <c r="J31" s="23"/>
      <c r="K31" s="23"/>
      <c r="L31" s="23"/>
      <c r="M31" s="23"/>
    </row>
    <row r="32" spans="1:15" x14ac:dyDescent="0.3">
      <c r="A32" t="s">
        <v>149</v>
      </c>
      <c r="B32" s="64">
        <f>B26/B30</f>
        <v>5.3503007522109181E-2</v>
      </c>
      <c r="C32" s="64">
        <f t="shared" ref="C32:I32" si="8">C26/C30</f>
        <v>9.4725813130337511E-2</v>
      </c>
      <c r="D32" s="64">
        <f t="shared" si="8"/>
        <v>0.29436257248023956</v>
      </c>
      <c r="E32" s="64">
        <f t="shared" si="8"/>
        <v>0.56327834388893505</v>
      </c>
      <c r="F32" s="64">
        <f t="shared" si="8"/>
        <v>0.76079323914460084</v>
      </c>
      <c r="G32" s="64">
        <f t="shared" si="8"/>
        <v>0.83774748334632299</v>
      </c>
      <c r="H32" s="64">
        <f t="shared" si="8"/>
        <v>0.65151545318588733</v>
      </c>
      <c r="I32" s="64">
        <f t="shared" si="8"/>
        <v>0.5726861337517053</v>
      </c>
    </row>
  </sheetData>
  <mergeCells count="4">
    <mergeCell ref="A1:J1"/>
    <mergeCell ref="A2:J2"/>
    <mergeCell ref="M1:T1"/>
    <mergeCell ref="A14:J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0A15D-E3D2-45EB-8E31-78FD5AE120A6}">
  <dimension ref="A3:AA100"/>
  <sheetViews>
    <sheetView tabSelected="1" topLeftCell="A33" workbookViewId="0">
      <selection activeCell="J46" sqref="J46"/>
    </sheetView>
  </sheetViews>
  <sheetFormatPr baseColWidth="10" defaultColWidth="14.44140625" defaultRowHeight="14.4" x14ac:dyDescent="0.3"/>
  <cols>
    <col min="1" max="1" width="29.6640625" customWidth="1"/>
    <col min="2" max="2" width="33.44140625" customWidth="1"/>
    <col min="3" max="3" width="13.33203125" customWidth="1"/>
    <col min="4" max="4" width="17.33203125" customWidth="1"/>
    <col min="5" max="5" width="46.6640625" customWidth="1"/>
    <col min="6" max="6" width="10.6640625" customWidth="1"/>
    <col min="7" max="7" width="21.33203125" customWidth="1"/>
    <col min="8" max="8" width="13.44140625" customWidth="1"/>
    <col min="9" max="9" width="12.6640625" customWidth="1"/>
    <col min="10" max="15" width="15" customWidth="1"/>
    <col min="16" max="16" width="12.6640625" customWidth="1"/>
    <col min="17" max="17" width="14.6640625" customWidth="1"/>
    <col min="18" max="18" width="13.109375" customWidth="1"/>
    <col min="19" max="25" width="10.6640625" customWidth="1"/>
    <col min="26" max="26" width="12.6640625" customWidth="1"/>
    <col min="27" max="41" width="10.6640625" customWidth="1"/>
  </cols>
  <sheetData>
    <row r="3" spans="1:26" x14ac:dyDescent="0.3">
      <c r="A3" s="70" t="s">
        <v>150</v>
      </c>
      <c r="B3" s="70" t="s">
        <v>151</v>
      </c>
      <c r="C3" s="70" t="s">
        <v>152</v>
      </c>
      <c r="D3" s="70" t="s">
        <v>153</v>
      </c>
      <c r="E3" s="70" t="s">
        <v>154</v>
      </c>
      <c r="F3" s="70" t="s">
        <v>155</v>
      </c>
      <c r="G3" s="70" t="s">
        <v>156</v>
      </c>
      <c r="H3" s="71" t="s">
        <v>157</v>
      </c>
      <c r="I3" s="70" t="s">
        <v>158</v>
      </c>
      <c r="J3" s="70" t="s">
        <v>159</v>
      </c>
      <c r="K3" s="70" t="s">
        <v>160</v>
      </c>
      <c r="L3" s="70" t="s">
        <v>161</v>
      </c>
      <c r="M3" s="70" t="s">
        <v>162</v>
      </c>
      <c r="N3" s="70" t="s">
        <v>163</v>
      </c>
      <c r="O3" s="70" t="s">
        <v>164</v>
      </c>
      <c r="P3" s="70" t="s">
        <v>165</v>
      </c>
      <c r="Q3" s="70" t="s">
        <v>166</v>
      </c>
      <c r="R3" s="70" t="s">
        <v>167</v>
      </c>
      <c r="S3" s="70" t="s">
        <v>168</v>
      </c>
      <c r="T3" s="70" t="s">
        <v>169</v>
      </c>
      <c r="U3" s="70" t="s">
        <v>170</v>
      </c>
      <c r="V3" s="70" t="s">
        <v>171</v>
      </c>
      <c r="W3" s="70" t="s">
        <v>172</v>
      </c>
      <c r="X3" s="70" t="s">
        <v>173</v>
      </c>
      <c r="Y3" s="70" t="s">
        <v>174</v>
      </c>
      <c r="Z3" s="71" t="s">
        <v>166</v>
      </c>
    </row>
    <row r="4" spans="1:26" x14ac:dyDescent="0.3">
      <c r="A4" s="79" t="s">
        <v>175</v>
      </c>
      <c r="B4" s="79" t="s">
        <v>176</v>
      </c>
      <c r="C4" s="79" t="s">
        <v>177</v>
      </c>
      <c r="D4" s="79" t="s">
        <v>178</v>
      </c>
      <c r="E4" s="79" t="s">
        <v>179</v>
      </c>
      <c r="F4" s="24" t="s">
        <v>180</v>
      </c>
      <c r="G4" s="24" t="s">
        <v>181</v>
      </c>
      <c r="H4" s="80">
        <v>30000</v>
      </c>
      <c r="I4" s="81"/>
      <c r="J4" s="81"/>
      <c r="K4" s="81">
        <v>1</v>
      </c>
      <c r="L4" s="81"/>
      <c r="M4" s="81">
        <v>1</v>
      </c>
      <c r="N4" s="81"/>
      <c r="O4" s="81"/>
      <c r="P4" s="81"/>
      <c r="Q4" s="74">
        <f t="shared" ref="Q4:Q100" si="0">SUM(I4:P4)</f>
        <v>2</v>
      </c>
      <c r="R4" s="74">
        <f t="shared" ref="R4:Y19" si="1">$H4*I4</f>
        <v>0</v>
      </c>
      <c r="S4" s="74">
        <f t="shared" si="1"/>
        <v>0</v>
      </c>
      <c r="T4" s="74">
        <f t="shared" si="1"/>
        <v>30000</v>
      </c>
      <c r="U4" s="74">
        <f t="shared" si="1"/>
        <v>0</v>
      </c>
      <c r="V4" s="74">
        <f t="shared" si="1"/>
        <v>30000</v>
      </c>
      <c r="W4" s="74">
        <f t="shared" si="1"/>
        <v>0</v>
      </c>
      <c r="X4" s="74">
        <f t="shared" si="1"/>
        <v>0</v>
      </c>
      <c r="Y4" s="74">
        <f t="shared" si="1"/>
        <v>0</v>
      </c>
      <c r="Z4" s="74">
        <f t="shared" ref="Z4:Z100" si="2">SUM(R4:Y4)</f>
        <v>60000</v>
      </c>
    </row>
    <row r="5" spans="1:26" x14ac:dyDescent="0.3">
      <c r="A5" s="79" t="s">
        <v>175</v>
      </c>
      <c r="B5" s="79" t="s">
        <v>176</v>
      </c>
      <c r="C5" s="79" t="s">
        <v>177</v>
      </c>
      <c r="D5" s="79" t="s">
        <v>178</v>
      </c>
      <c r="E5" s="79" t="s">
        <v>179</v>
      </c>
      <c r="F5" s="24" t="s">
        <v>182</v>
      </c>
      <c r="G5" s="24" t="s">
        <v>181</v>
      </c>
      <c r="H5" s="80">
        <v>30000</v>
      </c>
      <c r="I5" s="81"/>
      <c r="J5" s="81"/>
      <c r="K5" s="81">
        <v>1</v>
      </c>
      <c r="L5" s="81"/>
      <c r="M5" s="81">
        <v>1</v>
      </c>
      <c r="N5" s="81"/>
      <c r="O5" s="81"/>
      <c r="P5" s="81"/>
      <c r="Q5" s="74">
        <f t="shared" si="0"/>
        <v>2</v>
      </c>
      <c r="R5" s="74">
        <f t="shared" si="1"/>
        <v>0</v>
      </c>
      <c r="S5" s="74">
        <f t="shared" si="1"/>
        <v>0</v>
      </c>
      <c r="T5" s="74">
        <f t="shared" si="1"/>
        <v>30000</v>
      </c>
      <c r="U5" s="74">
        <f t="shared" si="1"/>
        <v>0</v>
      </c>
      <c r="V5" s="74">
        <f t="shared" si="1"/>
        <v>30000</v>
      </c>
      <c r="W5" s="74">
        <f t="shared" si="1"/>
        <v>0</v>
      </c>
      <c r="X5" s="74">
        <f t="shared" si="1"/>
        <v>0</v>
      </c>
      <c r="Y5" s="74">
        <f t="shared" si="1"/>
        <v>0</v>
      </c>
      <c r="Z5" s="74">
        <f t="shared" si="2"/>
        <v>60000</v>
      </c>
    </row>
    <row r="6" spans="1:26" x14ac:dyDescent="0.3">
      <c r="A6" s="79" t="s">
        <v>175</v>
      </c>
      <c r="B6" s="79" t="s">
        <v>176</v>
      </c>
      <c r="C6" s="79" t="s">
        <v>177</v>
      </c>
      <c r="D6" s="79" t="s">
        <v>178</v>
      </c>
      <c r="E6" s="79" t="s">
        <v>183</v>
      </c>
      <c r="F6" s="24" t="s">
        <v>180</v>
      </c>
      <c r="G6" s="24" t="s">
        <v>184</v>
      </c>
      <c r="H6" s="80">
        <v>50000</v>
      </c>
      <c r="I6" s="81"/>
      <c r="J6" s="81"/>
      <c r="K6" s="81">
        <v>1</v>
      </c>
      <c r="L6" s="81"/>
      <c r="M6" s="81"/>
      <c r="N6" s="81"/>
      <c r="O6" s="81"/>
      <c r="P6" s="81"/>
      <c r="Q6" s="74">
        <f t="shared" si="0"/>
        <v>1</v>
      </c>
      <c r="R6" s="74">
        <f t="shared" si="1"/>
        <v>0</v>
      </c>
      <c r="S6" s="74">
        <f t="shared" si="1"/>
        <v>0</v>
      </c>
      <c r="T6" s="74">
        <f t="shared" si="1"/>
        <v>50000</v>
      </c>
      <c r="U6" s="74">
        <f t="shared" si="1"/>
        <v>0</v>
      </c>
      <c r="V6" s="74">
        <f t="shared" si="1"/>
        <v>0</v>
      </c>
      <c r="W6" s="74">
        <f t="shared" si="1"/>
        <v>0</v>
      </c>
      <c r="X6" s="74">
        <f t="shared" si="1"/>
        <v>0</v>
      </c>
      <c r="Y6" s="74">
        <f t="shared" si="1"/>
        <v>0</v>
      </c>
      <c r="Z6" s="74">
        <f t="shared" si="2"/>
        <v>50000</v>
      </c>
    </row>
    <row r="7" spans="1:26" x14ac:dyDescent="0.3">
      <c r="A7" s="79" t="s">
        <v>175</v>
      </c>
      <c r="B7" s="79" t="s">
        <v>176</v>
      </c>
      <c r="C7" s="79" t="s">
        <v>177</v>
      </c>
      <c r="D7" s="79" t="s">
        <v>178</v>
      </c>
      <c r="E7" s="79" t="s">
        <v>185</v>
      </c>
      <c r="F7" s="24" t="s">
        <v>180</v>
      </c>
      <c r="G7" s="24" t="s">
        <v>186</v>
      </c>
      <c r="H7" s="80">
        <v>2500</v>
      </c>
      <c r="I7" s="81"/>
      <c r="J7" s="81"/>
      <c r="K7" s="81">
        <v>120</v>
      </c>
      <c r="L7" s="81"/>
      <c r="M7" s="81"/>
      <c r="N7" s="81"/>
      <c r="O7" s="81"/>
      <c r="P7" s="81"/>
      <c r="Q7" s="74">
        <f t="shared" si="0"/>
        <v>120</v>
      </c>
      <c r="R7" s="74">
        <f t="shared" si="1"/>
        <v>0</v>
      </c>
      <c r="S7" s="74">
        <f t="shared" si="1"/>
        <v>0</v>
      </c>
      <c r="T7" s="74">
        <f t="shared" si="1"/>
        <v>300000</v>
      </c>
      <c r="U7" s="74">
        <f t="shared" si="1"/>
        <v>0</v>
      </c>
      <c r="V7" s="74">
        <f t="shared" si="1"/>
        <v>0</v>
      </c>
      <c r="W7" s="74">
        <f t="shared" si="1"/>
        <v>0</v>
      </c>
      <c r="X7" s="74">
        <f t="shared" si="1"/>
        <v>0</v>
      </c>
      <c r="Y7" s="74">
        <f t="shared" si="1"/>
        <v>0</v>
      </c>
      <c r="Z7" s="74">
        <f t="shared" si="2"/>
        <v>300000</v>
      </c>
    </row>
    <row r="8" spans="1:26" x14ac:dyDescent="0.3">
      <c r="A8" s="79" t="s">
        <v>175</v>
      </c>
      <c r="B8" s="79" t="s">
        <v>176</v>
      </c>
      <c r="C8" s="79" t="s">
        <v>177</v>
      </c>
      <c r="D8" s="79" t="s">
        <v>187</v>
      </c>
      <c r="E8" s="79" t="s">
        <v>188</v>
      </c>
      <c r="F8" s="24" t="s">
        <v>180</v>
      </c>
      <c r="G8" s="24" t="s">
        <v>189</v>
      </c>
      <c r="H8" s="80">
        <v>1000</v>
      </c>
      <c r="I8" s="81"/>
      <c r="J8" s="81"/>
      <c r="K8" s="81">
        <f>6+6+8+20+40</f>
        <v>80</v>
      </c>
      <c r="L8" s="81"/>
      <c r="M8" s="81"/>
      <c r="N8" s="81"/>
      <c r="O8" s="81"/>
      <c r="P8" s="81"/>
      <c r="Q8" s="74">
        <f t="shared" si="0"/>
        <v>80</v>
      </c>
      <c r="R8" s="74">
        <f t="shared" si="1"/>
        <v>0</v>
      </c>
      <c r="S8" s="74">
        <f t="shared" si="1"/>
        <v>0</v>
      </c>
      <c r="T8" s="74">
        <f t="shared" si="1"/>
        <v>80000</v>
      </c>
      <c r="U8" s="74">
        <f t="shared" si="1"/>
        <v>0</v>
      </c>
      <c r="V8" s="74">
        <f t="shared" si="1"/>
        <v>0</v>
      </c>
      <c r="W8" s="74">
        <f t="shared" si="1"/>
        <v>0</v>
      </c>
      <c r="X8" s="74">
        <f t="shared" si="1"/>
        <v>0</v>
      </c>
      <c r="Y8" s="74">
        <f t="shared" si="1"/>
        <v>0</v>
      </c>
      <c r="Z8" s="74">
        <f t="shared" si="2"/>
        <v>80000</v>
      </c>
    </row>
    <row r="9" spans="1:26" x14ac:dyDescent="0.3">
      <c r="A9" s="79" t="s">
        <v>175</v>
      </c>
      <c r="B9" s="79" t="s">
        <v>176</v>
      </c>
      <c r="C9" s="79" t="s">
        <v>177</v>
      </c>
      <c r="D9" s="79" t="s">
        <v>187</v>
      </c>
      <c r="E9" s="79" t="s">
        <v>188</v>
      </c>
      <c r="F9" s="24" t="s">
        <v>180</v>
      </c>
      <c r="G9" s="24" t="s">
        <v>190</v>
      </c>
      <c r="H9" s="80">
        <f>(1500)*1.18</f>
        <v>1770</v>
      </c>
      <c r="I9" s="81"/>
      <c r="J9" s="81"/>
      <c r="K9" s="81">
        <v>2</v>
      </c>
      <c r="L9" s="81"/>
      <c r="M9" s="81"/>
      <c r="N9" s="81"/>
      <c r="O9" s="81"/>
      <c r="P9" s="81"/>
      <c r="Q9" s="74">
        <f t="shared" si="0"/>
        <v>2</v>
      </c>
      <c r="R9" s="74">
        <f t="shared" si="1"/>
        <v>0</v>
      </c>
      <c r="S9" s="74">
        <f t="shared" si="1"/>
        <v>0</v>
      </c>
      <c r="T9" s="74">
        <f t="shared" si="1"/>
        <v>3540</v>
      </c>
      <c r="U9" s="74">
        <f t="shared" si="1"/>
        <v>0</v>
      </c>
      <c r="V9" s="74">
        <f t="shared" si="1"/>
        <v>0</v>
      </c>
      <c r="W9" s="74">
        <f t="shared" si="1"/>
        <v>0</v>
      </c>
      <c r="X9" s="74">
        <f t="shared" si="1"/>
        <v>0</v>
      </c>
      <c r="Y9" s="74">
        <f t="shared" si="1"/>
        <v>0</v>
      </c>
      <c r="Z9" s="74">
        <f t="shared" si="2"/>
        <v>3540</v>
      </c>
    </row>
    <row r="10" spans="1:26" x14ac:dyDescent="0.3">
      <c r="A10" s="79" t="s">
        <v>175</v>
      </c>
      <c r="B10" s="79" t="s">
        <v>176</v>
      </c>
      <c r="C10" s="79" t="s">
        <v>177</v>
      </c>
      <c r="D10" s="79" t="s">
        <v>187</v>
      </c>
      <c r="E10" s="79" t="s">
        <v>188</v>
      </c>
      <c r="F10" s="24" t="s">
        <v>180</v>
      </c>
      <c r="G10" s="24" t="s">
        <v>191</v>
      </c>
      <c r="H10" s="80">
        <v>1000</v>
      </c>
      <c r="I10" s="81"/>
      <c r="J10" s="81"/>
      <c r="K10" s="81">
        <v>5</v>
      </c>
      <c r="L10" s="81"/>
      <c r="M10" s="81"/>
      <c r="N10" s="81"/>
      <c r="O10" s="81"/>
      <c r="P10" s="81"/>
      <c r="Q10" s="74">
        <f t="shared" si="0"/>
        <v>5</v>
      </c>
      <c r="R10" s="74">
        <f t="shared" si="1"/>
        <v>0</v>
      </c>
      <c r="S10" s="74">
        <f t="shared" si="1"/>
        <v>0</v>
      </c>
      <c r="T10" s="74">
        <f t="shared" si="1"/>
        <v>5000</v>
      </c>
      <c r="U10" s="74">
        <f t="shared" si="1"/>
        <v>0</v>
      </c>
      <c r="V10" s="74">
        <f t="shared" si="1"/>
        <v>0</v>
      </c>
      <c r="W10" s="74">
        <f t="shared" si="1"/>
        <v>0</v>
      </c>
      <c r="X10" s="74">
        <f t="shared" si="1"/>
        <v>0</v>
      </c>
      <c r="Y10" s="74">
        <f t="shared" si="1"/>
        <v>0</v>
      </c>
      <c r="Z10" s="74">
        <f t="shared" si="2"/>
        <v>5000</v>
      </c>
    </row>
    <row r="11" spans="1:26" x14ac:dyDescent="0.3">
      <c r="A11" s="79" t="s">
        <v>175</v>
      </c>
      <c r="B11" s="79" t="s">
        <v>176</v>
      </c>
      <c r="C11" s="79" t="s">
        <v>177</v>
      </c>
      <c r="D11" s="79" t="s">
        <v>187</v>
      </c>
      <c r="E11" s="79" t="s">
        <v>188</v>
      </c>
      <c r="F11" s="24" t="s">
        <v>180</v>
      </c>
      <c r="G11" s="24" t="s">
        <v>192</v>
      </c>
      <c r="H11" s="80">
        <v>700</v>
      </c>
      <c r="I11" s="81"/>
      <c r="J11" s="81"/>
      <c r="K11" s="81">
        <v>10</v>
      </c>
      <c r="L11" s="81"/>
      <c r="M11" s="81"/>
      <c r="N11" s="81"/>
      <c r="O11" s="81"/>
      <c r="P11" s="81"/>
      <c r="Q11" s="74">
        <f t="shared" si="0"/>
        <v>10</v>
      </c>
      <c r="R11" s="74">
        <f t="shared" si="1"/>
        <v>0</v>
      </c>
      <c r="S11" s="74">
        <f t="shared" si="1"/>
        <v>0</v>
      </c>
      <c r="T11" s="74">
        <f t="shared" si="1"/>
        <v>7000</v>
      </c>
      <c r="U11" s="74">
        <f t="shared" si="1"/>
        <v>0</v>
      </c>
      <c r="V11" s="74">
        <f t="shared" si="1"/>
        <v>0</v>
      </c>
      <c r="W11" s="74">
        <f t="shared" si="1"/>
        <v>0</v>
      </c>
      <c r="X11" s="74">
        <f t="shared" si="1"/>
        <v>0</v>
      </c>
      <c r="Y11" s="74">
        <f t="shared" si="1"/>
        <v>0</v>
      </c>
      <c r="Z11" s="74">
        <f t="shared" si="2"/>
        <v>7000</v>
      </c>
    </row>
    <row r="12" spans="1:26" x14ac:dyDescent="0.3">
      <c r="A12" s="79" t="s">
        <v>175</v>
      </c>
      <c r="B12" s="79" t="s">
        <v>176</v>
      </c>
      <c r="C12" s="79" t="s">
        <v>177</v>
      </c>
      <c r="D12" s="79" t="s">
        <v>187</v>
      </c>
      <c r="E12" s="79" t="s">
        <v>193</v>
      </c>
      <c r="F12" s="24" t="s">
        <v>180</v>
      </c>
      <c r="G12" s="24" t="s">
        <v>193</v>
      </c>
      <c r="H12" s="80">
        <v>200</v>
      </c>
      <c r="I12" s="81"/>
      <c r="J12" s="81"/>
      <c r="K12" s="81">
        <f>120+10</f>
        <v>130</v>
      </c>
      <c r="L12" s="81"/>
      <c r="M12" s="81"/>
      <c r="N12" s="81"/>
      <c r="O12" s="81"/>
      <c r="P12" s="81"/>
      <c r="Q12" s="74">
        <f t="shared" si="0"/>
        <v>130</v>
      </c>
      <c r="R12" s="74">
        <f t="shared" si="1"/>
        <v>0</v>
      </c>
      <c r="S12" s="74">
        <f t="shared" si="1"/>
        <v>0</v>
      </c>
      <c r="T12" s="74">
        <f t="shared" si="1"/>
        <v>26000</v>
      </c>
      <c r="U12" s="74">
        <f t="shared" si="1"/>
        <v>0</v>
      </c>
      <c r="V12" s="74">
        <f t="shared" si="1"/>
        <v>0</v>
      </c>
      <c r="W12" s="74">
        <f t="shared" si="1"/>
        <v>0</v>
      </c>
      <c r="X12" s="74">
        <f t="shared" si="1"/>
        <v>0</v>
      </c>
      <c r="Y12" s="74">
        <f t="shared" si="1"/>
        <v>0</v>
      </c>
      <c r="Z12" s="74">
        <f t="shared" si="2"/>
        <v>26000</v>
      </c>
    </row>
    <row r="13" spans="1:26" x14ac:dyDescent="0.3">
      <c r="A13" s="79" t="s">
        <v>175</v>
      </c>
      <c r="B13" s="79" t="s">
        <v>176</v>
      </c>
      <c r="C13" s="79" t="s">
        <v>177</v>
      </c>
      <c r="D13" s="79" t="s">
        <v>187</v>
      </c>
      <c r="E13" s="79" t="s">
        <v>194</v>
      </c>
      <c r="F13" s="24" t="s">
        <v>180</v>
      </c>
      <c r="G13" s="24" t="s">
        <v>195</v>
      </c>
      <c r="H13" s="80">
        <v>4000</v>
      </c>
      <c r="I13" s="81"/>
      <c r="J13" s="81"/>
      <c r="K13" s="81">
        <v>1</v>
      </c>
      <c r="L13" s="81"/>
      <c r="M13" s="81"/>
      <c r="N13" s="81"/>
      <c r="O13" s="81"/>
      <c r="P13" s="81"/>
      <c r="Q13" s="74">
        <f t="shared" si="0"/>
        <v>1</v>
      </c>
      <c r="R13" s="74">
        <f t="shared" si="1"/>
        <v>0</v>
      </c>
      <c r="S13" s="74">
        <f t="shared" si="1"/>
        <v>0</v>
      </c>
      <c r="T13" s="74">
        <f t="shared" si="1"/>
        <v>4000</v>
      </c>
      <c r="U13" s="74">
        <f t="shared" si="1"/>
        <v>0</v>
      </c>
      <c r="V13" s="74">
        <f t="shared" si="1"/>
        <v>0</v>
      </c>
      <c r="W13" s="74">
        <f t="shared" si="1"/>
        <v>0</v>
      </c>
      <c r="X13" s="74">
        <f t="shared" si="1"/>
        <v>0</v>
      </c>
      <c r="Y13" s="74">
        <f t="shared" si="1"/>
        <v>0</v>
      </c>
      <c r="Z13" s="74">
        <f t="shared" si="2"/>
        <v>4000</v>
      </c>
    </row>
    <row r="14" spans="1:26" x14ac:dyDescent="0.3">
      <c r="A14" s="79" t="s">
        <v>175</v>
      </c>
      <c r="B14" s="79" t="s">
        <v>176</v>
      </c>
      <c r="C14" s="79" t="s">
        <v>177</v>
      </c>
      <c r="D14" s="79" t="s">
        <v>187</v>
      </c>
      <c r="E14" s="79" t="s">
        <v>196</v>
      </c>
      <c r="F14" s="24" t="s">
        <v>180</v>
      </c>
      <c r="G14" s="24" t="s">
        <v>196</v>
      </c>
      <c r="H14" s="80">
        <v>250</v>
      </c>
      <c r="I14" s="81"/>
      <c r="J14" s="81"/>
      <c r="K14" s="81">
        <f>120+6+40+6+6+20+8+4-30</f>
        <v>180</v>
      </c>
      <c r="L14" s="81"/>
      <c r="M14" s="81"/>
      <c r="N14" s="81"/>
      <c r="O14" s="81"/>
      <c r="P14" s="81"/>
      <c r="Q14" s="74">
        <f t="shared" si="0"/>
        <v>180</v>
      </c>
      <c r="R14" s="74">
        <f t="shared" si="1"/>
        <v>0</v>
      </c>
      <c r="S14" s="74">
        <f t="shared" si="1"/>
        <v>0</v>
      </c>
      <c r="T14" s="74">
        <f t="shared" si="1"/>
        <v>45000</v>
      </c>
      <c r="U14" s="74">
        <f t="shared" si="1"/>
        <v>0</v>
      </c>
      <c r="V14" s="74">
        <f t="shared" si="1"/>
        <v>0</v>
      </c>
      <c r="W14" s="74">
        <f t="shared" si="1"/>
        <v>0</v>
      </c>
      <c r="X14" s="74">
        <f t="shared" si="1"/>
        <v>0</v>
      </c>
      <c r="Y14" s="74">
        <f t="shared" si="1"/>
        <v>0</v>
      </c>
      <c r="Z14" s="74">
        <f t="shared" si="2"/>
        <v>45000</v>
      </c>
    </row>
    <row r="15" spans="1:26" x14ac:dyDescent="0.3">
      <c r="A15" s="79" t="s">
        <v>175</v>
      </c>
      <c r="B15" s="79" t="s">
        <v>176</v>
      </c>
      <c r="C15" s="79" t="s">
        <v>177</v>
      </c>
      <c r="D15" s="79" t="s">
        <v>187</v>
      </c>
      <c r="E15" s="79" t="s">
        <v>196</v>
      </c>
      <c r="F15" s="24" t="s">
        <v>197</v>
      </c>
      <c r="G15" s="24" t="s">
        <v>196</v>
      </c>
      <c r="H15" s="80">
        <v>250</v>
      </c>
      <c r="I15" s="81"/>
      <c r="J15" s="81"/>
      <c r="K15" s="81">
        <v>30</v>
      </c>
      <c r="L15" s="81"/>
      <c r="M15" s="81"/>
      <c r="N15" s="81"/>
      <c r="O15" s="81"/>
      <c r="P15" s="81"/>
      <c r="Q15" s="74">
        <f t="shared" si="0"/>
        <v>30</v>
      </c>
      <c r="R15" s="74">
        <f t="shared" si="1"/>
        <v>0</v>
      </c>
      <c r="S15" s="74">
        <f t="shared" si="1"/>
        <v>0</v>
      </c>
      <c r="T15" s="74">
        <f t="shared" si="1"/>
        <v>7500</v>
      </c>
      <c r="U15" s="74">
        <f t="shared" si="1"/>
        <v>0</v>
      </c>
      <c r="V15" s="74">
        <f t="shared" si="1"/>
        <v>0</v>
      </c>
      <c r="W15" s="74">
        <f t="shared" si="1"/>
        <v>0</v>
      </c>
      <c r="X15" s="74">
        <f t="shared" si="1"/>
        <v>0</v>
      </c>
      <c r="Y15" s="74">
        <f t="shared" si="1"/>
        <v>0</v>
      </c>
      <c r="Z15" s="74">
        <f t="shared" si="2"/>
        <v>7500</v>
      </c>
    </row>
    <row r="16" spans="1:26" x14ac:dyDescent="0.3">
      <c r="A16" s="79" t="s">
        <v>175</v>
      </c>
      <c r="B16" s="79" t="s">
        <v>176</v>
      </c>
      <c r="C16" s="79" t="s">
        <v>198</v>
      </c>
      <c r="D16" s="79" t="s">
        <v>199</v>
      </c>
      <c r="E16" s="79" t="s">
        <v>200</v>
      </c>
      <c r="F16" s="24" t="s">
        <v>180</v>
      </c>
      <c r="G16" s="24" t="s">
        <v>201</v>
      </c>
      <c r="H16" s="80">
        <f>10*12</f>
        <v>120</v>
      </c>
      <c r="I16" s="81"/>
      <c r="J16" s="81"/>
      <c r="K16" s="81">
        <f t="shared" ref="K16:P16" si="3">180+30</f>
        <v>210</v>
      </c>
      <c r="L16" s="81">
        <f t="shared" si="3"/>
        <v>210</v>
      </c>
      <c r="M16" s="81">
        <f t="shared" si="3"/>
        <v>210</v>
      </c>
      <c r="N16" s="81">
        <f t="shared" si="3"/>
        <v>210</v>
      </c>
      <c r="O16" s="81">
        <f t="shared" si="3"/>
        <v>210</v>
      </c>
      <c r="P16" s="81">
        <f t="shared" si="3"/>
        <v>210</v>
      </c>
      <c r="Q16" s="74">
        <f t="shared" si="0"/>
        <v>1260</v>
      </c>
      <c r="R16" s="74">
        <f t="shared" si="1"/>
        <v>0</v>
      </c>
      <c r="S16" s="74">
        <f t="shared" si="1"/>
        <v>0</v>
      </c>
      <c r="T16" s="74">
        <f t="shared" si="1"/>
        <v>25200</v>
      </c>
      <c r="U16" s="74">
        <f t="shared" si="1"/>
        <v>25200</v>
      </c>
      <c r="V16" s="74">
        <f t="shared" si="1"/>
        <v>25200</v>
      </c>
      <c r="W16" s="74">
        <f t="shared" si="1"/>
        <v>25200</v>
      </c>
      <c r="X16" s="74">
        <f t="shared" si="1"/>
        <v>25200</v>
      </c>
      <c r="Y16" s="74">
        <f t="shared" si="1"/>
        <v>25200</v>
      </c>
      <c r="Z16" s="74">
        <f t="shared" si="2"/>
        <v>151200</v>
      </c>
    </row>
    <row r="17" spans="1:26" x14ac:dyDescent="0.3">
      <c r="A17" s="79" t="s">
        <v>175</v>
      </c>
      <c r="B17" s="79" t="s">
        <v>176</v>
      </c>
      <c r="C17" s="79" t="s">
        <v>177</v>
      </c>
      <c r="D17" s="79" t="s">
        <v>202</v>
      </c>
      <c r="E17" s="79" t="s">
        <v>203</v>
      </c>
      <c r="F17" s="24" t="s">
        <v>180</v>
      </c>
      <c r="G17" s="24" t="s">
        <v>203</v>
      </c>
      <c r="H17" s="80">
        <v>50</v>
      </c>
      <c r="I17" s="81"/>
      <c r="J17" s="81"/>
      <c r="K17" s="81">
        <f>80+40</f>
        <v>120</v>
      </c>
      <c r="L17" s="81"/>
      <c r="M17" s="81"/>
      <c r="N17" s="81"/>
      <c r="O17" s="81"/>
      <c r="P17" s="81"/>
      <c r="Q17" s="74">
        <f t="shared" si="0"/>
        <v>120</v>
      </c>
      <c r="R17" s="74">
        <f t="shared" si="1"/>
        <v>0</v>
      </c>
      <c r="S17" s="74">
        <f t="shared" si="1"/>
        <v>0</v>
      </c>
      <c r="T17" s="74">
        <f t="shared" si="1"/>
        <v>6000</v>
      </c>
      <c r="U17" s="74">
        <f t="shared" si="1"/>
        <v>0</v>
      </c>
      <c r="V17" s="74">
        <f t="shared" si="1"/>
        <v>0</v>
      </c>
      <c r="W17" s="74">
        <f t="shared" si="1"/>
        <v>0</v>
      </c>
      <c r="X17" s="74">
        <f t="shared" si="1"/>
        <v>0</v>
      </c>
      <c r="Y17" s="74">
        <f t="shared" si="1"/>
        <v>0</v>
      </c>
      <c r="Z17" s="74">
        <f t="shared" si="2"/>
        <v>6000</v>
      </c>
    </row>
    <row r="18" spans="1:26" x14ac:dyDescent="0.3">
      <c r="A18" s="79" t="s">
        <v>175</v>
      </c>
      <c r="B18" s="79" t="s">
        <v>176</v>
      </c>
      <c r="C18" s="79" t="s">
        <v>177</v>
      </c>
      <c r="D18" s="79" t="s">
        <v>204</v>
      </c>
      <c r="E18" s="79" t="s">
        <v>205</v>
      </c>
      <c r="F18" s="24" t="s">
        <v>180</v>
      </c>
      <c r="G18" s="24" t="s">
        <v>206</v>
      </c>
      <c r="H18" s="80">
        <v>1500</v>
      </c>
      <c r="I18" s="81"/>
      <c r="J18" s="81"/>
      <c r="K18" s="81">
        <f>6+1</f>
        <v>7</v>
      </c>
      <c r="L18" s="81"/>
      <c r="M18" s="81"/>
      <c r="N18" s="81"/>
      <c r="O18" s="81"/>
      <c r="P18" s="81"/>
      <c r="Q18" s="74">
        <f t="shared" si="0"/>
        <v>7</v>
      </c>
      <c r="R18" s="74">
        <f t="shared" si="1"/>
        <v>0</v>
      </c>
      <c r="S18" s="74">
        <f t="shared" si="1"/>
        <v>0</v>
      </c>
      <c r="T18" s="74">
        <f t="shared" si="1"/>
        <v>10500</v>
      </c>
      <c r="U18" s="74">
        <f t="shared" si="1"/>
        <v>0</v>
      </c>
      <c r="V18" s="74">
        <f t="shared" si="1"/>
        <v>0</v>
      </c>
      <c r="W18" s="74">
        <f t="shared" si="1"/>
        <v>0</v>
      </c>
      <c r="X18" s="74">
        <f t="shared" si="1"/>
        <v>0</v>
      </c>
      <c r="Y18" s="74">
        <f t="shared" si="1"/>
        <v>0</v>
      </c>
      <c r="Z18" s="74">
        <f t="shared" si="2"/>
        <v>10500</v>
      </c>
    </row>
    <row r="19" spans="1:26" x14ac:dyDescent="0.3">
      <c r="A19" s="79" t="s">
        <v>175</v>
      </c>
      <c r="B19" s="79" t="s">
        <v>176</v>
      </c>
      <c r="C19" s="79" t="s">
        <v>177</v>
      </c>
      <c r="D19" s="79" t="s">
        <v>204</v>
      </c>
      <c r="E19" s="79" t="s">
        <v>207</v>
      </c>
      <c r="F19" s="24" t="s">
        <v>180</v>
      </c>
      <c r="G19" s="24" t="s">
        <v>208</v>
      </c>
      <c r="H19" s="80">
        <v>500</v>
      </c>
      <c r="I19" s="81"/>
      <c r="J19" s="81"/>
      <c r="K19" s="81">
        <f>6+4</f>
        <v>10</v>
      </c>
      <c r="L19" s="81"/>
      <c r="M19" s="81"/>
      <c r="N19" s="81"/>
      <c r="O19" s="81"/>
      <c r="P19" s="81"/>
      <c r="Q19" s="74">
        <f t="shared" si="0"/>
        <v>10</v>
      </c>
      <c r="R19" s="74">
        <f t="shared" si="1"/>
        <v>0</v>
      </c>
      <c r="S19" s="74">
        <f t="shared" si="1"/>
        <v>0</v>
      </c>
      <c r="T19" s="74">
        <f t="shared" si="1"/>
        <v>5000</v>
      </c>
      <c r="U19" s="74">
        <f t="shared" si="1"/>
        <v>0</v>
      </c>
      <c r="V19" s="74">
        <f t="shared" si="1"/>
        <v>0</v>
      </c>
      <c r="W19" s="74">
        <f t="shared" si="1"/>
        <v>0</v>
      </c>
      <c r="X19" s="74">
        <f t="shared" si="1"/>
        <v>0</v>
      </c>
      <c r="Y19" s="74">
        <f t="shared" si="1"/>
        <v>0</v>
      </c>
      <c r="Z19" s="74">
        <f t="shared" si="2"/>
        <v>5000</v>
      </c>
    </row>
    <row r="20" spans="1:26" x14ac:dyDescent="0.3">
      <c r="A20" s="79" t="s">
        <v>175</v>
      </c>
      <c r="B20" s="79" t="s">
        <v>176</v>
      </c>
      <c r="C20" s="79" t="s">
        <v>177</v>
      </c>
      <c r="D20" s="79" t="s">
        <v>204</v>
      </c>
      <c r="E20" s="79" t="s">
        <v>209</v>
      </c>
      <c r="F20" s="24" t="s">
        <v>180</v>
      </c>
      <c r="G20" s="24" t="s">
        <v>210</v>
      </c>
      <c r="H20" s="80">
        <v>250</v>
      </c>
      <c r="I20" s="81"/>
      <c r="J20" s="81"/>
      <c r="K20" s="81">
        <f>39+39+2</f>
        <v>80</v>
      </c>
      <c r="L20" s="81"/>
      <c r="M20" s="81"/>
      <c r="N20" s="81"/>
      <c r="O20" s="81"/>
      <c r="P20" s="81"/>
      <c r="Q20" s="74">
        <f t="shared" si="0"/>
        <v>80</v>
      </c>
      <c r="R20" s="74">
        <f t="shared" ref="R20:Y35" si="4">$H20*I20</f>
        <v>0</v>
      </c>
      <c r="S20" s="74">
        <f t="shared" si="4"/>
        <v>0</v>
      </c>
      <c r="T20" s="74">
        <f t="shared" si="4"/>
        <v>20000</v>
      </c>
      <c r="U20" s="74">
        <f t="shared" si="4"/>
        <v>0</v>
      </c>
      <c r="V20" s="74">
        <f t="shared" si="4"/>
        <v>0</v>
      </c>
      <c r="W20" s="74">
        <f t="shared" si="4"/>
        <v>0</v>
      </c>
      <c r="X20" s="74">
        <f t="shared" si="4"/>
        <v>0</v>
      </c>
      <c r="Y20" s="74">
        <f t="shared" si="4"/>
        <v>0</v>
      </c>
      <c r="Z20" s="74">
        <f t="shared" si="2"/>
        <v>20000</v>
      </c>
    </row>
    <row r="21" spans="1:26" x14ac:dyDescent="0.3">
      <c r="A21" s="79" t="s">
        <v>175</v>
      </c>
      <c r="B21" s="79" t="s">
        <v>176</v>
      </c>
      <c r="C21" s="79" t="s">
        <v>177</v>
      </c>
      <c r="D21" s="79" t="s">
        <v>204</v>
      </c>
      <c r="E21" s="79" t="s">
        <v>211</v>
      </c>
      <c r="F21" s="24" t="s">
        <v>180</v>
      </c>
      <c r="G21" s="24" t="s">
        <v>212</v>
      </c>
      <c r="H21" s="80">
        <v>60</v>
      </c>
      <c r="I21" s="81"/>
      <c r="J21" s="81"/>
      <c r="K21" s="81">
        <v>90</v>
      </c>
      <c r="L21" s="81"/>
      <c r="M21" s="81"/>
      <c r="N21" s="81"/>
      <c r="O21" s="81"/>
      <c r="P21" s="81"/>
      <c r="Q21" s="74">
        <f t="shared" si="0"/>
        <v>90</v>
      </c>
      <c r="R21" s="74">
        <f t="shared" si="4"/>
        <v>0</v>
      </c>
      <c r="S21" s="74">
        <f t="shared" si="4"/>
        <v>0</v>
      </c>
      <c r="T21" s="74">
        <f t="shared" si="4"/>
        <v>5400</v>
      </c>
      <c r="U21" s="74">
        <f t="shared" si="4"/>
        <v>0</v>
      </c>
      <c r="V21" s="74">
        <f t="shared" si="4"/>
        <v>0</v>
      </c>
      <c r="W21" s="74">
        <f t="shared" si="4"/>
        <v>0</v>
      </c>
      <c r="X21" s="74">
        <f t="shared" si="4"/>
        <v>0</v>
      </c>
      <c r="Y21" s="74">
        <f t="shared" si="4"/>
        <v>0</v>
      </c>
      <c r="Z21" s="74">
        <f t="shared" si="2"/>
        <v>5400</v>
      </c>
    </row>
    <row r="22" spans="1:26" x14ac:dyDescent="0.3">
      <c r="A22" s="79" t="s">
        <v>175</v>
      </c>
      <c r="B22" s="79" t="s">
        <v>176</v>
      </c>
      <c r="C22" s="79" t="s">
        <v>213</v>
      </c>
      <c r="D22" s="79" t="s">
        <v>214</v>
      </c>
      <c r="E22" s="79" t="s">
        <v>215</v>
      </c>
      <c r="F22" s="79" t="s">
        <v>180</v>
      </c>
      <c r="G22" s="79" t="s">
        <v>216</v>
      </c>
      <c r="H22" s="80">
        <v>3000</v>
      </c>
      <c r="I22" s="81"/>
      <c r="J22" s="81"/>
      <c r="K22" s="81">
        <v>1</v>
      </c>
      <c r="L22" s="81"/>
      <c r="M22" s="81"/>
      <c r="N22" s="81"/>
      <c r="O22" s="81"/>
      <c r="P22" s="81"/>
      <c r="Q22" s="74">
        <f t="shared" si="0"/>
        <v>1</v>
      </c>
      <c r="R22" s="74">
        <f t="shared" si="4"/>
        <v>0</v>
      </c>
      <c r="S22" s="74">
        <f t="shared" si="4"/>
        <v>0</v>
      </c>
      <c r="T22" s="74">
        <f t="shared" si="4"/>
        <v>3000</v>
      </c>
      <c r="U22" s="74">
        <f t="shared" si="4"/>
        <v>0</v>
      </c>
      <c r="V22" s="74">
        <f t="shared" si="4"/>
        <v>0</v>
      </c>
      <c r="W22" s="74">
        <f t="shared" si="4"/>
        <v>0</v>
      </c>
      <c r="X22" s="74">
        <f t="shared" si="4"/>
        <v>0</v>
      </c>
      <c r="Y22" s="74">
        <f t="shared" si="4"/>
        <v>0</v>
      </c>
      <c r="Z22" s="74">
        <f t="shared" si="2"/>
        <v>3000</v>
      </c>
    </row>
    <row r="23" spans="1:26" x14ac:dyDescent="0.3">
      <c r="A23" s="79" t="s">
        <v>175</v>
      </c>
      <c r="B23" s="79" t="s">
        <v>176</v>
      </c>
      <c r="C23" s="79" t="s">
        <v>213</v>
      </c>
      <c r="D23" s="79" t="s">
        <v>214</v>
      </c>
      <c r="E23" s="79" t="s">
        <v>217</v>
      </c>
      <c r="F23" s="24" t="s">
        <v>180</v>
      </c>
      <c r="G23" s="24" t="s">
        <v>216</v>
      </c>
      <c r="H23" s="80">
        <v>3000</v>
      </c>
      <c r="I23" s="81"/>
      <c r="J23" s="81"/>
      <c r="K23" s="81">
        <v>6</v>
      </c>
      <c r="L23" s="81"/>
      <c r="M23" s="81"/>
      <c r="N23" s="81"/>
      <c r="O23" s="81"/>
      <c r="P23" s="81"/>
      <c r="Q23" s="74">
        <f t="shared" si="0"/>
        <v>6</v>
      </c>
      <c r="R23" s="74">
        <f t="shared" si="4"/>
        <v>0</v>
      </c>
      <c r="S23" s="74">
        <f t="shared" si="4"/>
        <v>0</v>
      </c>
      <c r="T23" s="74">
        <f t="shared" si="4"/>
        <v>18000</v>
      </c>
      <c r="U23" s="74">
        <f t="shared" si="4"/>
        <v>0</v>
      </c>
      <c r="V23" s="74">
        <f t="shared" si="4"/>
        <v>0</v>
      </c>
      <c r="W23" s="74">
        <f t="shared" si="4"/>
        <v>0</v>
      </c>
      <c r="X23" s="74">
        <f t="shared" si="4"/>
        <v>0</v>
      </c>
      <c r="Y23" s="74">
        <f t="shared" si="4"/>
        <v>0</v>
      </c>
      <c r="Z23" s="74">
        <f t="shared" si="2"/>
        <v>18000</v>
      </c>
    </row>
    <row r="24" spans="1:26" x14ac:dyDescent="0.3">
      <c r="A24" s="79" t="s">
        <v>175</v>
      </c>
      <c r="B24" s="79" t="s">
        <v>176</v>
      </c>
      <c r="C24" s="79" t="s">
        <v>213</v>
      </c>
      <c r="D24" s="79" t="s">
        <v>214</v>
      </c>
      <c r="E24" s="79" t="s">
        <v>218</v>
      </c>
      <c r="F24" s="24" t="s">
        <v>180</v>
      </c>
      <c r="G24" s="24" t="s">
        <v>216</v>
      </c>
      <c r="H24" s="80">
        <v>2500</v>
      </c>
      <c r="I24" s="81"/>
      <c r="J24" s="81"/>
      <c r="K24" s="81">
        <v>1</v>
      </c>
      <c r="L24" s="81"/>
      <c r="M24" s="81"/>
      <c r="N24" s="81"/>
      <c r="O24" s="81"/>
      <c r="P24" s="81"/>
      <c r="Q24" s="74">
        <f t="shared" si="0"/>
        <v>1</v>
      </c>
      <c r="R24" s="74">
        <f t="shared" si="4"/>
        <v>0</v>
      </c>
      <c r="S24" s="74">
        <f t="shared" si="4"/>
        <v>0</v>
      </c>
      <c r="T24" s="74">
        <f t="shared" si="4"/>
        <v>2500</v>
      </c>
      <c r="U24" s="74">
        <f t="shared" si="4"/>
        <v>0</v>
      </c>
      <c r="V24" s="74">
        <f t="shared" si="4"/>
        <v>0</v>
      </c>
      <c r="W24" s="74">
        <f t="shared" si="4"/>
        <v>0</v>
      </c>
      <c r="X24" s="74">
        <f t="shared" si="4"/>
        <v>0</v>
      </c>
      <c r="Y24" s="74">
        <f t="shared" si="4"/>
        <v>0</v>
      </c>
      <c r="Z24" s="74">
        <f t="shared" si="2"/>
        <v>2500</v>
      </c>
    </row>
    <row r="25" spans="1:26" x14ac:dyDescent="0.3">
      <c r="A25" s="79" t="s">
        <v>175</v>
      </c>
      <c r="B25" s="79" t="s">
        <v>176</v>
      </c>
      <c r="C25" s="79" t="s">
        <v>213</v>
      </c>
      <c r="D25" s="79" t="s">
        <v>214</v>
      </c>
      <c r="E25" s="79" t="s">
        <v>219</v>
      </c>
      <c r="F25" s="24" t="s">
        <v>180</v>
      </c>
      <c r="G25" s="24" t="s">
        <v>220</v>
      </c>
      <c r="H25" s="80">
        <v>5000</v>
      </c>
      <c r="I25" s="81"/>
      <c r="J25" s="81"/>
      <c r="K25" s="81">
        <v>1</v>
      </c>
      <c r="L25" s="81"/>
      <c r="M25" s="81"/>
      <c r="N25" s="81"/>
      <c r="O25" s="81"/>
      <c r="P25" s="81"/>
      <c r="Q25" s="74">
        <f t="shared" si="0"/>
        <v>1</v>
      </c>
      <c r="R25" s="74">
        <f t="shared" si="4"/>
        <v>0</v>
      </c>
      <c r="S25" s="74">
        <f t="shared" si="4"/>
        <v>0</v>
      </c>
      <c r="T25" s="74">
        <f t="shared" si="4"/>
        <v>5000</v>
      </c>
      <c r="U25" s="74">
        <f t="shared" si="4"/>
        <v>0</v>
      </c>
      <c r="V25" s="74">
        <f t="shared" si="4"/>
        <v>0</v>
      </c>
      <c r="W25" s="74">
        <f t="shared" si="4"/>
        <v>0</v>
      </c>
      <c r="X25" s="74">
        <f t="shared" si="4"/>
        <v>0</v>
      </c>
      <c r="Y25" s="74">
        <f t="shared" si="4"/>
        <v>0</v>
      </c>
      <c r="Z25" s="74">
        <f t="shared" si="2"/>
        <v>5000</v>
      </c>
    </row>
    <row r="26" spans="1:26" x14ac:dyDescent="0.3">
      <c r="A26" s="79" t="s">
        <v>175</v>
      </c>
      <c r="B26" s="79" t="s">
        <v>176</v>
      </c>
      <c r="C26" s="79" t="s">
        <v>213</v>
      </c>
      <c r="D26" s="79" t="s">
        <v>214</v>
      </c>
      <c r="E26" s="79" t="s">
        <v>221</v>
      </c>
      <c r="F26" s="24" t="s">
        <v>180</v>
      </c>
      <c r="G26" s="24" t="s">
        <v>220</v>
      </c>
      <c r="H26" s="80">
        <v>6000</v>
      </c>
      <c r="I26" s="81"/>
      <c r="J26" s="81"/>
      <c r="K26" s="81">
        <v>3</v>
      </c>
      <c r="L26" s="81"/>
      <c r="M26" s="81"/>
      <c r="N26" s="81"/>
      <c r="O26" s="81"/>
      <c r="P26" s="81"/>
      <c r="Q26" s="74">
        <f t="shared" si="0"/>
        <v>3</v>
      </c>
      <c r="R26" s="74">
        <f t="shared" si="4"/>
        <v>0</v>
      </c>
      <c r="S26" s="74">
        <f t="shared" si="4"/>
        <v>0</v>
      </c>
      <c r="T26" s="74">
        <f t="shared" si="4"/>
        <v>18000</v>
      </c>
      <c r="U26" s="74">
        <f t="shared" si="4"/>
        <v>0</v>
      </c>
      <c r="V26" s="74">
        <f t="shared" si="4"/>
        <v>0</v>
      </c>
      <c r="W26" s="74">
        <f t="shared" si="4"/>
        <v>0</v>
      </c>
      <c r="X26" s="74">
        <f t="shared" si="4"/>
        <v>0</v>
      </c>
      <c r="Y26" s="74">
        <f t="shared" si="4"/>
        <v>0</v>
      </c>
      <c r="Z26" s="74">
        <f t="shared" si="2"/>
        <v>18000</v>
      </c>
    </row>
    <row r="27" spans="1:26" x14ac:dyDescent="0.3">
      <c r="A27" s="79" t="s">
        <v>175</v>
      </c>
      <c r="B27" s="79" t="s">
        <v>222</v>
      </c>
      <c r="C27" s="79" t="s">
        <v>223</v>
      </c>
      <c r="D27" s="79" t="s">
        <v>224</v>
      </c>
      <c r="E27" s="79" t="s">
        <v>225</v>
      </c>
      <c r="F27" s="24" t="s">
        <v>180</v>
      </c>
      <c r="G27" s="24" t="s">
        <v>226</v>
      </c>
      <c r="H27" s="80">
        <f>((200*6*775*12)+(3000*775*12))/1000</f>
        <v>39060</v>
      </c>
      <c r="I27" s="80"/>
      <c r="J27" s="81"/>
      <c r="K27" s="81">
        <v>1</v>
      </c>
      <c r="L27" s="81">
        <v>1</v>
      </c>
      <c r="M27" s="81">
        <v>1</v>
      </c>
      <c r="N27" s="81">
        <v>1</v>
      </c>
      <c r="O27" s="81">
        <v>1</v>
      </c>
      <c r="P27" s="81">
        <v>1</v>
      </c>
      <c r="Q27" s="74">
        <f t="shared" si="0"/>
        <v>6</v>
      </c>
      <c r="R27" s="74">
        <f t="shared" si="4"/>
        <v>0</v>
      </c>
      <c r="S27" s="74">
        <f t="shared" si="4"/>
        <v>0</v>
      </c>
      <c r="T27" s="74">
        <f t="shared" si="4"/>
        <v>39060</v>
      </c>
      <c r="U27" s="74">
        <f t="shared" si="4"/>
        <v>39060</v>
      </c>
      <c r="V27" s="74">
        <f t="shared" si="4"/>
        <v>39060</v>
      </c>
      <c r="W27" s="74">
        <f t="shared" si="4"/>
        <v>39060</v>
      </c>
      <c r="X27" s="74">
        <f t="shared" si="4"/>
        <v>39060</v>
      </c>
      <c r="Y27" s="74">
        <f t="shared" si="4"/>
        <v>39060</v>
      </c>
      <c r="Z27" s="74">
        <f t="shared" si="2"/>
        <v>234360</v>
      </c>
    </row>
    <row r="28" spans="1:26" x14ac:dyDescent="0.3">
      <c r="A28" s="79" t="s">
        <v>175</v>
      </c>
      <c r="B28" s="79" t="s">
        <v>222</v>
      </c>
      <c r="C28" s="79" t="s">
        <v>223</v>
      </c>
      <c r="D28" s="79" t="s">
        <v>224</v>
      </c>
      <c r="E28" s="79" t="s">
        <v>227</v>
      </c>
      <c r="F28" s="24" t="s">
        <v>180</v>
      </c>
      <c r="G28" s="24" t="s">
        <v>228</v>
      </c>
      <c r="H28" s="80">
        <f>(60*120*775*12)/1000</f>
        <v>66960</v>
      </c>
      <c r="I28" s="81"/>
      <c r="J28" s="81"/>
      <c r="K28" s="81">
        <v>1</v>
      </c>
      <c r="L28" s="81">
        <v>1</v>
      </c>
      <c r="M28" s="81">
        <v>1</v>
      </c>
      <c r="N28" s="81">
        <v>1</v>
      </c>
      <c r="O28" s="81">
        <v>1</v>
      </c>
      <c r="P28" s="81">
        <v>1</v>
      </c>
      <c r="Q28" s="74">
        <f t="shared" si="0"/>
        <v>6</v>
      </c>
      <c r="R28" s="74">
        <f t="shared" si="4"/>
        <v>0</v>
      </c>
      <c r="S28" s="74">
        <f t="shared" si="4"/>
        <v>0</v>
      </c>
      <c r="T28" s="74">
        <f t="shared" si="4"/>
        <v>66960</v>
      </c>
      <c r="U28" s="74">
        <f t="shared" si="4"/>
        <v>66960</v>
      </c>
      <c r="V28" s="74">
        <f t="shared" si="4"/>
        <v>66960</v>
      </c>
      <c r="W28" s="74">
        <f t="shared" si="4"/>
        <v>66960</v>
      </c>
      <c r="X28" s="74">
        <f t="shared" si="4"/>
        <v>66960</v>
      </c>
      <c r="Y28" s="74">
        <f t="shared" si="4"/>
        <v>66960</v>
      </c>
      <c r="Z28" s="74">
        <f t="shared" si="2"/>
        <v>401760</v>
      </c>
    </row>
    <row r="29" spans="1:26" x14ac:dyDescent="0.3">
      <c r="A29" s="79" t="s">
        <v>175</v>
      </c>
      <c r="B29" s="79" t="s">
        <v>222</v>
      </c>
      <c r="C29" s="79" t="s">
        <v>223</v>
      </c>
      <c r="D29" s="79" t="s">
        <v>224</v>
      </c>
      <c r="E29" s="79" t="s">
        <v>229</v>
      </c>
      <c r="F29" s="24" t="s">
        <v>180</v>
      </c>
      <c r="G29" s="24" t="s">
        <v>220</v>
      </c>
      <c r="H29" s="80">
        <f>120*40</f>
        <v>4800</v>
      </c>
      <c r="I29" s="81"/>
      <c r="J29" s="81"/>
      <c r="K29" s="81">
        <v>1</v>
      </c>
      <c r="L29" s="81">
        <v>5</v>
      </c>
      <c r="M29" s="81">
        <v>5</v>
      </c>
      <c r="N29" s="81">
        <v>5</v>
      </c>
      <c r="O29" s="81">
        <v>5</v>
      </c>
      <c r="P29" s="81">
        <v>5</v>
      </c>
      <c r="Q29" s="74">
        <f t="shared" si="0"/>
        <v>26</v>
      </c>
      <c r="R29" s="74">
        <f t="shared" si="4"/>
        <v>0</v>
      </c>
      <c r="S29" s="74">
        <f t="shared" si="4"/>
        <v>0</v>
      </c>
      <c r="T29" s="74">
        <f t="shared" si="4"/>
        <v>4800</v>
      </c>
      <c r="U29" s="74">
        <f t="shared" si="4"/>
        <v>24000</v>
      </c>
      <c r="V29" s="74">
        <f t="shared" si="4"/>
        <v>24000</v>
      </c>
      <c r="W29" s="74">
        <f t="shared" si="4"/>
        <v>24000</v>
      </c>
      <c r="X29" s="74">
        <f t="shared" si="4"/>
        <v>24000</v>
      </c>
      <c r="Y29" s="74">
        <f t="shared" si="4"/>
        <v>24000</v>
      </c>
      <c r="Z29" s="74">
        <f t="shared" si="2"/>
        <v>124800</v>
      </c>
    </row>
    <row r="30" spans="1:26" x14ac:dyDescent="0.3">
      <c r="A30" s="79" t="s">
        <v>175</v>
      </c>
      <c r="B30" s="79" t="s">
        <v>222</v>
      </c>
      <c r="C30" s="79" t="s">
        <v>223</v>
      </c>
      <c r="D30" s="79" t="s">
        <v>224</v>
      </c>
      <c r="E30" s="79" t="s">
        <v>230</v>
      </c>
      <c r="F30" s="24" t="s">
        <v>180</v>
      </c>
      <c r="G30" s="24" t="s">
        <v>220</v>
      </c>
      <c r="H30" s="80">
        <f>20*120</f>
        <v>2400</v>
      </c>
      <c r="I30" s="81"/>
      <c r="J30" s="81"/>
      <c r="K30" s="81">
        <v>1</v>
      </c>
      <c r="L30" s="81">
        <v>1</v>
      </c>
      <c r="M30" s="81">
        <v>1</v>
      </c>
      <c r="N30" s="81">
        <v>1</v>
      </c>
      <c r="O30" s="81">
        <v>1</v>
      </c>
      <c r="P30" s="81">
        <v>1</v>
      </c>
      <c r="Q30" s="74">
        <f t="shared" si="0"/>
        <v>6</v>
      </c>
      <c r="R30" s="74">
        <f t="shared" si="4"/>
        <v>0</v>
      </c>
      <c r="S30" s="74">
        <f t="shared" si="4"/>
        <v>0</v>
      </c>
      <c r="T30" s="74">
        <f t="shared" si="4"/>
        <v>2400</v>
      </c>
      <c r="U30" s="74">
        <f t="shared" si="4"/>
        <v>2400</v>
      </c>
      <c r="V30" s="74">
        <f t="shared" si="4"/>
        <v>2400</v>
      </c>
      <c r="W30" s="74">
        <f t="shared" si="4"/>
        <v>2400</v>
      </c>
      <c r="X30" s="74">
        <f t="shared" si="4"/>
        <v>2400</v>
      </c>
      <c r="Y30" s="74">
        <f t="shared" si="4"/>
        <v>2400</v>
      </c>
      <c r="Z30" s="74">
        <f t="shared" si="2"/>
        <v>14400</v>
      </c>
    </row>
    <row r="31" spans="1:26" x14ac:dyDescent="0.3">
      <c r="A31" s="79" t="s">
        <v>175</v>
      </c>
      <c r="B31" s="79" t="s">
        <v>222</v>
      </c>
      <c r="C31" s="79" t="s">
        <v>223</v>
      </c>
      <c r="D31" s="79" t="s">
        <v>231</v>
      </c>
      <c r="E31" s="79" t="s">
        <v>232</v>
      </c>
      <c r="F31" s="24" t="s">
        <v>180</v>
      </c>
      <c r="G31" s="24" t="s">
        <v>220</v>
      </c>
      <c r="H31" s="80">
        <v>1000</v>
      </c>
      <c r="I31" s="81"/>
      <c r="J31" s="81"/>
      <c r="K31" s="81">
        <v>1</v>
      </c>
      <c r="L31" s="81">
        <v>1</v>
      </c>
      <c r="M31" s="81">
        <v>1</v>
      </c>
      <c r="N31" s="81">
        <v>1</v>
      </c>
      <c r="O31" s="81">
        <v>1</v>
      </c>
      <c r="P31" s="81">
        <v>1</v>
      </c>
      <c r="Q31" s="74">
        <f t="shared" si="0"/>
        <v>6</v>
      </c>
      <c r="R31" s="74">
        <f t="shared" si="4"/>
        <v>0</v>
      </c>
      <c r="S31" s="74">
        <f t="shared" si="4"/>
        <v>0</v>
      </c>
      <c r="T31" s="74">
        <f t="shared" si="4"/>
        <v>1000</v>
      </c>
      <c r="U31" s="74">
        <f t="shared" si="4"/>
        <v>1000</v>
      </c>
      <c r="V31" s="74">
        <f t="shared" si="4"/>
        <v>1000</v>
      </c>
      <c r="W31" s="74">
        <f t="shared" si="4"/>
        <v>1000</v>
      </c>
      <c r="X31" s="74">
        <f t="shared" si="4"/>
        <v>1000</v>
      </c>
      <c r="Y31" s="74">
        <f t="shared" si="4"/>
        <v>1000</v>
      </c>
      <c r="Z31" s="74">
        <f t="shared" si="2"/>
        <v>6000</v>
      </c>
    </row>
    <row r="32" spans="1:26" x14ac:dyDescent="0.3">
      <c r="A32" s="79" t="s">
        <v>175</v>
      </c>
      <c r="B32" s="79" t="s">
        <v>222</v>
      </c>
      <c r="C32" s="79" t="s">
        <v>223</v>
      </c>
      <c r="D32" s="79" t="s">
        <v>231</v>
      </c>
      <c r="E32" s="79" t="s">
        <v>233</v>
      </c>
      <c r="F32" s="24" t="s">
        <v>180</v>
      </c>
      <c r="G32" s="24" t="s">
        <v>220</v>
      </c>
      <c r="H32" s="80">
        <v>2000</v>
      </c>
      <c r="I32" s="81"/>
      <c r="J32" s="81"/>
      <c r="K32" s="81">
        <v>1</v>
      </c>
      <c r="L32" s="81">
        <v>1</v>
      </c>
      <c r="M32" s="81">
        <v>1</v>
      </c>
      <c r="N32" s="81">
        <v>1</v>
      </c>
      <c r="O32" s="81">
        <v>1</v>
      </c>
      <c r="P32" s="81">
        <v>1</v>
      </c>
      <c r="Q32" s="74">
        <f t="shared" si="0"/>
        <v>6</v>
      </c>
      <c r="R32" s="74">
        <f t="shared" si="4"/>
        <v>0</v>
      </c>
      <c r="S32" s="74">
        <f t="shared" si="4"/>
        <v>0</v>
      </c>
      <c r="T32" s="74">
        <f t="shared" si="4"/>
        <v>2000</v>
      </c>
      <c r="U32" s="74">
        <f t="shared" si="4"/>
        <v>2000</v>
      </c>
      <c r="V32" s="74">
        <f t="shared" si="4"/>
        <v>2000</v>
      </c>
      <c r="W32" s="74">
        <f t="shared" si="4"/>
        <v>2000</v>
      </c>
      <c r="X32" s="74">
        <f t="shared" si="4"/>
        <v>2000</v>
      </c>
      <c r="Y32" s="74">
        <f t="shared" si="4"/>
        <v>2000</v>
      </c>
      <c r="Z32" s="74">
        <f t="shared" si="2"/>
        <v>12000</v>
      </c>
    </row>
    <row r="33" spans="1:27" x14ac:dyDescent="0.3">
      <c r="A33" s="79" t="s">
        <v>175</v>
      </c>
      <c r="B33" s="79" t="s">
        <v>222</v>
      </c>
      <c r="C33" s="79" t="s">
        <v>198</v>
      </c>
      <c r="D33" s="79" t="s">
        <v>234</v>
      </c>
      <c r="E33" s="79" t="s">
        <v>235</v>
      </c>
      <c r="F33" s="24" t="s">
        <v>180</v>
      </c>
      <c r="G33" s="24" t="s">
        <v>220</v>
      </c>
      <c r="H33" s="80">
        <v>5000</v>
      </c>
      <c r="I33" s="81"/>
      <c r="J33" s="81"/>
      <c r="K33" s="81">
        <v>1</v>
      </c>
      <c r="L33" s="81">
        <v>1</v>
      </c>
      <c r="M33" s="81">
        <v>1</v>
      </c>
      <c r="N33" s="81">
        <v>1</v>
      </c>
      <c r="O33" s="81">
        <v>1</v>
      </c>
      <c r="P33" s="81">
        <v>1</v>
      </c>
      <c r="Q33" s="74">
        <f t="shared" si="0"/>
        <v>6</v>
      </c>
      <c r="R33" s="74">
        <f t="shared" si="4"/>
        <v>0</v>
      </c>
      <c r="S33" s="74">
        <f t="shared" si="4"/>
        <v>0</v>
      </c>
      <c r="T33" s="74">
        <f t="shared" si="4"/>
        <v>5000</v>
      </c>
      <c r="U33" s="74">
        <f t="shared" si="4"/>
        <v>5000</v>
      </c>
      <c r="V33" s="74">
        <f t="shared" si="4"/>
        <v>5000</v>
      </c>
      <c r="W33" s="74">
        <f t="shared" si="4"/>
        <v>5000</v>
      </c>
      <c r="X33" s="74">
        <f t="shared" si="4"/>
        <v>5000</v>
      </c>
      <c r="Y33" s="74">
        <f t="shared" si="4"/>
        <v>5000</v>
      </c>
      <c r="Z33" s="74">
        <f t="shared" si="2"/>
        <v>30000</v>
      </c>
    </row>
    <row r="34" spans="1:27" x14ac:dyDescent="0.3">
      <c r="A34" s="79" t="s">
        <v>175</v>
      </c>
      <c r="B34" s="79" t="s">
        <v>236</v>
      </c>
      <c r="C34" s="79" t="s">
        <v>237</v>
      </c>
      <c r="D34" s="79" t="s">
        <v>238</v>
      </c>
      <c r="E34" s="79" t="s">
        <v>239</v>
      </c>
      <c r="F34" s="24" t="s">
        <v>180</v>
      </c>
      <c r="G34" s="24" t="s">
        <v>240</v>
      </c>
      <c r="H34" s="80">
        <f>+((10*48000*3)+(10*30000*2))/1000</f>
        <v>2040</v>
      </c>
      <c r="I34" s="81"/>
      <c r="J34" s="81"/>
      <c r="K34" s="81">
        <v>4</v>
      </c>
      <c r="L34" s="81">
        <v>4</v>
      </c>
      <c r="M34" s="81">
        <v>4</v>
      </c>
      <c r="N34" s="81">
        <v>4</v>
      </c>
      <c r="O34" s="81">
        <v>4</v>
      </c>
      <c r="P34" s="81">
        <v>4</v>
      </c>
      <c r="Q34" s="74">
        <f t="shared" si="0"/>
        <v>24</v>
      </c>
      <c r="R34" s="74">
        <f t="shared" si="4"/>
        <v>0</v>
      </c>
      <c r="S34" s="74">
        <f t="shared" si="4"/>
        <v>0</v>
      </c>
      <c r="T34" s="74">
        <f t="shared" si="4"/>
        <v>8160</v>
      </c>
      <c r="U34" s="74">
        <f t="shared" si="4"/>
        <v>8160</v>
      </c>
      <c r="V34" s="74">
        <f t="shared" si="4"/>
        <v>8160</v>
      </c>
      <c r="W34" s="74">
        <f t="shared" si="4"/>
        <v>8160</v>
      </c>
      <c r="X34" s="74">
        <f t="shared" si="4"/>
        <v>8160</v>
      </c>
      <c r="Y34" s="74">
        <f t="shared" si="4"/>
        <v>8160</v>
      </c>
      <c r="Z34" s="74">
        <f t="shared" si="2"/>
        <v>48960</v>
      </c>
    </row>
    <row r="35" spans="1:27" x14ac:dyDescent="0.3">
      <c r="A35" s="79" t="s">
        <v>175</v>
      </c>
      <c r="B35" s="79" t="s">
        <v>236</v>
      </c>
      <c r="C35" s="79" t="s">
        <v>241</v>
      </c>
      <c r="D35" s="79" t="s">
        <v>242</v>
      </c>
      <c r="E35" s="79" t="s">
        <v>243</v>
      </c>
      <c r="F35" s="24" t="s">
        <v>180</v>
      </c>
      <c r="G35" s="24" t="s">
        <v>244</v>
      </c>
      <c r="H35" s="80">
        <v>10000</v>
      </c>
      <c r="I35" s="81"/>
      <c r="J35" s="81"/>
      <c r="K35" s="81">
        <v>2</v>
      </c>
      <c r="L35" s="81">
        <v>2</v>
      </c>
      <c r="M35" s="81">
        <v>2</v>
      </c>
      <c r="N35" s="81">
        <v>2</v>
      </c>
      <c r="O35" s="81">
        <v>2</v>
      </c>
      <c r="P35" s="81">
        <v>2</v>
      </c>
      <c r="Q35" s="74">
        <f t="shared" si="0"/>
        <v>12</v>
      </c>
      <c r="R35" s="74">
        <f t="shared" si="4"/>
        <v>0</v>
      </c>
      <c r="S35" s="74">
        <f t="shared" si="4"/>
        <v>0</v>
      </c>
      <c r="T35" s="74">
        <f t="shared" si="4"/>
        <v>20000</v>
      </c>
      <c r="U35" s="74">
        <f t="shared" si="4"/>
        <v>20000</v>
      </c>
      <c r="V35" s="74">
        <f t="shared" si="4"/>
        <v>20000</v>
      </c>
      <c r="W35" s="74">
        <f t="shared" si="4"/>
        <v>20000</v>
      </c>
      <c r="X35" s="74">
        <f t="shared" si="4"/>
        <v>20000</v>
      </c>
      <c r="Y35" s="74">
        <f t="shared" si="4"/>
        <v>20000</v>
      </c>
      <c r="Z35" s="74">
        <f t="shared" si="2"/>
        <v>120000</v>
      </c>
    </row>
    <row r="36" spans="1:27" x14ac:dyDescent="0.3">
      <c r="A36" s="79" t="s">
        <v>175</v>
      </c>
      <c r="B36" s="79" t="s">
        <v>245</v>
      </c>
      <c r="C36" s="79" t="s">
        <v>237</v>
      </c>
      <c r="D36" s="79" t="s">
        <v>238</v>
      </c>
      <c r="E36" s="79" t="s">
        <v>246</v>
      </c>
      <c r="F36" s="24" t="s">
        <v>180</v>
      </c>
      <c r="G36" s="24" t="s">
        <v>247</v>
      </c>
      <c r="H36" s="80">
        <v>2400</v>
      </c>
      <c r="I36" s="81"/>
      <c r="J36" s="81"/>
      <c r="K36" s="81">
        <v>1</v>
      </c>
      <c r="L36" s="81">
        <v>1</v>
      </c>
      <c r="M36" s="81">
        <v>1</v>
      </c>
      <c r="N36" s="81">
        <v>1</v>
      </c>
      <c r="O36" s="81">
        <v>1</v>
      </c>
      <c r="P36" s="81">
        <v>1</v>
      </c>
      <c r="Q36" s="74">
        <f t="shared" si="0"/>
        <v>6</v>
      </c>
      <c r="R36" s="74">
        <f t="shared" ref="R36:Y48" si="5">$H36*I36</f>
        <v>0</v>
      </c>
      <c r="S36" s="74">
        <f t="shared" si="5"/>
        <v>0</v>
      </c>
      <c r="T36" s="74">
        <f t="shared" si="5"/>
        <v>2400</v>
      </c>
      <c r="U36" s="74">
        <f t="shared" si="5"/>
        <v>2400</v>
      </c>
      <c r="V36" s="74">
        <f t="shared" si="5"/>
        <v>2400</v>
      </c>
      <c r="W36" s="74">
        <f t="shared" si="5"/>
        <v>2400</v>
      </c>
      <c r="X36" s="74">
        <f t="shared" si="5"/>
        <v>2400</v>
      </c>
      <c r="Y36" s="74">
        <f t="shared" si="5"/>
        <v>2400</v>
      </c>
      <c r="Z36" s="74">
        <f t="shared" si="2"/>
        <v>14400</v>
      </c>
    </row>
    <row r="37" spans="1:27" x14ac:dyDescent="0.3">
      <c r="A37" s="79" t="s">
        <v>175</v>
      </c>
      <c r="B37" s="79" t="s">
        <v>245</v>
      </c>
      <c r="C37" s="79" t="s">
        <v>223</v>
      </c>
      <c r="D37" s="79" t="s">
        <v>248</v>
      </c>
      <c r="E37" s="79" t="s">
        <v>249</v>
      </c>
      <c r="F37" s="24" t="s">
        <v>180</v>
      </c>
      <c r="G37" s="24" t="s">
        <v>220</v>
      </c>
      <c r="H37" s="80">
        <v>5000</v>
      </c>
      <c r="I37" s="81"/>
      <c r="J37" s="81"/>
      <c r="K37" s="81">
        <v>1</v>
      </c>
      <c r="L37" s="81">
        <v>1</v>
      </c>
      <c r="M37" s="81">
        <v>1</v>
      </c>
      <c r="N37" s="81">
        <v>1</v>
      </c>
      <c r="O37" s="81">
        <v>1</v>
      </c>
      <c r="P37" s="81">
        <v>1</v>
      </c>
      <c r="Q37" s="74">
        <f t="shared" si="0"/>
        <v>6</v>
      </c>
      <c r="R37" s="74">
        <f t="shared" si="5"/>
        <v>0</v>
      </c>
      <c r="S37" s="74">
        <f t="shared" si="5"/>
        <v>0</v>
      </c>
      <c r="T37" s="74">
        <f t="shared" si="5"/>
        <v>5000</v>
      </c>
      <c r="U37" s="74">
        <f t="shared" si="5"/>
        <v>5000</v>
      </c>
      <c r="V37" s="74">
        <f t="shared" si="5"/>
        <v>5000</v>
      </c>
      <c r="W37" s="74">
        <f t="shared" si="5"/>
        <v>5000</v>
      </c>
      <c r="X37" s="74">
        <f t="shared" si="5"/>
        <v>5000</v>
      </c>
      <c r="Y37" s="74">
        <f t="shared" si="5"/>
        <v>5000</v>
      </c>
      <c r="Z37" s="74">
        <f t="shared" si="2"/>
        <v>30000</v>
      </c>
    </row>
    <row r="38" spans="1:27" x14ac:dyDescent="0.3">
      <c r="A38" s="79" t="s">
        <v>175</v>
      </c>
      <c r="B38" s="79" t="s">
        <v>245</v>
      </c>
      <c r="C38" s="79" t="s">
        <v>223</v>
      </c>
      <c r="D38" s="79" t="s">
        <v>224</v>
      </c>
      <c r="E38" s="79" t="s">
        <v>250</v>
      </c>
      <c r="F38" s="24" t="s">
        <v>180</v>
      </c>
      <c r="G38" s="24" t="s">
        <v>251</v>
      </c>
      <c r="H38" s="80">
        <v>1000</v>
      </c>
      <c r="I38" s="81"/>
      <c r="J38" s="81"/>
      <c r="K38" s="81">
        <v>1</v>
      </c>
      <c r="L38" s="81">
        <v>1</v>
      </c>
      <c r="M38" s="81">
        <v>1</v>
      </c>
      <c r="N38" s="81">
        <v>1</v>
      </c>
      <c r="O38" s="81">
        <v>1</v>
      </c>
      <c r="P38" s="81">
        <v>1</v>
      </c>
      <c r="Q38" s="74">
        <f t="shared" si="0"/>
        <v>6</v>
      </c>
      <c r="R38" s="74">
        <f t="shared" si="5"/>
        <v>0</v>
      </c>
      <c r="S38" s="74">
        <f t="shared" si="5"/>
        <v>0</v>
      </c>
      <c r="T38" s="74">
        <f t="shared" si="5"/>
        <v>1000</v>
      </c>
      <c r="U38" s="74">
        <f t="shared" si="5"/>
        <v>1000</v>
      </c>
      <c r="V38" s="74">
        <f t="shared" si="5"/>
        <v>1000</v>
      </c>
      <c r="W38" s="74">
        <f t="shared" si="5"/>
        <v>1000</v>
      </c>
      <c r="X38" s="74">
        <f t="shared" si="5"/>
        <v>1000</v>
      </c>
      <c r="Y38" s="74">
        <f t="shared" si="5"/>
        <v>1000</v>
      </c>
      <c r="Z38" s="74">
        <f t="shared" si="2"/>
        <v>6000</v>
      </c>
    </row>
    <row r="39" spans="1:27" x14ac:dyDescent="0.3">
      <c r="A39" s="79" t="s">
        <v>252</v>
      </c>
      <c r="B39" s="79" t="s">
        <v>253</v>
      </c>
      <c r="C39" s="79" t="s">
        <v>177</v>
      </c>
      <c r="D39" s="79" t="s">
        <v>202</v>
      </c>
      <c r="E39" s="79" t="s">
        <v>254</v>
      </c>
      <c r="F39" s="24" t="s">
        <v>180</v>
      </c>
      <c r="G39" s="79" t="s">
        <v>255</v>
      </c>
      <c r="H39" s="80">
        <v>40</v>
      </c>
      <c r="I39" s="81">
        <v>300</v>
      </c>
      <c r="J39" s="81">
        <v>300</v>
      </c>
      <c r="K39" s="81">
        <v>300</v>
      </c>
      <c r="L39" s="81">
        <v>300</v>
      </c>
      <c r="M39" s="81"/>
      <c r="N39" s="81">
        <v>300</v>
      </c>
      <c r="O39" s="81"/>
      <c r="P39" s="81">
        <v>300</v>
      </c>
      <c r="Q39" s="74">
        <f t="shared" si="0"/>
        <v>1800</v>
      </c>
      <c r="R39" s="74">
        <f t="shared" si="5"/>
        <v>12000</v>
      </c>
      <c r="S39" s="74">
        <f t="shared" si="5"/>
        <v>12000</v>
      </c>
      <c r="T39" s="74">
        <f t="shared" si="5"/>
        <v>12000</v>
      </c>
      <c r="U39" s="74">
        <f t="shared" si="5"/>
        <v>12000</v>
      </c>
      <c r="V39" s="74">
        <f t="shared" si="5"/>
        <v>0</v>
      </c>
      <c r="W39" s="74">
        <f t="shared" si="5"/>
        <v>12000</v>
      </c>
      <c r="X39" s="74">
        <f t="shared" si="5"/>
        <v>0</v>
      </c>
      <c r="Y39" s="74">
        <f t="shared" si="5"/>
        <v>12000</v>
      </c>
      <c r="Z39" s="74">
        <f t="shared" si="2"/>
        <v>72000</v>
      </c>
    </row>
    <row r="40" spans="1:27" x14ac:dyDescent="0.3">
      <c r="A40" s="79" t="s">
        <v>252</v>
      </c>
      <c r="B40" s="79" t="s">
        <v>253</v>
      </c>
      <c r="C40" s="79" t="s">
        <v>177</v>
      </c>
      <c r="D40" s="79" t="s">
        <v>202</v>
      </c>
      <c r="E40" s="79" t="s">
        <v>254</v>
      </c>
      <c r="F40" s="24" t="s">
        <v>180</v>
      </c>
      <c r="G40" s="79" t="s">
        <v>256</v>
      </c>
      <c r="H40" s="80">
        <v>10</v>
      </c>
      <c r="I40" s="81">
        <v>1000</v>
      </c>
      <c r="J40" s="81">
        <v>1000</v>
      </c>
      <c r="K40" s="81">
        <v>1000</v>
      </c>
      <c r="L40" s="24"/>
      <c r="M40" s="81">
        <v>1000</v>
      </c>
      <c r="N40" s="24"/>
      <c r="O40" s="24"/>
      <c r="P40" s="24"/>
      <c r="Q40" s="74">
        <f t="shared" si="0"/>
        <v>4000</v>
      </c>
      <c r="R40" s="74">
        <f t="shared" si="5"/>
        <v>10000</v>
      </c>
      <c r="S40" s="74">
        <f t="shared" si="5"/>
        <v>10000</v>
      </c>
      <c r="T40" s="74">
        <f t="shared" si="5"/>
        <v>10000</v>
      </c>
      <c r="U40" s="74">
        <f t="shared" si="5"/>
        <v>0</v>
      </c>
      <c r="V40" s="74">
        <f t="shared" si="5"/>
        <v>10000</v>
      </c>
      <c r="W40" s="74">
        <f t="shared" si="5"/>
        <v>0</v>
      </c>
      <c r="X40" s="74">
        <f t="shared" si="5"/>
        <v>0</v>
      </c>
      <c r="Y40" s="74">
        <f t="shared" si="5"/>
        <v>0</v>
      </c>
      <c r="Z40" s="74">
        <f t="shared" si="2"/>
        <v>40000</v>
      </c>
    </row>
    <row r="41" spans="1:27" x14ac:dyDescent="0.3">
      <c r="A41" s="79" t="s">
        <v>252</v>
      </c>
      <c r="B41" s="79" t="s">
        <v>253</v>
      </c>
      <c r="C41" s="79" t="s">
        <v>177</v>
      </c>
      <c r="D41" s="79" t="s">
        <v>202</v>
      </c>
      <c r="E41" s="79" t="s">
        <v>254</v>
      </c>
      <c r="F41" s="24" t="s">
        <v>180</v>
      </c>
      <c r="G41" s="79" t="s">
        <v>257</v>
      </c>
      <c r="H41" s="80">
        <v>5</v>
      </c>
      <c r="I41" s="81">
        <v>1000</v>
      </c>
      <c r="J41" s="81">
        <v>1000</v>
      </c>
      <c r="K41" s="81">
        <v>1000</v>
      </c>
      <c r="L41" s="81">
        <v>1000</v>
      </c>
      <c r="M41" s="81"/>
      <c r="N41" s="81">
        <v>1000</v>
      </c>
      <c r="O41" s="24"/>
      <c r="P41" s="81">
        <v>1000</v>
      </c>
      <c r="Q41" s="74">
        <f t="shared" si="0"/>
        <v>6000</v>
      </c>
      <c r="R41" s="74">
        <f t="shared" si="5"/>
        <v>5000</v>
      </c>
      <c r="S41" s="74">
        <f t="shared" si="5"/>
        <v>5000</v>
      </c>
      <c r="T41" s="74">
        <f t="shared" si="5"/>
        <v>5000</v>
      </c>
      <c r="U41" s="74">
        <f t="shared" si="5"/>
        <v>5000</v>
      </c>
      <c r="V41" s="74">
        <f t="shared" si="5"/>
        <v>0</v>
      </c>
      <c r="W41" s="74">
        <f t="shared" si="5"/>
        <v>5000</v>
      </c>
      <c r="X41" s="74">
        <f t="shared" si="5"/>
        <v>0</v>
      </c>
      <c r="Y41" s="74">
        <f t="shared" si="5"/>
        <v>5000</v>
      </c>
      <c r="Z41" s="74">
        <f t="shared" si="2"/>
        <v>30000</v>
      </c>
    </row>
    <row r="42" spans="1:27" x14ac:dyDescent="0.3">
      <c r="A42" s="79" t="s">
        <v>252</v>
      </c>
      <c r="B42" s="79" t="s">
        <v>253</v>
      </c>
      <c r="C42" s="79" t="s">
        <v>177</v>
      </c>
      <c r="D42" s="79" t="s">
        <v>202</v>
      </c>
      <c r="E42" s="79" t="s">
        <v>258</v>
      </c>
      <c r="F42" s="24" t="s">
        <v>180</v>
      </c>
      <c r="G42" s="79" t="s">
        <v>258</v>
      </c>
      <c r="H42" s="80">
        <v>10</v>
      </c>
      <c r="I42" s="81">
        <v>300</v>
      </c>
      <c r="J42" s="81">
        <v>300</v>
      </c>
      <c r="K42" s="81">
        <v>300</v>
      </c>
      <c r="L42" s="81"/>
      <c r="M42" s="81">
        <v>300</v>
      </c>
      <c r="N42" s="81"/>
      <c r="O42" s="81"/>
      <c r="P42" s="81"/>
      <c r="Q42" s="74">
        <f t="shared" si="0"/>
        <v>1200</v>
      </c>
      <c r="R42" s="74">
        <f t="shared" si="5"/>
        <v>3000</v>
      </c>
      <c r="S42" s="74">
        <f t="shared" si="5"/>
        <v>3000</v>
      </c>
      <c r="T42" s="74">
        <f t="shared" si="5"/>
        <v>3000</v>
      </c>
      <c r="U42" s="74">
        <f t="shared" si="5"/>
        <v>0</v>
      </c>
      <c r="V42" s="74">
        <f t="shared" si="5"/>
        <v>3000</v>
      </c>
      <c r="W42" s="74">
        <f t="shared" si="5"/>
        <v>0</v>
      </c>
      <c r="X42" s="74">
        <f t="shared" si="5"/>
        <v>0</v>
      </c>
      <c r="Y42" s="74">
        <f t="shared" si="5"/>
        <v>0</v>
      </c>
      <c r="Z42" s="74">
        <f t="shared" si="2"/>
        <v>12000</v>
      </c>
    </row>
    <row r="43" spans="1:27" x14ac:dyDescent="0.3">
      <c r="A43" s="79" t="s">
        <v>252</v>
      </c>
      <c r="B43" s="79" t="s">
        <v>253</v>
      </c>
      <c r="C43" s="79" t="s">
        <v>177</v>
      </c>
      <c r="D43" s="79" t="s">
        <v>204</v>
      </c>
      <c r="E43" s="79" t="s">
        <v>259</v>
      </c>
      <c r="F43" s="24" t="s">
        <v>180</v>
      </c>
      <c r="G43" s="79" t="s">
        <v>260</v>
      </c>
      <c r="H43" s="80">
        <v>50</v>
      </c>
      <c r="I43" s="81">
        <v>120</v>
      </c>
      <c r="J43" s="81">
        <v>120</v>
      </c>
      <c r="K43" s="81">
        <v>120</v>
      </c>
      <c r="L43" s="81"/>
      <c r="M43" s="81"/>
      <c r="N43" s="81"/>
      <c r="O43" s="81"/>
      <c r="P43" s="81"/>
      <c r="Q43" s="74">
        <f t="shared" si="0"/>
        <v>360</v>
      </c>
      <c r="R43" s="74">
        <f t="shared" si="5"/>
        <v>6000</v>
      </c>
      <c r="S43" s="74">
        <f t="shared" si="5"/>
        <v>6000</v>
      </c>
      <c r="T43" s="74">
        <f t="shared" si="5"/>
        <v>6000</v>
      </c>
      <c r="U43" s="74">
        <f t="shared" si="5"/>
        <v>0</v>
      </c>
      <c r="V43" s="74">
        <f t="shared" si="5"/>
        <v>0</v>
      </c>
      <c r="W43" s="74">
        <f t="shared" si="5"/>
        <v>0</v>
      </c>
      <c r="X43" s="74">
        <f t="shared" si="5"/>
        <v>0</v>
      </c>
      <c r="Y43" s="74">
        <f t="shared" si="5"/>
        <v>0</v>
      </c>
      <c r="Z43" s="74">
        <f t="shared" si="2"/>
        <v>18000</v>
      </c>
    </row>
    <row r="44" spans="1:27" x14ac:dyDescent="0.3">
      <c r="A44" s="79" t="s">
        <v>252</v>
      </c>
      <c r="B44" s="79" t="s">
        <v>253</v>
      </c>
      <c r="C44" s="79" t="s">
        <v>177</v>
      </c>
      <c r="D44" s="79" t="s">
        <v>261</v>
      </c>
      <c r="E44" s="79" t="s">
        <v>262</v>
      </c>
      <c r="F44" s="24" t="s">
        <v>180</v>
      </c>
      <c r="G44" s="79" t="s">
        <v>263</v>
      </c>
      <c r="H44" s="80">
        <v>5000</v>
      </c>
      <c r="I44" s="81">
        <v>6</v>
      </c>
      <c r="J44" s="81">
        <v>6</v>
      </c>
      <c r="K44" s="81">
        <v>6</v>
      </c>
      <c r="L44" s="81"/>
      <c r="M44" s="81"/>
      <c r="N44" s="81"/>
      <c r="O44" s="81"/>
      <c r="P44" s="81"/>
      <c r="Q44" s="74">
        <f t="shared" si="0"/>
        <v>18</v>
      </c>
      <c r="R44" s="74">
        <f t="shared" si="5"/>
        <v>30000</v>
      </c>
      <c r="S44" s="74">
        <f t="shared" si="5"/>
        <v>30000</v>
      </c>
      <c r="T44" s="74">
        <f t="shared" si="5"/>
        <v>30000</v>
      </c>
      <c r="U44" s="74">
        <f t="shared" si="5"/>
        <v>0</v>
      </c>
      <c r="V44" s="74">
        <f t="shared" si="5"/>
        <v>0</v>
      </c>
      <c r="W44" s="74">
        <f t="shared" si="5"/>
        <v>0</v>
      </c>
      <c r="X44" s="74">
        <f t="shared" si="5"/>
        <v>0</v>
      </c>
      <c r="Y44" s="74">
        <f t="shared" si="5"/>
        <v>0</v>
      </c>
      <c r="Z44" s="74">
        <f t="shared" si="2"/>
        <v>90000</v>
      </c>
    </row>
    <row r="45" spans="1:27" x14ac:dyDescent="0.3">
      <c r="A45" s="79" t="s">
        <v>252</v>
      </c>
      <c r="B45" s="79" t="s">
        <v>253</v>
      </c>
      <c r="C45" s="79" t="s">
        <v>213</v>
      </c>
      <c r="D45" s="79" t="s">
        <v>214</v>
      </c>
      <c r="E45" s="79" t="s">
        <v>264</v>
      </c>
      <c r="F45" s="24" t="s">
        <v>180</v>
      </c>
      <c r="G45" s="79" t="s">
        <v>216</v>
      </c>
      <c r="H45" s="80">
        <v>1500</v>
      </c>
      <c r="I45" s="81">
        <v>6</v>
      </c>
      <c r="J45" s="81">
        <v>6</v>
      </c>
      <c r="K45" s="81">
        <v>6</v>
      </c>
      <c r="L45" s="81"/>
      <c r="M45" s="81"/>
      <c r="N45" s="81"/>
      <c r="O45" s="81"/>
      <c r="P45" s="81"/>
      <c r="Q45" s="74">
        <f t="shared" si="0"/>
        <v>18</v>
      </c>
      <c r="R45" s="74">
        <f t="shared" si="5"/>
        <v>9000</v>
      </c>
      <c r="S45" s="74">
        <f t="shared" si="5"/>
        <v>9000</v>
      </c>
      <c r="T45" s="74">
        <f t="shared" si="5"/>
        <v>9000</v>
      </c>
      <c r="U45" s="74">
        <f t="shared" si="5"/>
        <v>0</v>
      </c>
      <c r="V45" s="74">
        <f t="shared" si="5"/>
        <v>0</v>
      </c>
      <c r="W45" s="74">
        <f t="shared" si="5"/>
        <v>0</v>
      </c>
      <c r="X45" s="74">
        <f t="shared" si="5"/>
        <v>0</v>
      </c>
      <c r="Y45" s="74">
        <f t="shared" si="5"/>
        <v>0</v>
      </c>
      <c r="Z45" s="74">
        <f t="shared" si="2"/>
        <v>27000</v>
      </c>
    </row>
    <row r="46" spans="1:27" x14ac:dyDescent="0.3">
      <c r="A46" s="72" t="s">
        <v>252</v>
      </c>
      <c r="B46" s="72" t="s">
        <v>265</v>
      </c>
      <c r="C46" s="72" t="s">
        <v>223</v>
      </c>
      <c r="D46" s="72" t="s">
        <v>266</v>
      </c>
      <c r="E46" s="72" t="s">
        <v>267</v>
      </c>
      <c r="F46" s="25" t="s">
        <v>182</v>
      </c>
      <c r="G46" s="72" t="s">
        <v>268</v>
      </c>
      <c r="H46" s="73">
        <f>'Modele PPR'!C11/1000</f>
        <v>3.5000000000000003E-2</v>
      </c>
      <c r="I46" s="74">
        <f>'Modele PPR'!C6</f>
        <v>1050000</v>
      </c>
      <c r="J46" s="74">
        <f>'Modele PPR'!D6</f>
        <v>1050000</v>
      </c>
      <c r="K46" s="74">
        <f>'Modele PPR'!E6</f>
        <v>3150000</v>
      </c>
      <c r="L46" s="74">
        <f>'Modele PPR'!F6</f>
        <v>4200000</v>
      </c>
      <c r="M46" s="74">
        <f>'Modele PPR'!G6</f>
        <v>4200000</v>
      </c>
      <c r="N46" s="74">
        <f>'Modele PPR'!H6</f>
        <v>4200000</v>
      </c>
      <c r="O46" s="74">
        <f>'Modele PPR'!I6</f>
        <v>2398084.6688524294</v>
      </c>
      <c r="P46" s="74">
        <f>'Modele PPR'!J6</f>
        <v>2437035.2544848523</v>
      </c>
      <c r="Q46" s="74">
        <f t="shared" si="0"/>
        <v>22685119.923337281</v>
      </c>
      <c r="R46" s="74">
        <f t="shared" si="5"/>
        <v>36750</v>
      </c>
      <c r="S46" s="74">
        <f t="shared" si="5"/>
        <v>36750</v>
      </c>
      <c r="T46" s="74">
        <f t="shared" si="5"/>
        <v>110250.00000000001</v>
      </c>
      <c r="U46" s="74">
        <f t="shared" si="5"/>
        <v>147000</v>
      </c>
      <c r="V46" s="74">
        <f t="shared" si="5"/>
        <v>147000</v>
      </c>
      <c r="W46" s="74">
        <f t="shared" si="5"/>
        <v>147000</v>
      </c>
      <c r="X46" s="74">
        <f t="shared" si="5"/>
        <v>83932.963409835036</v>
      </c>
      <c r="Y46" s="74">
        <f t="shared" si="5"/>
        <v>85296.233906969836</v>
      </c>
      <c r="Z46" s="74">
        <f t="shared" si="2"/>
        <v>793979.1973168049</v>
      </c>
      <c r="AA46" s="25" t="s">
        <v>269</v>
      </c>
    </row>
    <row r="47" spans="1:27" x14ac:dyDescent="0.3">
      <c r="A47" s="79" t="s">
        <v>252</v>
      </c>
      <c r="B47" s="79" t="s">
        <v>265</v>
      </c>
      <c r="C47" s="79" t="s">
        <v>223</v>
      </c>
      <c r="D47" s="79" t="s">
        <v>224</v>
      </c>
      <c r="E47" s="79" t="s">
        <v>270</v>
      </c>
      <c r="F47" s="24" t="s">
        <v>180</v>
      </c>
      <c r="G47" s="79" t="s">
        <v>271</v>
      </c>
      <c r="H47" s="80">
        <f>((39*5)+25+39)*30*775*0.001*3</f>
        <v>18065.25</v>
      </c>
      <c r="I47" s="81"/>
      <c r="J47" s="81">
        <v>1</v>
      </c>
      <c r="K47" s="81">
        <v>1</v>
      </c>
      <c r="L47" s="81">
        <v>1</v>
      </c>
      <c r="M47" s="81">
        <v>1</v>
      </c>
      <c r="N47" s="81">
        <v>1</v>
      </c>
      <c r="O47" s="81">
        <v>1</v>
      </c>
      <c r="P47" s="81">
        <v>1</v>
      </c>
      <c r="Q47" s="74">
        <f t="shared" si="0"/>
        <v>7</v>
      </c>
      <c r="R47" s="74">
        <f t="shared" si="5"/>
        <v>0</v>
      </c>
      <c r="S47" s="74">
        <f t="shared" si="5"/>
        <v>18065.25</v>
      </c>
      <c r="T47" s="74">
        <f t="shared" si="5"/>
        <v>18065.25</v>
      </c>
      <c r="U47" s="74">
        <f t="shared" si="5"/>
        <v>18065.25</v>
      </c>
      <c r="V47" s="74">
        <f t="shared" si="5"/>
        <v>18065.25</v>
      </c>
      <c r="W47" s="74">
        <f t="shared" si="5"/>
        <v>18065.25</v>
      </c>
      <c r="X47" s="74">
        <f t="shared" si="5"/>
        <v>18065.25</v>
      </c>
      <c r="Y47" s="74">
        <f t="shared" si="5"/>
        <v>18065.25</v>
      </c>
      <c r="Z47" s="74">
        <f t="shared" si="2"/>
        <v>126456.75</v>
      </c>
    </row>
    <row r="48" spans="1:27" x14ac:dyDescent="0.3">
      <c r="A48" s="79" t="s">
        <v>252</v>
      </c>
      <c r="B48" s="79" t="s">
        <v>265</v>
      </c>
      <c r="C48" s="79" t="s">
        <v>223</v>
      </c>
      <c r="D48" s="79" t="s">
        <v>231</v>
      </c>
      <c r="E48" s="79" t="s">
        <v>232</v>
      </c>
      <c r="F48" s="24" t="s">
        <v>180</v>
      </c>
      <c r="G48" s="79" t="s">
        <v>272</v>
      </c>
      <c r="H48" s="80">
        <v>1000</v>
      </c>
      <c r="I48" s="81"/>
      <c r="J48" s="81">
        <v>1</v>
      </c>
      <c r="K48" s="81">
        <v>1</v>
      </c>
      <c r="L48" s="81">
        <v>1</v>
      </c>
      <c r="M48" s="81">
        <v>1</v>
      </c>
      <c r="N48" s="81">
        <v>1</v>
      </c>
      <c r="O48" s="81">
        <v>1</v>
      </c>
      <c r="P48" s="81">
        <v>1</v>
      </c>
      <c r="Q48" s="74">
        <f t="shared" si="0"/>
        <v>7</v>
      </c>
      <c r="R48" s="74">
        <f t="shared" si="5"/>
        <v>0</v>
      </c>
      <c r="S48" s="74">
        <f t="shared" si="5"/>
        <v>1000</v>
      </c>
      <c r="T48" s="74">
        <f t="shared" si="5"/>
        <v>1000</v>
      </c>
      <c r="U48" s="74">
        <f t="shared" si="5"/>
        <v>1000</v>
      </c>
      <c r="V48" s="74">
        <f t="shared" si="5"/>
        <v>1000</v>
      </c>
      <c r="W48" s="74">
        <f t="shared" si="5"/>
        <v>1000</v>
      </c>
      <c r="X48" s="74">
        <f t="shared" si="5"/>
        <v>1000</v>
      </c>
      <c r="Y48" s="74">
        <f t="shared" si="5"/>
        <v>1000</v>
      </c>
      <c r="Z48" s="74">
        <f t="shared" si="2"/>
        <v>7000</v>
      </c>
    </row>
    <row r="49" spans="1:26" x14ac:dyDescent="0.3">
      <c r="A49" s="75" t="s">
        <v>252</v>
      </c>
      <c r="B49" s="75" t="s">
        <v>265</v>
      </c>
      <c r="C49" s="75" t="s">
        <v>237</v>
      </c>
      <c r="D49" s="75" t="s">
        <v>273</v>
      </c>
      <c r="E49" s="75" t="s">
        <v>274</v>
      </c>
      <c r="F49" s="75" t="s">
        <v>180</v>
      </c>
      <c r="G49" s="82" t="s">
        <v>275</v>
      </c>
      <c r="H49" s="76">
        <f>'Modele PPR'!B15/1000</f>
        <v>0.05</v>
      </c>
      <c r="I49" s="77">
        <f>'Modele PPR'!C4*'Modele PPR'!C17</f>
        <v>500000</v>
      </c>
      <c r="J49" s="77">
        <f>'Modele PPR'!D4*'Modele PPR'!D17</f>
        <v>500000</v>
      </c>
      <c r="K49" s="77">
        <f>'Modele PPR'!E4*'Modele PPR'!E17</f>
        <v>1500000</v>
      </c>
      <c r="L49" s="77">
        <f>'Modele PPR'!F4*'Modele PPR'!F17</f>
        <v>2000000</v>
      </c>
      <c r="M49" s="77">
        <f>'Modele PPR'!G4*'Modele PPR'!G17</f>
        <v>2000000</v>
      </c>
      <c r="N49" s="77">
        <f>'Modele PPR'!H4*'Modele PPR'!H17</f>
        <v>2000000</v>
      </c>
      <c r="O49" s="77">
        <f>'Modele PPR'!I4*'Modele PPR'!I17</f>
        <v>1141945.0804059186</v>
      </c>
      <c r="P49" s="77">
        <f>'Modele PPR'!J4*'Modele PPR'!J17</f>
        <v>1160492.9783261202</v>
      </c>
      <c r="Q49" s="78">
        <f t="shared" si="0"/>
        <v>10802438.058732038</v>
      </c>
      <c r="R49" s="78">
        <f>I49*'Modele PPR'!C15/1000</f>
        <v>25000</v>
      </c>
      <c r="S49" s="78">
        <f>J49*'Modele PPR'!D15/1000</f>
        <v>25000</v>
      </c>
      <c r="T49" s="78">
        <f>K49*'Modele PPR'!E15/1000</f>
        <v>75000</v>
      </c>
      <c r="U49" s="78">
        <f>L49*'Modele PPR'!F15/1000</f>
        <v>100000</v>
      </c>
      <c r="V49" s="78">
        <f>M49*'Modele PPR'!G15/1000</f>
        <v>100000</v>
      </c>
      <c r="W49" s="78">
        <f>N49*'Modele PPR'!H15/1000</f>
        <v>100000</v>
      </c>
      <c r="X49" s="78">
        <f>O49*'Modele PPR'!I15/1000</f>
        <v>57097.254020295935</v>
      </c>
      <c r="Y49" s="78">
        <f>P49*'Modele PPR'!J15/1000</f>
        <v>58024.648916306011</v>
      </c>
      <c r="Z49" s="78">
        <f t="shared" si="2"/>
        <v>540121.90293660189</v>
      </c>
    </row>
    <row r="50" spans="1:26" x14ac:dyDescent="0.3">
      <c r="A50" s="75" t="s">
        <v>252</v>
      </c>
      <c r="B50" s="75" t="s">
        <v>265</v>
      </c>
      <c r="C50" s="75" t="s">
        <v>237</v>
      </c>
      <c r="D50" s="75" t="s">
        <v>273</v>
      </c>
      <c r="E50" s="75" t="s">
        <v>276</v>
      </c>
      <c r="F50" s="75" t="s">
        <v>180</v>
      </c>
      <c r="G50" s="82" t="s">
        <v>277</v>
      </c>
      <c r="H50" s="76">
        <f>'Modele PPR'!B14/1000</f>
        <v>2.5000000000000001E-2</v>
      </c>
      <c r="I50" s="77">
        <f>'Modele PPR'!C4*(1-'Modele PPR'!C17)</f>
        <v>500000</v>
      </c>
      <c r="J50" s="77">
        <f>'Modele PPR'!D4*(1-'Modele PPR'!D17)</f>
        <v>500000</v>
      </c>
      <c r="K50" s="77">
        <f>'Modele PPR'!E4*(1-'Modele PPR'!E17)</f>
        <v>1500000</v>
      </c>
      <c r="L50" s="77">
        <f>'Modele PPR'!F4*(1-'Modele PPR'!F17)</f>
        <v>2000000</v>
      </c>
      <c r="M50" s="77">
        <f>'Modele PPR'!G4*(1-'Modele PPR'!G17)</f>
        <v>2000000</v>
      </c>
      <c r="N50" s="77">
        <f>'Modele PPR'!H4*(1-'Modele PPR'!H17)</f>
        <v>2000000</v>
      </c>
      <c r="O50" s="77">
        <f>'Modele PPR'!I4*(1-'Modele PPR'!I17)</f>
        <v>1141945.0804059186</v>
      </c>
      <c r="P50" s="77">
        <f>'Modele PPR'!J4*(1-'Modele PPR'!J17)</f>
        <v>1160492.9783261202</v>
      </c>
      <c r="Q50" s="78">
        <f t="shared" si="0"/>
        <v>10802438.058732038</v>
      </c>
      <c r="R50" s="78">
        <f>I50*'Modele PPR'!C14/1000</f>
        <v>12500</v>
      </c>
      <c r="S50" s="78">
        <f>J50*'Modele PPR'!D14/1000</f>
        <v>12500</v>
      </c>
      <c r="T50" s="78">
        <f>K50*'Modele PPR'!E14/1000</f>
        <v>37500</v>
      </c>
      <c r="U50" s="78">
        <f>L50*'Modele PPR'!F14/1000</f>
        <v>50000</v>
      </c>
      <c r="V50" s="78">
        <f>M50*'Modele PPR'!G14/1000</f>
        <v>50000</v>
      </c>
      <c r="W50" s="78">
        <f>N50*'Modele PPR'!H14/1000</f>
        <v>50000</v>
      </c>
      <c r="X50" s="78">
        <f>O50*'Modele PPR'!I14/1000</f>
        <v>28548.627010147968</v>
      </c>
      <c r="Y50" s="78">
        <f>P50*'Modele PPR'!J14/1000</f>
        <v>29012.324458153005</v>
      </c>
      <c r="Z50" s="78">
        <f t="shared" si="2"/>
        <v>270060.95146830095</v>
      </c>
    </row>
    <row r="51" spans="1:26" x14ac:dyDescent="0.3">
      <c r="A51" s="79" t="s">
        <v>252</v>
      </c>
      <c r="B51" s="79" t="s">
        <v>278</v>
      </c>
      <c r="C51" s="79" t="s">
        <v>237</v>
      </c>
      <c r="D51" s="79" t="s">
        <v>238</v>
      </c>
      <c r="E51" s="79" t="s">
        <v>279</v>
      </c>
      <c r="F51" s="24" t="s">
        <v>180</v>
      </c>
      <c r="G51" s="79" t="s">
        <v>220</v>
      </c>
      <c r="H51" s="80">
        <f>+((10*48000*5)+(10*30000*3))/1000</f>
        <v>3300</v>
      </c>
      <c r="I51" s="81"/>
      <c r="J51" s="81">
        <v>1</v>
      </c>
      <c r="K51" s="81">
        <v>1</v>
      </c>
      <c r="L51" s="81">
        <v>1</v>
      </c>
      <c r="M51" s="81">
        <v>1</v>
      </c>
      <c r="N51" s="81">
        <v>1</v>
      </c>
      <c r="O51" s="81">
        <v>1</v>
      </c>
      <c r="P51" s="81">
        <v>1</v>
      </c>
      <c r="Q51" s="74">
        <f t="shared" si="0"/>
        <v>7</v>
      </c>
      <c r="R51" s="74">
        <f t="shared" ref="R51:Y66" si="6">$H51*I51</f>
        <v>0</v>
      </c>
      <c r="S51" s="74">
        <f t="shared" si="6"/>
        <v>3300</v>
      </c>
      <c r="T51" s="74">
        <f t="shared" si="6"/>
        <v>3300</v>
      </c>
      <c r="U51" s="74">
        <f t="shared" si="6"/>
        <v>3300</v>
      </c>
      <c r="V51" s="74">
        <f t="shared" si="6"/>
        <v>3300</v>
      </c>
      <c r="W51" s="74">
        <f t="shared" si="6"/>
        <v>3300</v>
      </c>
      <c r="X51" s="74">
        <f t="shared" si="6"/>
        <v>3300</v>
      </c>
      <c r="Y51" s="74">
        <f t="shared" si="6"/>
        <v>3300</v>
      </c>
      <c r="Z51" s="74">
        <f t="shared" si="2"/>
        <v>23100</v>
      </c>
    </row>
    <row r="52" spans="1:26" x14ac:dyDescent="0.3">
      <c r="A52" s="79" t="s">
        <v>252</v>
      </c>
      <c r="B52" s="79" t="s">
        <v>278</v>
      </c>
      <c r="C52" s="79" t="s">
        <v>237</v>
      </c>
      <c r="D52" s="79" t="s">
        <v>238</v>
      </c>
      <c r="E52" s="79" t="s">
        <v>280</v>
      </c>
      <c r="F52" s="24" t="s">
        <v>180</v>
      </c>
      <c r="G52" s="79" t="s">
        <v>220</v>
      </c>
      <c r="H52" s="80">
        <f>+((10*25000*6)+(5*25000*6)+(10*20000*6)+(10*15000*6)+(5*15000*6))/1000</f>
        <v>4800</v>
      </c>
      <c r="I52" s="81"/>
      <c r="J52" s="81">
        <v>1</v>
      </c>
      <c r="K52" s="81">
        <v>1</v>
      </c>
      <c r="L52" s="81">
        <v>1</v>
      </c>
      <c r="M52" s="81">
        <v>1</v>
      </c>
      <c r="N52" s="81">
        <v>1</v>
      </c>
      <c r="O52" s="81">
        <v>1</v>
      </c>
      <c r="P52" s="81">
        <v>1</v>
      </c>
      <c r="Q52" s="74">
        <f t="shared" si="0"/>
        <v>7</v>
      </c>
      <c r="R52" s="74">
        <f t="shared" si="6"/>
        <v>0</v>
      </c>
      <c r="S52" s="74">
        <f t="shared" si="6"/>
        <v>4800</v>
      </c>
      <c r="T52" s="74">
        <f t="shared" si="6"/>
        <v>4800</v>
      </c>
      <c r="U52" s="74">
        <f t="shared" si="6"/>
        <v>4800</v>
      </c>
      <c r="V52" s="74">
        <f t="shared" si="6"/>
        <v>4800</v>
      </c>
      <c r="W52" s="74">
        <f t="shared" si="6"/>
        <v>4800</v>
      </c>
      <c r="X52" s="74">
        <f t="shared" si="6"/>
        <v>4800</v>
      </c>
      <c r="Y52" s="74">
        <f t="shared" si="6"/>
        <v>4800</v>
      </c>
      <c r="Z52" s="74">
        <f t="shared" si="2"/>
        <v>33600</v>
      </c>
    </row>
    <row r="53" spans="1:26" x14ac:dyDescent="0.3">
      <c r="A53" s="79" t="s">
        <v>252</v>
      </c>
      <c r="B53" s="79" t="s">
        <v>278</v>
      </c>
      <c r="C53" s="79" t="s">
        <v>223</v>
      </c>
      <c r="D53" s="79" t="s">
        <v>224</v>
      </c>
      <c r="E53" s="79" t="s">
        <v>281</v>
      </c>
      <c r="F53" s="24" t="s">
        <v>180</v>
      </c>
      <c r="G53" s="79" t="s">
        <v>220</v>
      </c>
      <c r="H53" s="80">
        <f>600*775*3/1000</f>
        <v>1395</v>
      </c>
      <c r="I53" s="81"/>
      <c r="J53" s="81">
        <v>1</v>
      </c>
      <c r="K53" s="81">
        <v>1</v>
      </c>
      <c r="L53" s="81">
        <v>1</v>
      </c>
      <c r="M53" s="81">
        <v>1</v>
      </c>
      <c r="N53" s="81">
        <v>1</v>
      </c>
      <c r="O53" s="81">
        <v>1</v>
      </c>
      <c r="P53" s="81">
        <v>1</v>
      </c>
      <c r="Q53" s="74">
        <f t="shared" si="0"/>
        <v>7</v>
      </c>
      <c r="R53" s="74">
        <f t="shared" si="6"/>
        <v>0</v>
      </c>
      <c r="S53" s="74">
        <f t="shared" si="6"/>
        <v>1395</v>
      </c>
      <c r="T53" s="74">
        <f t="shared" si="6"/>
        <v>1395</v>
      </c>
      <c r="U53" s="74">
        <f t="shared" si="6"/>
        <v>1395</v>
      </c>
      <c r="V53" s="74">
        <f t="shared" si="6"/>
        <v>1395</v>
      </c>
      <c r="W53" s="74">
        <f t="shared" si="6"/>
        <v>1395</v>
      </c>
      <c r="X53" s="74">
        <f t="shared" si="6"/>
        <v>1395</v>
      </c>
      <c r="Y53" s="74">
        <f t="shared" si="6"/>
        <v>1395</v>
      </c>
      <c r="Z53" s="74">
        <f t="shared" si="2"/>
        <v>9765</v>
      </c>
    </row>
    <row r="54" spans="1:26" x14ac:dyDescent="0.3">
      <c r="A54" s="79" t="s">
        <v>252</v>
      </c>
      <c r="B54" s="79" t="s">
        <v>278</v>
      </c>
      <c r="C54" s="79" t="s">
        <v>223</v>
      </c>
      <c r="D54" s="79" t="s">
        <v>224</v>
      </c>
      <c r="E54" s="79" t="s">
        <v>282</v>
      </c>
      <c r="F54" s="24" t="s">
        <v>180</v>
      </c>
      <c r="G54" s="79" t="s">
        <v>220</v>
      </c>
      <c r="H54" s="80">
        <f>(300*775*2*6)/1000</f>
        <v>2790</v>
      </c>
      <c r="I54" s="81"/>
      <c r="J54" s="81">
        <v>1</v>
      </c>
      <c r="K54" s="81">
        <v>1</v>
      </c>
      <c r="L54" s="81">
        <v>1</v>
      </c>
      <c r="M54" s="81">
        <v>1</v>
      </c>
      <c r="N54" s="81">
        <v>1</v>
      </c>
      <c r="O54" s="81">
        <v>1</v>
      </c>
      <c r="P54" s="81">
        <v>1</v>
      </c>
      <c r="Q54" s="74">
        <f t="shared" si="0"/>
        <v>7</v>
      </c>
      <c r="R54" s="74">
        <f t="shared" si="6"/>
        <v>0</v>
      </c>
      <c r="S54" s="74">
        <f t="shared" si="6"/>
        <v>2790</v>
      </c>
      <c r="T54" s="74">
        <f t="shared" si="6"/>
        <v>2790</v>
      </c>
      <c r="U54" s="74">
        <f t="shared" si="6"/>
        <v>2790</v>
      </c>
      <c r="V54" s="74">
        <f t="shared" si="6"/>
        <v>2790</v>
      </c>
      <c r="W54" s="74">
        <f t="shared" si="6"/>
        <v>2790</v>
      </c>
      <c r="X54" s="74">
        <f t="shared" si="6"/>
        <v>2790</v>
      </c>
      <c r="Y54" s="74">
        <f t="shared" si="6"/>
        <v>2790</v>
      </c>
      <c r="Z54" s="74">
        <f t="shared" si="2"/>
        <v>19530</v>
      </c>
    </row>
    <row r="55" spans="1:26" x14ac:dyDescent="0.3">
      <c r="A55" s="79" t="s">
        <v>252</v>
      </c>
      <c r="B55" s="79" t="s">
        <v>278</v>
      </c>
      <c r="C55" s="79" t="s">
        <v>241</v>
      </c>
      <c r="D55" s="79" t="s">
        <v>242</v>
      </c>
      <c r="E55" s="79" t="s">
        <v>283</v>
      </c>
      <c r="F55" s="24" t="s">
        <v>180</v>
      </c>
      <c r="G55" s="79" t="s">
        <v>244</v>
      </c>
      <c r="H55" s="80">
        <v>4000</v>
      </c>
      <c r="I55" s="81"/>
      <c r="J55" s="81">
        <v>1</v>
      </c>
      <c r="K55" s="81">
        <v>1</v>
      </c>
      <c r="L55" s="81">
        <v>1</v>
      </c>
      <c r="M55" s="81">
        <v>1</v>
      </c>
      <c r="N55" s="81">
        <v>1</v>
      </c>
      <c r="O55" s="81">
        <v>1</v>
      </c>
      <c r="P55" s="81">
        <v>1</v>
      </c>
      <c r="Q55" s="74">
        <f t="shared" si="0"/>
        <v>7</v>
      </c>
      <c r="R55" s="74">
        <f t="shared" si="6"/>
        <v>0</v>
      </c>
      <c r="S55" s="74">
        <f t="shared" si="6"/>
        <v>4000</v>
      </c>
      <c r="T55" s="74">
        <f t="shared" si="6"/>
        <v>4000</v>
      </c>
      <c r="U55" s="74">
        <f t="shared" si="6"/>
        <v>4000</v>
      </c>
      <c r="V55" s="74">
        <f t="shared" si="6"/>
        <v>4000</v>
      </c>
      <c r="W55" s="74">
        <f t="shared" si="6"/>
        <v>4000</v>
      </c>
      <c r="X55" s="74">
        <f t="shared" si="6"/>
        <v>4000</v>
      </c>
      <c r="Y55" s="74">
        <f t="shared" si="6"/>
        <v>4000</v>
      </c>
      <c r="Z55" s="74">
        <f t="shared" si="2"/>
        <v>28000</v>
      </c>
    </row>
    <row r="56" spans="1:26" x14ac:dyDescent="0.3">
      <c r="A56" s="79" t="s">
        <v>252</v>
      </c>
      <c r="B56" s="79" t="s">
        <v>278</v>
      </c>
      <c r="C56" s="79" t="s">
        <v>241</v>
      </c>
      <c r="D56" s="79" t="s">
        <v>242</v>
      </c>
      <c r="E56" s="79" t="s">
        <v>284</v>
      </c>
      <c r="F56" s="24" t="s">
        <v>180</v>
      </c>
      <c r="G56" s="79" t="s">
        <v>244</v>
      </c>
      <c r="H56" s="80">
        <v>6000</v>
      </c>
      <c r="I56" s="81"/>
      <c r="J56" s="81">
        <v>1</v>
      </c>
      <c r="K56" s="81">
        <v>1</v>
      </c>
      <c r="L56" s="81">
        <v>1</v>
      </c>
      <c r="M56" s="81">
        <v>1</v>
      </c>
      <c r="N56" s="81">
        <v>1</v>
      </c>
      <c r="O56" s="81">
        <v>1</v>
      </c>
      <c r="P56" s="81">
        <v>1</v>
      </c>
      <c r="Q56" s="74">
        <f t="shared" si="0"/>
        <v>7</v>
      </c>
      <c r="R56" s="74">
        <f t="shared" si="6"/>
        <v>0</v>
      </c>
      <c r="S56" s="74">
        <f t="shared" si="6"/>
        <v>6000</v>
      </c>
      <c r="T56" s="74">
        <f t="shared" si="6"/>
        <v>6000</v>
      </c>
      <c r="U56" s="74">
        <f t="shared" si="6"/>
        <v>6000</v>
      </c>
      <c r="V56" s="74">
        <f t="shared" si="6"/>
        <v>6000</v>
      </c>
      <c r="W56" s="74">
        <f t="shared" si="6"/>
        <v>6000</v>
      </c>
      <c r="X56" s="74">
        <f t="shared" si="6"/>
        <v>6000</v>
      </c>
      <c r="Y56" s="74">
        <f t="shared" si="6"/>
        <v>6000</v>
      </c>
      <c r="Z56" s="74">
        <f t="shared" si="2"/>
        <v>42000</v>
      </c>
    </row>
    <row r="57" spans="1:26" x14ac:dyDescent="0.3">
      <c r="A57" s="79" t="s">
        <v>252</v>
      </c>
      <c r="B57" s="79" t="s">
        <v>278</v>
      </c>
      <c r="C57" s="79" t="s">
        <v>241</v>
      </c>
      <c r="D57" s="79" t="s">
        <v>242</v>
      </c>
      <c r="E57" s="79" t="s">
        <v>285</v>
      </c>
      <c r="F57" s="24" t="s">
        <v>180</v>
      </c>
      <c r="G57" s="79" t="s">
        <v>244</v>
      </c>
      <c r="H57" s="80">
        <v>10000</v>
      </c>
      <c r="I57" s="81"/>
      <c r="J57" s="81">
        <v>1</v>
      </c>
      <c r="K57" s="81">
        <v>1</v>
      </c>
      <c r="L57" s="81">
        <v>1</v>
      </c>
      <c r="M57" s="81">
        <v>1</v>
      </c>
      <c r="N57" s="81">
        <v>1</v>
      </c>
      <c r="O57" s="81">
        <v>1</v>
      </c>
      <c r="P57" s="81">
        <v>1</v>
      </c>
      <c r="Q57" s="74">
        <f t="shared" si="0"/>
        <v>7</v>
      </c>
      <c r="R57" s="74">
        <f t="shared" si="6"/>
        <v>0</v>
      </c>
      <c r="S57" s="74">
        <f t="shared" si="6"/>
        <v>10000</v>
      </c>
      <c r="T57" s="74">
        <f t="shared" si="6"/>
        <v>10000</v>
      </c>
      <c r="U57" s="74">
        <f t="shared" si="6"/>
        <v>10000</v>
      </c>
      <c r="V57" s="74">
        <f t="shared" si="6"/>
        <v>10000</v>
      </c>
      <c r="W57" s="74">
        <f t="shared" si="6"/>
        <v>10000</v>
      </c>
      <c r="X57" s="74">
        <f t="shared" si="6"/>
        <v>10000</v>
      </c>
      <c r="Y57" s="74">
        <f t="shared" si="6"/>
        <v>10000</v>
      </c>
      <c r="Z57" s="74">
        <f t="shared" si="2"/>
        <v>70000</v>
      </c>
    </row>
    <row r="58" spans="1:26" x14ac:dyDescent="0.3">
      <c r="A58" s="79" t="s">
        <v>286</v>
      </c>
      <c r="B58" s="79" t="s">
        <v>287</v>
      </c>
      <c r="C58" s="79" t="s">
        <v>223</v>
      </c>
      <c r="D58" s="79" t="s">
        <v>288</v>
      </c>
      <c r="E58" s="79" t="s">
        <v>289</v>
      </c>
      <c r="F58" s="24" t="s">
        <v>180</v>
      </c>
      <c r="G58" s="24" t="s">
        <v>220</v>
      </c>
      <c r="H58" s="80">
        <v>10000</v>
      </c>
      <c r="I58" s="81"/>
      <c r="J58" s="81">
        <v>1</v>
      </c>
      <c r="K58" s="81">
        <v>1</v>
      </c>
      <c r="L58" s="81">
        <v>1</v>
      </c>
      <c r="M58" s="81">
        <v>1</v>
      </c>
      <c r="N58" s="81">
        <v>1</v>
      </c>
      <c r="O58" s="81">
        <v>1</v>
      </c>
      <c r="P58" s="81">
        <v>1</v>
      </c>
      <c r="Q58" s="74">
        <f t="shared" si="0"/>
        <v>7</v>
      </c>
      <c r="R58" s="74">
        <f t="shared" si="6"/>
        <v>0</v>
      </c>
      <c r="S58" s="74">
        <f t="shared" si="6"/>
        <v>10000</v>
      </c>
      <c r="T58" s="74">
        <f t="shared" si="6"/>
        <v>10000</v>
      </c>
      <c r="U58" s="74">
        <f t="shared" si="6"/>
        <v>10000</v>
      </c>
      <c r="V58" s="74">
        <f t="shared" si="6"/>
        <v>10000</v>
      </c>
      <c r="W58" s="74">
        <f t="shared" si="6"/>
        <v>10000</v>
      </c>
      <c r="X58" s="74">
        <f t="shared" si="6"/>
        <v>10000</v>
      </c>
      <c r="Y58" s="74">
        <f t="shared" si="6"/>
        <v>10000</v>
      </c>
      <c r="Z58" s="74">
        <f t="shared" si="2"/>
        <v>70000</v>
      </c>
    </row>
    <row r="59" spans="1:26" x14ac:dyDescent="0.3">
      <c r="A59" s="79" t="s">
        <v>286</v>
      </c>
      <c r="B59" s="79" t="s">
        <v>287</v>
      </c>
      <c r="C59" s="79" t="s">
        <v>223</v>
      </c>
      <c r="D59" s="79" t="s">
        <v>224</v>
      </c>
      <c r="E59" s="79" t="s">
        <v>250</v>
      </c>
      <c r="F59" s="24" t="s">
        <v>180</v>
      </c>
      <c r="G59" s="24" t="s">
        <v>290</v>
      </c>
      <c r="H59" s="80">
        <f>80000*0.15*775/1000</f>
        <v>9300</v>
      </c>
      <c r="I59" s="81"/>
      <c r="J59" s="81">
        <v>1</v>
      </c>
      <c r="K59" s="81">
        <v>1</v>
      </c>
      <c r="L59" s="81">
        <v>1</v>
      </c>
      <c r="M59" s="81">
        <v>1</v>
      </c>
      <c r="N59" s="81">
        <v>1</v>
      </c>
      <c r="O59" s="81">
        <v>1</v>
      </c>
      <c r="P59" s="81">
        <v>1</v>
      </c>
      <c r="Q59" s="74">
        <f t="shared" si="0"/>
        <v>7</v>
      </c>
      <c r="R59" s="74">
        <f t="shared" si="6"/>
        <v>0</v>
      </c>
      <c r="S59" s="74">
        <f t="shared" si="6"/>
        <v>9300</v>
      </c>
      <c r="T59" s="74">
        <f t="shared" si="6"/>
        <v>9300</v>
      </c>
      <c r="U59" s="74">
        <f t="shared" si="6"/>
        <v>9300</v>
      </c>
      <c r="V59" s="74">
        <f t="shared" si="6"/>
        <v>9300</v>
      </c>
      <c r="W59" s="74">
        <f t="shared" si="6"/>
        <v>9300</v>
      </c>
      <c r="X59" s="74">
        <f t="shared" si="6"/>
        <v>9300</v>
      </c>
      <c r="Y59" s="74">
        <f t="shared" si="6"/>
        <v>9300</v>
      </c>
      <c r="Z59" s="74">
        <f t="shared" si="2"/>
        <v>65100</v>
      </c>
    </row>
    <row r="60" spans="1:26" x14ac:dyDescent="0.3">
      <c r="A60" s="79" t="s">
        <v>286</v>
      </c>
      <c r="B60" s="79" t="s">
        <v>287</v>
      </c>
      <c r="C60" s="79" t="s">
        <v>223</v>
      </c>
      <c r="D60" s="79" t="s">
        <v>224</v>
      </c>
      <c r="E60" s="79" t="s">
        <v>229</v>
      </c>
      <c r="F60" s="24" t="s">
        <v>180</v>
      </c>
      <c r="G60" s="24" t="s">
        <v>272</v>
      </c>
      <c r="H60" s="80">
        <f>120*20</f>
        <v>2400</v>
      </c>
      <c r="I60" s="81"/>
      <c r="J60" s="81">
        <v>1</v>
      </c>
      <c r="K60" s="81">
        <v>1</v>
      </c>
      <c r="L60" s="81">
        <v>1</v>
      </c>
      <c r="M60" s="81">
        <v>1</v>
      </c>
      <c r="N60" s="81">
        <v>1</v>
      </c>
      <c r="O60" s="81">
        <v>1</v>
      </c>
      <c r="P60" s="81">
        <v>1</v>
      </c>
      <c r="Q60" s="74">
        <f t="shared" si="0"/>
        <v>7</v>
      </c>
      <c r="R60" s="74">
        <f t="shared" si="6"/>
        <v>0</v>
      </c>
      <c r="S60" s="74">
        <f t="shared" si="6"/>
        <v>2400</v>
      </c>
      <c r="T60" s="74">
        <f t="shared" si="6"/>
        <v>2400</v>
      </c>
      <c r="U60" s="74">
        <f t="shared" si="6"/>
        <v>2400</v>
      </c>
      <c r="V60" s="74">
        <f t="shared" si="6"/>
        <v>2400</v>
      </c>
      <c r="W60" s="74">
        <f t="shared" si="6"/>
        <v>2400</v>
      </c>
      <c r="X60" s="74">
        <f t="shared" si="6"/>
        <v>2400</v>
      </c>
      <c r="Y60" s="74">
        <f t="shared" si="6"/>
        <v>2400</v>
      </c>
      <c r="Z60" s="74">
        <f t="shared" si="2"/>
        <v>16800</v>
      </c>
    </row>
    <row r="61" spans="1:26" x14ac:dyDescent="0.3">
      <c r="A61" s="79" t="s">
        <v>286</v>
      </c>
      <c r="B61" s="79" t="s">
        <v>287</v>
      </c>
      <c r="C61" s="79" t="s">
        <v>223</v>
      </c>
      <c r="D61" s="79" t="s">
        <v>231</v>
      </c>
      <c r="E61" s="79" t="s">
        <v>232</v>
      </c>
      <c r="F61" s="24" t="s">
        <v>180</v>
      </c>
      <c r="G61" s="24" t="s">
        <v>272</v>
      </c>
      <c r="H61" s="80">
        <v>500</v>
      </c>
      <c r="I61" s="81"/>
      <c r="J61" s="81">
        <v>1</v>
      </c>
      <c r="K61" s="81">
        <v>1</v>
      </c>
      <c r="L61" s="81">
        <v>1</v>
      </c>
      <c r="M61" s="81">
        <v>1</v>
      </c>
      <c r="N61" s="81">
        <v>1</v>
      </c>
      <c r="O61" s="81">
        <v>1</v>
      </c>
      <c r="P61" s="81">
        <v>1</v>
      </c>
      <c r="Q61" s="74">
        <f t="shared" si="0"/>
        <v>7</v>
      </c>
      <c r="R61" s="74">
        <f t="shared" si="6"/>
        <v>0</v>
      </c>
      <c r="S61" s="74">
        <f t="shared" si="6"/>
        <v>500</v>
      </c>
      <c r="T61" s="74">
        <f t="shared" si="6"/>
        <v>500</v>
      </c>
      <c r="U61" s="74">
        <f t="shared" si="6"/>
        <v>500</v>
      </c>
      <c r="V61" s="74">
        <f t="shared" si="6"/>
        <v>500</v>
      </c>
      <c r="W61" s="74">
        <f t="shared" si="6"/>
        <v>500</v>
      </c>
      <c r="X61" s="74">
        <f t="shared" si="6"/>
        <v>500</v>
      </c>
      <c r="Y61" s="74">
        <f t="shared" si="6"/>
        <v>500</v>
      </c>
      <c r="Z61" s="74">
        <f t="shared" si="2"/>
        <v>3500</v>
      </c>
    </row>
    <row r="62" spans="1:26" x14ac:dyDescent="0.3">
      <c r="A62" s="79" t="s">
        <v>286</v>
      </c>
      <c r="B62" s="79" t="s">
        <v>287</v>
      </c>
      <c r="C62" s="79" t="s">
        <v>223</v>
      </c>
      <c r="D62" s="79" t="s">
        <v>231</v>
      </c>
      <c r="E62" s="79" t="s">
        <v>233</v>
      </c>
      <c r="F62" s="24" t="s">
        <v>180</v>
      </c>
      <c r="G62" s="24" t="s">
        <v>272</v>
      </c>
      <c r="H62" s="80">
        <v>1500</v>
      </c>
      <c r="I62" s="81"/>
      <c r="J62" s="81">
        <v>1</v>
      </c>
      <c r="K62" s="81">
        <v>1</v>
      </c>
      <c r="L62" s="81">
        <v>1</v>
      </c>
      <c r="M62" s="81">
        <v>1</v>
      </c>
      <c r="N62" s="81">
        <v>1</v>
      </c>
      <c r="O62" s="81">
        <v>1</v>
      </c>
      <c r="P62" s="81">
        <v>1</v>
      </c>
      <c r="Q62" s="74">
        <f t="shared" si="0"/>
        <v>7</v>
      </c>
      <c r="R62" s="74">
        <f t="shared" si="6"/>
        <v>0</v>
      </c>
      <c r="S62" s="74">
        <f t="shared" si="6"/>
        <v>1500</v>
      </c>
      <c r="T62" s="74">
        <f t="shared" si="6"/>
        <v>1500</v>
      </c>
      <c r="U62" s="74">
        <f t="shared" si="6"/>
        <v>1500</v>
      </c>
      <c r="V62" s="74">
        <f t="shared" si="6"/>
        <v>1500</v>
      </c>
      <c r="W62" s="74">
        <f t="shared" si="6"/>
        <v>1500</v>
      </c>
      <c r="X62" s="74">
        <f t="shared" si="6"/>
        <v>1500</v>
      </c>
      <c r="Y62" s="74">
        <f t="shared" si="6"/>
        <v>1500</v>
      </c>
      <c r="Z62" s="74">
        <f t="shared" si="2"/>
        <v>10500</v>
      </c>
    </row>
    <row r="63" spans="1:26" x14ac:dyDescent="0.3">
      <c r="A63" s="79" t="s">
        <v>286</v>
      </c>
      <c r="B63" s="79" t="s">
        <v>287</v>
      </c>
      <c r="C63" s="79" t="s">
        <v>223</v>
      </c>
      <c r="D63" s="79" t="s">
        <v>231</v>
      </c>
      <c r="E63" s="79" t="s">
        <v>291</v>
      </c>
      <c r="F63" s="24" t="s">
        <v>180</v>
      </c>
      <c r="G63" s="24" t="s">
        <v>272</v>
      </c>
      <c r="H63" s="80">
        <v>1000</v>
      </c>
      <c r="I63" s="81"/>
      <c r="J63" s="81">
        <v>1</v>
      </c>
      <c r="K63" s="81">
        <v>1</v>
      </c>
      <c r="L63" s="81">
        <v>1</v>
      </c>
      <c r="M63" s="81">
        <v>1</v>
      </c>
      <c r="N63" s="81">
        <v>1</v>
      </c>
      <c r="O63" s="81">
        <v>1</v>
      </c>
      <c r="P63" s="81">
        <v>1</v>
      </c>
      <c r="Q63" s="74">
        <f t="shared" si="0"/>
        <v>7</v>
      </c>
      <c r="R63" s="74">
        <f t="shared" si="6"/>
        <v>0</v>
      </c>
      <c r="S63" s="74">
        <f t="shared" si="6"/>
        <v>1000</v>
      </c>
      <c r="T63" s="74">
        <f t="shared" si="6"/>
        <v>1000</v>
      </c>
      <c r="U63" s="74">
        <f t="shared" si="6"/>
        <v>1000</v>
      </c>
      <c r="V63" s="74">
        <f t="shared" si="6"/>
        <v>1000</v>
      </c>
      <c r="W63" s="74">
        <f t="shared" si="6"/>
        <v>1000</v>
      </c>
      <c r="X63" s="74">
        <f t="shared" si="6"/>
        <v>1000</v>
      </c>
      <c r="Y63" s="74">
        <f t="shared" si="6"/>
        <v>1000</v>
      </c>
      <c r="Z63" s="74">
        <f t="shared" si="2"/>
        <v>7000</v>
      </c>
    </row>
    <row r="64" spans="1:26" x14ac:dyDescent="0.3">
      <c r="A64" s="79" t="s">
        <v>286</v>
      </c>
      <c r="B64" s="79" t="s">
        <v>287</v>
      </c>
      <c r="C64" s="79" t="s">
        <v>223</v>
      </c>
      <c r="D64" s="79" t="s">
        <v>292</v>
      </c>
      <c r="E64" s="79" t="s">
        <v>293</v>
      </c>
      <c r="F64" s="24" t="s">
        <v>180</v>
      </c>
      <c r="G64" s="24" t="s">
        <v>272</v>
      </c>
      <c r="H64" s="80">
        <v>2000</v>
      </c>
      <c r="I64" s="81"/>
      <c r="J64" s="81">
        <v>1</v>
      </c>
      <c r="K64" s="81">
        <v>1</v>
      </c>
      <c r="L64" s="81">
        <v>1</v>
      </c>
      <c r="M64" s="81">
        <v>1</v>
      </c>
      <c r="N64" s="81">
        <v>1</v>
      </c>
      <c r="O64" s="81">
        <v>1</v>
      </c>
      <c r="P64" s="81">
        <v>1</v>
      </c>
      <c r="Q64" s="74">
        <f t="shared" si="0"/>
        <v>7</v>
      </c>
      <c r="R64" s="74">
        <f t="shared" si="6"/>
        <v>0</v>
      </c>
      <c r="S64" s="74">
        <f t="shared" si="6"/>
        <v>2000</v>
      </c>
      <c r="T64" s="74">
        <f t="shared" si="6"/>
        <v>2000</v>
      </c>
      <c r="U64" s="74">
        <f t="shared" si="6"/>
        <v>2000</v>
      </c>
      <c r="V64" s="74">
        <f t="shared" si="6"/>
        <v>2000</v>
      </c>
      <c r="W64" s="74">
        <f t="shared" si="6"/>
        <v>2000</v>
      </c>
      <c r="X64" s="74">
        <f t="shared" si="6"/>
        <v>2000</v>
      </c>
      <c r="Y64" s="74">
        <f t="shared" si="6"/>
        <v>2000</v>
      </c>
      <c r="Z64" s="74">
        <f t="shared" si="2"/>
        <v>14000</v>
      </c>
    </row>
    <row r="65" spans="1:27" x14ac:dyDescent="0.3">
      <c r="A65" s="79" t="s">
        <v>286</v>
      </c>
      <c r="B65" s="79" t="s">
        <v>294</v>
      </c>
      <c r="C65" s="79" t="s">
        <v>177</v>
      </c>
      <c r="D65" s="79" t="s">
        <v>178</v>
      </c>
      <c r="E65" s="79" t="s">
        <v>179</v>
      </c>
      <c r="F65" s="24" t="s">
        <v>180</v>
      </c>
      <c r="G65" s="24" t="s">
        <v>181</v>
      </c>
      <c r="H65" s="80">
        <v>30000</v>
      </c>
      <c r="I65" s="81"/>
      <c r="J65" s="81">
        <v>1</v>
      </c>
      <c r="K65" s="81">
        <v>1</v>
      </c>
      <c r="L65" s="81"/>
      <c r="M65" s="81"/>
      <c r="N65" s="81"/>
      <c r="O65" s="81"/>
      <c r="P65" s="81"/>
      <c r="Q65" s="74">
        <f t="shared" si="0"/>
        <v>2</v>
      </c>
      <c r="R65" s="74">
        <f t="shared" si="6"/>
        <v>0</v>
      </c>
      <c r="S65" s="74">
        <f t="shared" si="6"/>
        <v>30000</v>
      </c>
      <c r="T65" s="74">
        <f t="shared" si="6"/>
        <v>30000</v>
      </c>
      <c r="U65" s="74">
        <f t="shared" si="6"/>
        <v>0</v>
      </c>
      <c r="V65" s="74">
        <f t="shared" si="6"/>
        <v>0</v>
      </c>
      <c r="W65" s="74">
        <f t="shared" si="6"/>
        <v>0</v>
      </c>
      <c r="X65" s="74">
        <f t="shared" si="6"/>
        <v>0</v>
      </c>
      <c r="Y65" s="74">
        <f t="shared" si="6"/>
        <v>0</v>
      </c>
      <c r="Z65" s="74">
        <f t="shared" si="2"/>
        <v>60000</v>
      </c>
    </row>
    <row r="66" spans="1:27" x14ac:dyDescent="0.3">
      <c r="A66" s="79" t="s">
        <v>286</v>
      </c>
      <c r="B66" s="79" t="s">
        <v>294</v>
      </c>
      <c r="C66" s="79" t="s">
        <v>177</v>
      </c>
      <c r="D66" s="79" t="s">
        <v>187</v>
      </c>
      <c r="E66" s="79" t="s">
        <v>188</v>
      </c>
      <c r="F66" s="24" t="s">
        <v>180</v>
      </c>
      <c r="G66" s="24" t="s">
        <v>295</v>
      </c>
      <c r="H66" s="80">
        <v>1500</v>
      </c>
      <c r="I66" s="81"/>
      <c r="J66" s="81">
        <v>5</v>
      </c>
      <c r="K66" s="81">
        <v>5</v>
      </c>
      <c r="L66" s="81"/>
      <c r="M66" s="81"/>
      <c r="N66" s="81"/>
      <c r="O66" s="81"/>
      <c r="P66" s="81"/>
      <c r="Q66" s="74">
        <f t="shared" si="0"/>
        <v>10</v>
      </c>
      <c r="R66" s="74">
        <f t="shared" si="6"/>
        <v>0</v>
      </c>
      <c r="S66" s="74">
        <f t="shared" si="6"/>
        <v>7500</v>
      </c>
      <c r="T66" s="74">
        <f t="shared" si="6"/>
        <v>7500</v>
      </c>
      <c r="U66" s="74">
        <f t="shared" si="6"/>
        <v>0</v>
      </c>
      <c r="V66" s="74">
        <f t="shared" si="6"/>
        <v>0</v>
      </c>
      <c r="W66" s="74">
        <f t="shared" si="6"/>
        <v>0</v>
      </c>
      <c r="X66" s="74">
        <f t="shared" si="6"/>
        <v>0</v>
      </c>
      <c r="Y66" s="74">
        <f t="shared" si="6"/>
        <v>0</v>
      </c>
      <c r="Z66" s="74">
        <f t="shared" si="2"/>
        <v>15000</v>
      </c>
    </row>
    <row r="67" spans="1:27" x14ac:dyDescent="0.3">
      <c r="A67" s="79" t="s">
        <v>286</v>
      </c>
      <c r="B67" s="79" t="s">
        <v>294</v>
      </c>
      <c r="C67" s="79" t="s">
        <v>177</v>
      </c>
      <c r="D67" s="79" t="s">
        <v>187</v>
      </c>
      <c r="E67" s="79" t="s">
        <v>194</v>
      </c>
      <c r="F67" s="24" t="s">
        <v>180</v>
      </c>
      <c r="G67" s="24" t="s">
        <v>296</v>
      </c>
      <c r="H67" s="80">
        <v>300</v>
      </c>
      <c r="I67" s="81"/>
      <c r="J67" s="81">
        <v>5</v>
      </c>
      <c r="K67" s="81">
        <v>5</v>
      </c>
      <c r="L67" s="81"/>
      <c r="M67" s="81"/>
      <c r="N67" s="81"/>
      <c r="O67" s="81"/>
      <c r="P67" s="81"/>
      <c r="Q67" s="74">
        <f t="shared" si="0"/>
        <v>10</v>
      </c>
      <c r="R67" s="74">
        <f t="shared" ref="R67:Y82" si="7">$H67*I67</f>
        <v>0</v>
      </c>
      <c r="S67" s="74">
        <f t="shared" si="7"/>
        <v>1500</v>
      </c>
      <c r="T67" s="74">
        <f t="shared" si="7"/>
        <v>1500</v>
      </c>
      <c r="U67" s="74">
        <f t="shared" si="7"/>
        <v>0</v>
      </c>
      <c r="V67" s="74">
        <f t="shared" si="7"/>
        <v>0</v>
      </c>
      <c r="W67" s="74">
        <f t="shared" si="7"/>
        <v>0</v>
      </c>
      <c r="X67" s="74">
        <f t="shared" si="7"/>
        <v>0</v>
      </c>
      <c r="Y67" s="74">
        <f t="shared" si="7"/>
        <v>0</v>
      </c>
      <c r="Z67" s="74">
        <f t="shared" si="2"/>
        <v>3000</v>
      </c>
    </row>
    <row r="68" spans="1:27" x14ac:dyDescent="0.3">
      <c r="A68" s="79" t="s">
        <v>286</v>
      </c>
      <c r="B68" s="79" t="s">
        <v>294</v>
      </c>
      <c r="C68" s="79" t="s">
        <v>177</v>
      </c>
      <c r="D68" s="79" t="s">
        <v>204</v>
      </c>
      <c r="E68" s="79" t="s">
        <v>205</v>
      </c>
      <c r="F68" s="24" t="s">
        <v>180</v>
      </c>
      <c r="G68" s="24" t="s">
        <v>297</v>
      </c>
      <c r="H68" s="80">
        <v>10000</v>
      </c>
      <c r="I68" s="81"/>
      <c r="J68" s="81">
        <v>1</v>
      </c>
      <c r="K68" s="81">
        <v>1</v>
      </c>
      <c r="L68" s="81"/>
      <c r="M68" s="81"/>
      <c r="N68" s="81"/>
      <c r="O68" s="81"/>
      <c r="P68" s="81"/>
      <c r="Q68" s="74">
        <f t="shared" si="0"/>
        <v>2</v>
      </c>
      <c r="R68" s="74">
        <f t="shared" si="7"/>
        <v>0</v>
      </c>
      <c r="S68" s="74">
        <f t="shared" si="7"/>
        <v>10000</v>
      </c>
      <c r="T68" s="74">
        <f t="shared" si="7"/>
        <v>10000</v>
      </c>
      <c r="U68" s="74">
        <f t="shared" si="7"/>
        <v>0</v>
      </c>
      <c r="V68" s="74">
        <f t="shared" si="7"/>
        <v>0</v>
      </c>
      <c r="W68" s="74">
        <f t="shared" si="7"/>
        <v>0</v>
      </c>
      <c r="X68" s="74">
        <f t="shared" si="7"/>
        <v>0</v>
      </c>
      <c r="Y68" s="74">
        <f t="shared" si="7"/>
        <v>0</v>
      </c>
      <c r="Z68" s="74">
        <f t="shared" si="2"/>
        <v>20000</v>
      </c>
    </row>
    <row r="69" spans="1:27" x14ac:dyDescent="0.3">
      <c r="A69" s="79" t="s">
        <v>286</v>
      </c>
      <c r="B69" s="79" t="s">
        <v>294</v>
      </c>
      <c r="C69" s="79" t="s">
        <v>177</v>
      </c>
      <c r="D69" s="79" t="s">
        <v>204</v>
      </c>
      <c r="E69" s="79" t="s">
        <v>298</v>
      </c>
      <c r="F69" s="24" t="s">
        <v>180</v>
      </c>
      <c r="G69" s="24" t="s">
        <v>298</v>
      </c>
      <c r="H69" s="80">
        <v>500</v>
      </c>
      <c r="I69" s="81"/>
      <c r="J69" s="81">
        <v>5</v>
      </c>
      <c r="K69" s="81">
        <v>5</v>
      </c>
      <c r="L69" s="81"/>
      <c r="M69" s="81"/>
      <c r="N69" s="81"/>
      <c r="O69" s="81"/>
      <c r="P69" s="81"/>
      <c r="Q69" s="74">
        <f t="shared" si="0"/>
        <v>10</v>
      </c>
      <c r="R69" s="74">
        <f t="shared" si="7"/>
        <v>0</v>
      </c>
      <c r="S69" s="74">
        <f t="shared" si="7"/>
        <v>2500</v>
      </c>
      <c r="T69" s="74">
        <f t="shared" si="7"/>
        <v>2500</v>
      </c>
      <c r="U69" s="74">
        <f t="shared" si="7"/>
        <v>0</v>
      </c>
      <c r="V69" s="74">
        <f t="shared" si="7"/>
        <v>0</v>
      </c>
      <c r="W69" s="74">
        <f t="shared" si="7"/>
        <v>0</v>
      </c>
      <c r="X69" s="74">
        <f t="shared" si="7"/>
        <v>0</v>
      </c>
      <c r="Y69" s="74">
        <f t="shared" si="7"/>
        <v>0</v>
      </c>
      <c r="Z69" s="74">
        <f t="shared" si="2"/>
        <v>5000</v>
      </c>
    </row>
    <row r="70" spans="1:27" x14ac:dyDescent="0.3">
      <c r="A70" s="79" t="s">
        <v>286</v>
      </c>
      <c r="B70" s="79" t="s">
        <v>294</v>
      </c>
      <c r="C70" s="79" t="s">
        <v>177</v>
      </c>
      <c r="D70" s="79" t="s">
        <v>299</v>
      </c>
      <c r="E70" s="79" t="s">
        <v>300</v>
      </c>
      <c r="F70" s="24" t="s">
        <v>180</v>
      </c>
      <c r="G70" s="24" t="s">
        <v>301</v>
      </c>
      <c r="H70" s="80">
        <v>10000</v>
      </c>
      <c r="I70" s="81"/>
      <c r="J70" s="81">
        <v>1</v>
      </c>
      <c r="K70" s="81">
        <v>1</v>
      </c>
      <c r="L70" s="81"/>
      <c r="M70" s="81"/>
      <c r="N70" s="81"/>
      <c r="O70" s="81"/>
      <c r="P70" s="81"/>
      <c r="Q70" s="74">
        <f t="shared" si="0"/>
        <v>2</v>
      </c>
      <c r="R70" s="74">
        <f t="shared" si="7"/>
        <v>0</v>
      </c>
      <c r="S70" s="74">
        <f t="shared" si="7"/>
        <v>10000</v>
      </c>
      <c r="T70" s="74">
        <f t="shared" si="7"/>
        <v>10000</v>
      </c>
      <c r="U70" s="74">
        <f t="shared" si="7"/>
        <v>0</v>
      </c>
      <c r="V70" s="74">
        <f t="shared" si="7"/>
        <v>0</v>
      </c>
      <c r="W70" s="74">
        <f t="shared" si="7"/>
        <v>0</v>
      </c>
      <c r="X70" s="74">
        <f t="shared" si="7"/>
        <v>0</v>
      </c>
      <c r="Y70" s="74">
        <f t="shared" si="7"/>
        <v>0</v>
      </c>
      <c r="Z70" s="74">
        <f t="shared" si="2"/>
        <v>20000</v>
      </c>
      <c r="AA70" s="25" t="s">
        <v>302</v>
      </c>
    </row>
    <row r="71" spans="1:27" x14ac:dyDescent="0.3">
      <c r="A71" s="79" t="s">
        <v>286</v>
      </c>
      <c r="B71" s="79" t="s">
        <v>294</v>
      </c>
      <c r="C71" s="79" t="s">
        <v>213</v>
      </c>
      <c r="D71" s="79" t="s">
        <v>303</v>
      </c>
      <c r="E71" s="79" t="s">
        <v>304</v>
      </c>
      <c r="F71" s="24" t="s">
        <v>180</v>
      </c>
      <c r="G71" s="24" t="s">
        <v>220</v>
      </c>
      <c r="H71" s="80">
        <v>5000</v>
      </c>
      <c r="I71" s="81"/>
      <c r="J71" s="81">
        <v>1</v>
      </c>
      <c r="K71" s="81">
        <v>1</v>
      </c>
      <c r="L71" s="81">
        <v>1</v>
      </c>
      <c r="M71" s="81">
        <v>1</v>
      </c>
      <c r="N71" s="81">
        <v>1</v>
      </c>
      <c r="O71" s="81">
        <v>1</v>
      </c>
      <c r="P71" s="81">
        <v>1</v>
      </c>
      <c r="Q71" s="74">
        <f t="shared" si="0"/>
        <v>7</v>
      </c>
      <c r="R71" s="74">
        <f t="shared" si="7"/>
        <v>0</v>
      </c>
      <c r="S71" s="74">
        <f t="shared" si="7"/>
        <v>5000</v>
      </c>
      <c r="T71" s="74">
        <f t="shared" si="7"/>
        <v>5000</v>
      </c>
      <c r="U71" s="74">
        <f t="shared" si="7"/>
        <v>5000</v>
      </c>
      <c r="V71" s="74">
        <f t="shared" si="7"/>
        <v>5000</v>
      </c>
      <c r="W71" s="74">
        <f t="shared" si="7"/>
        <v>5000</v>
      </c>
      <c r="X71" s="74">
        <f t="shared" si="7"/>
        <v>5000</v>
      </c>
      <c r="Y71" s="74">
        <f t="shared" si="7"/>
        <v>5000</v>
      </c>
      <c r="Z71" s="74">
        <f t="shared" si="2"/>
        <v>35000</v>
      </c>
      <c r="AA71" s="25" t="s">
        <v>305</v>
      </c>
    </row>
    <row r="72" spans="1:27" x14ac:dyDescent="0.3">
      <c r="A72" s="79" t="s">
        <v>286</v>
      </c>
      <c r="B72" s="79" t="s">
        <v>294</v>
      </c>
      <c r="C72" s="79" t="s">
        <v>213</v>
      </c>
      <c r="D72" s="79" t="s">
        <v>303</v>
      </c>
      <c r="E72" s="79" t="s">
        <v>306</v>
      </c>
      <c r="F72" s="24" t="s">
        <v>180</v>
      </c>
      <c r="G72" s="24" t="s">
        <v>216</v>
      </c>
      <c r="H72" s="80">
        <v>5000</v>
      </c>
      <c r="I72" s="81"/>
      <c r="J72" s="81">
        <v>2</v>
      </c>
      <c r="K72" s="81">
        <v>2</v>
      </c>
      <c r="L72" s="81">
        <v>2</v>
      </c>
      <c r="M72" s="81"/>
      <c r="N72" s="81">
        <v>2</v>
      </c>
      <c r="O72" s="81"/>
      <c r="P72" s="81">
        <v>2</v>
      </c>
      <c r="Q72" s="74">
        <f t="shared" si="0"/>
        <v>10</v>
      </c>
      <c r="R72" s="74">
        <f t="shared" si="7"/>
        <v>0</v>
      </c>
      <c r="S72" s="74">
        <f t="shared" si="7"/>
        <v>10000</v>
      </c>
      <c r="T72" s="74">
        <f t="shared" si="7"/>
        <v>10000</v>
      </c>
      <c r="U72" s="74">
        <f t="shared" si="7"/>
        <v>10000</v>
      </c>
      <c r="V72" s="74">
        <f t="shared" si="7"/>
        <v>0</v>
      </c>
      <c r="W72" s="74">
        <f t="shared" si="7"/>
        <v>10000</v>
      </c>
      <c r="X72" s="74">
        <f t="shared" si="7"/>
        <v>0</v>
      </c>
      <c r="Y72" s="74">
        <f t="shared" si="7"/>
        <v>10000</v>
      </c>
      <c r="Z72" s="74">
        <f t="shared" si="2"/>
        <v>50000</v>
      </c>
    </row>
    <row r="73" spans="1:27" x14ac:dyDescent="0.3">
      <c r="A73" s="79" t="s">
        <v>286</v>
      </c>
      <c r="B73" s="79" t="s">
        <v>294</v>
      </c>
      <c r="C73" s="79" t="s">
        <v>237</v>
      </c>
      <c r="D73" s="79" t="s">
        <v>307</v>
      </c>
      <c r="E73" s="79" t="s">
        <v>308</v>
      </c>
      <c r="F73" s="24" t="s">
        <v>180</v>
      </c>
      <c r="G73" s="24" t="s">
        <v>309</v>
      </c>
      <c r="H73" s="80">
        <v>2500</v>
      </c>
      <c r="I73" s="81"/>
      <c r="J73" s="81">
        <v>5</v>
      </c>
      <c r="K73" s="81">
        <v>5</v>
      </c>
      <c r="L73" s="81"/>
      <c r="M73" s="81"/>
      <c r="N73" s="81"/>
      <c r="O73" s="81"/>
      <c r="P73" s="81"/>
      <c r="Q73" s="74">
        <f t="shared" si="0"/>
        <v>10</v>
      </c>
      <c r="R73" s="74">
        <f t="shared" si="7"/>
        <v>0</v>
      </c>
      <c r="S73" s="74">
        <f t="shared" si="7"/>
        <v>12500</v>
      </c>
      <c r="T73" s="74">
        <f t="shared" si="7"/>
        <v>12500</v>
      </c>
      <c r="U73" s="74">
        <f t="shared" si="7"/>
        <v>0</v>
      </c>
      <c r="V73" s="74">
        <f t="shared" si="7"/>
        <v>0</v>
      </c>
      <c r="W73" s="74">
        <f t="shared" si="7"/>
        <v>0</v>
      </c>
      <c r="X73" s="74">
        <f t="shared" si="7"/>
        <v>0</v>
      </c>
      <c r="Y73" s="74">
        <f t="shared" si="7"/>
        <v>0</v>
      </c>
      <c r="Z73" s="74">
        <f t="shared" si="2"/>
        <v>25000</v>
      </c>
    </row>
    <row r="74" spans="1:27" x14ac:dyDescent="0.3">
      <c r="A74" s="79" t="s">
        <v>286</v>
      </c>
      <c r="B74" s="79" t="s">
        <v>310</v>
      </c>
      <c r="C74" s="79" t="s">
        <v>223</v>
      </c>
      <c r="D74" s="79" t="s">
        <v>288</v>
      </c>
      <c r="E74" s="79" t="s">
        <v>311</v>
      </c>
      <c r="F74" s="24" t="s">
        <v>180</v>
      </c>
      <c r="G74" s="24" t="s">
        <v>312</v>
      </c>
      <c r="H74" s="80">
        <v>1000</v>
      </c>
      <c r="I74" s="81"/>
      <c r="J74" s="81">
        <v>5</v>
      </c>
      <c r="K74" s="81">
        <v>5</v>
      </c>
      <c r="L74" s="81">
        <v>5</v>
      </c>
      <c r="M74" s="81">
        <v>5</v>
      </c>
      <c r="N74" s="81">
        <v>5</v>
      </c>
      <c r="O74" s="81">
        <v>5</v>
      </c>
      <c r="P74" s="81">
        <v>5</v>
      </c>
      <c r="Q74" s="74">
        <f t="shared" si="0"/>
        <v>35</v>
      </c>
      <c r="R74" s="74">
        <f t="shared" si="7"/>
        <v>0</v>
      </c>
      <c r="S74" s="74">
        <f t="shared" si="7"/>
        <v>5000</v>
      </c>
      <c r="T74" s="74">
        <f t="shared" si="7"/>
        <v>5000</v>
      </c>
      <c r="U74" s="74">
        <f t="shared" si="7"/>
        <v>5000</v>
      </c>
      <c r="V74" s="74">
        <f t="shared" si="7"/>
        <v>5000</v>
      </c>
      <c r="W74" s="74">
        <f t="shared" si="7"/>
        <v>5000</v>
      </c>
      <c r="X74" s="74">
        <f t="shared" si="7"/>
        <v>5000</v>
      </c>
      <c r="Y74" s="74">
        <f t="shared" si="7"/>
        <v>5000</v>
      </c>
      <c r="Z74" s="74">
        <f t="shared" si="2"/>
        <v>35000</v>
      </c>
    </row>
    <row r="75" spans="1:27" x14ac:dyDescent="0.3">
      <c r="A75" s="79" t="s">
        <v>286</v>
      </c>
      <c r="B75" s="79" t="s">
        <v>310</v>
      </c>
      <c r="C75" s="79" t="s">
        <v>223</v>
      </c>
      <c r="D75" s="79" t="s">
        <v>288</v>
      </c>
      <c r="E75" s="79" t="s">
        <v>313</v>
      </c>
      <c r="F75" s="24" t="s">
        <v>180</v>
      </c>
      <c r="G75" s="24" t="s">
        <v>312</v>
      </c>
      <c r="H75" s="80">
        <v>1500</v>
      </c>
      <c r="I75" s="81"/>
      <c r="J75" s="81">
        <v>1</v>
      </c>
      <c r="K75" s="81">
        <v>1</v>
      </c>
      <c r="L75" s="81">
        <v>1</v>
      </c>
      <c r="M75" s="81">
        <v>1</v>
      </c>
      <c r="N75" s="81">
        <v>1</v>
      </c>
      <c r="O75" s="81">
        <v>1</v>
      </c>
      <c r="P75" s="81">
        <v>1</v>
      </c>
      <c r="Q75" s="74">
        <f t="shared" si="0"/>
        <v>7</v>
      </c>
      <c r="R75" s="74">
        <f t="shared" si="7"/>
        <v>0</v>
      </c>
      <c r="S75" s="74">
        <f t="shared" si="7"/>
        <v>1500</v>
      </c>
      <c r="T75" s="74">
        <f t="shared" si="7"/>
        <v>1500</v>
      </c>
      <c r="U75" s="74">
        <f t="shared" si="7"/>
        <v>1500</v>
      </c>
      <c r="V75" s="74">
        <f t="shared" si="7"/>
        <v>1500</v>
      </c>
      <c r="W75" s="74">
        <f t="shared" si="7"/>
        <v>1500</v>
      </c>
      <c r="X75" s="74">
        <f t="shared" si="7"/>
        <v>1500</v>
      </c>
      <c r="Y75" s="74">
        <f t="shared" si="7"/>
        <v>1500</v>
      </c>
      <c r="Z75" s="74">
        <f t="shared" si="2"/>
        <v>10500</v>
      </c>
    </row>
    <row r="76" spans="1:27" x14ac:dyDescent="0.3">
      <c r="A76" s="79" t="s">
        <v>286</v>
      </c>
      <c r="B76" s="79" t="s">
        <v>310</v>
      </c>
      <c r="C76" s="79" t="s">
        <v>223</v>
      </c>
      <c r="D76" s="79" t="s">
        <v>224</v>
      </c>
      <c r="E76" s="79" t="s">
        <v>250</v>
      </c>
      <c r="F76" s="24" t="s">
        <v>180</v>
      </c>
      <c r="G76" s="24" t="s">
        <v>314</v>
      </c>
      <c r="H76" s="80">
        <f>12000*0.15*775/1000</f>
        <v>1395</v>
      </c>
      <c r="I76" s="81"/>
      <c r="J76" s="81">
        <v>1</v>
      </c>
      <c r="K76" s="81">
        <v>1</v>
      </c>
      <c r="L76" s="81">
        <v>1</v>
      </c>
      <c r="M76" s="81">
        <v>1</v>
      </c>
      <c r="N76" s="81">
        <v>1</v>
      </c>
      <c r="O76" s="81">
        <v>1</v>
      </c>
      <c r="P76" s="81">
        <v>1</v>
      </c>
      <c r="Q76" s="74">
        <f t="shared" si="0"/>
        <v>7</v>
      </c>
      <c r="R76" s="74">
        <f t="shared" si="7"/>
        <v>0</v>
      </c>
      <c r="S76" s="74">
        <f t="shared" si="7"/>
        <v>1395</v>
      </c>
      <c r="T76" s="74">
        <f t="shared" si="7"/>
        <v>1395</v>
      </c>
      <c r="U76" s="74">
        <f t="shared" si="7"/>
        <v>1395</v>
      </c>
      <c r="V76" s="74">
        <f t="shared" si="7"/>
        <v>1395</v>
      </c>
      <c r="W76" s="74">
        <f t="shared" si="7"/>
        <v>1395</v>
      </c>
      <c r="X76" s="74">
        <f t="shared" si="7"/>
        <v>1395</v>
      </c>
      <c r="Y76" s="74">
        <f t="shared" si="7"/>
        <v>1395</v>
      </c>
      <c r="Z76" s="74">
        <f t="shared" si="2"/>
        <v>9765</v>
      </c>
    </row>
    <row r="77" spans="1:27" x14ac:dyDescent="0.3">
      <c r="A77" s="79" t="s">
        <v>286</v>
      </c>
      <c r="B77" s="79" t="s">
        <v>310</v>
      </c>
      <c r="C77" s="79" t="s">
        <v>223</v>
      </c>
      <c r="D77" s="79" t="s">
        <v>292</v>
      </c>
      <c r="E77" s="79" t="s">
        <v>315</v>
      </c>
      <c r="F77" s="24" t="s">
        <v>180</v>
      </c>
      <c r="G77" s="24" t="s">
        <v>220</v>
      </c>
      <c r="H77" s="80">
        <v>1000</v>
      </c>
      <c r="I77" s="81"/>
      <c r="J77" s="81">
        <v>1</v>
      </c>
      <c r="K77" s="81">
        <v>1</v>
      </c>
      <c r="L77" s="81">
        <v>1</v>
      </c>
      <c r="M77" s="81">
        <v>1</v>
      </c>
      <c r="N77" s="81">
        <v>1</v>
      </c>
      <c r="O77" s="81">
        <v>1</v>
      </c>
      <c r="P77" s="81">
        <v>1</v>
      </c>
      <c r="Q77" s="74">
        <f t="shared" si="0"/>
        <v>7</v>
      </c>
      <c r="R77" s="74">
        <f t="shared" si="7"/>
        <v>0</v>
      </c>
      <c r="S77" s="74">
        <f t="shared" si="7"/>
        <v>1000</v>
      </c>
      <c r="T77" s="74">
        <f t="shared" si="7"/>
        <v>1000</v>
      </c>
      <c r="U77" s="74">
        <f t="shared" si="7"/>
        <v>1000</v>
      </c>
      <c r="V77" s="74">
        <f t="shared" si="7"/>
        <v>1000</v>
      </c>
      <c r="W77" s="74">
        <f t="shared" si="7"/>
        <v>1000</v>
      </c>
      <c r="X77" s="74">
        <f t="shared" si="7"/>
        <v>1000</v>
      </c>
      <c r="Y77" s="74">
        <f t="shared" si="7"/>
        <v>1000</v>
      </c>
      <c r="Z77" s="74">
        <f t="shared" si="2"/>
        <v>7000</v>
      </c>
    </row>
    <row r="78" spans="1:27" x14ac:dyDescent="0.3">
      <c r="A78" s="79" t="s">
        <v>286</v>
      </c>
      <c r="B78" s="79" t="s">
        <v>310</v>
      </c>
      <c r="C78" s="79" t="s">
        <v>237</v>
      </c>
      <c r="D78" s="79" t="s">
        <v>238</v>
      </c>
      <c r="E78" s="79" t="s">
        <v>316</v>
      </c>
      <c r="F78" s="24" t="s">
        <v>180</v>
      </c>
      <c r="G78" s="24" t="s">
        <v>317</v>
      </c>
      <c r="H78" s="80">
        <f>((3*6*20000*9)+(3*6*42000*10)+(1*6*30000*10))/7/1000</f>
        <v>1800</v>
      </c>
      <c r="I78" s="81"/>
      <c r="J78" s="81">
        <v>1</v>
      </c>
      <c r="K78" s="81">
        <v>1</v>
      </c>
      <c r="L78" s="81">
        <v>1</v>
      </c>
      <c r="M78" s="81">
        <v>1</v>
      </c>
      <c r="N78" s="81">
        <v>1</v>
      </c>
      <c r="O78" s="81">
        <v>1</v>
      </c>
      <c r="P78" s="81">
        <v>1</v>
      </c>
      <c r="Q78" s="74">
        <f t="shared" si="0"/>
        <v>7</v>
      </c>
      <c r="R78" s="74">
        <f t="shared" si="7"/>
        <v>0</v>
      </c>
      <c r="S78" s="74">
        <f t="shared" si="7"/>
        <v>1800</v>
      </c>
      <c r="T78" s="74">
        <f t="shared" si="7"/>
        <v>1800</v>
      </c>
      <c r="U78" s="74">
        <f t="shared" si="7"/>
        <v>1800</v>
      </c>
      <c r="V78" s="74">
        <f t="shared" si="7"/>
        <v>1800</v>
      </c>
      <c r="W78" s="74">
        <f t="shared" si="7"/>
        <v>1800</v>
      </c>
      <c r="X78" s="74">
        <f t="shared" si="7"/>
        <v>1800</v>
      </c>
      <c r="Y78" s="74">
        <f t="shared" si="7"/>
        <v>1800</v>
      </c>
      <c r="Z78" s="74">
        <f t="shared" si="2"/>
        <v>12600</v>
      </c>
    </row>
    <row r="79" spans="1:27" x14ac:dyDescent="0.3">
      <c r="A79" s="79" t="s">
        <v>286</v>
      </c>
      <c r="B79" s="79" t="s">
        <v>318</v>
      </c>
      <c r="C79" s="79" t="s">
        <v>198</v>
      </c>
      <c r="D79" s="79" t="s">
        <v>319</v>
      </c>
      <c r="E79" s="79" t="s">
        <v>320</v>
      </c>
      <c r="F79" s="24" t="s">
        <v>180</v>
      </c>
      <c r="G79" s="24" t="s">
        <v>321</v>
      </c>
      <c r="H79" s="80">
        <f>2*200</f>
        <v>400</v>
      </c>
      <c r="I79" s="81"/>
      <c r="J79" s="81">
        <v>1</v>
      </c>
      <c r="K79" s="81">
        <v>1</v>
      </c>
      <c r="L79" s="81">
        <v>1</v>
      </c>
      <c r="M79" s="81">
        <v>1</v>
      </c>
      <c r="N79" s="81">
        <v>1</v>
      </c>
      <c r="O79" s="81">
        <v>1</v>
      </c>
      <c r="P79" s="81">
        <v>1</v>
      </c>
      <c r="Q79" s="74">
        <f t="shared" si="0"/>
        <v>7</v>
      </c>
      <c r="R79" s="74">
        <f t="shared" si="7"/>
        <v>0</v>
      </c>
      <c r="S79" s="74">
        <f t="shared" si="7"/>
        <v>400</v>
      </c>
      <c r="T79" s="74">
        <f t="shared" si="7"/>
        <v>400</v>
      </c>
      <c r="U79" s="74">
        <f t="shared" si="7"/>
        <v>400</v>
      </c>
      <c r="V79" s="74">
        <f t="shared" si="7"/>
        <v>400</v>
      </c>
      <c r="W79" s="74">
        <f t="shared" si="7"/>
        <v>400</v>
      </c>
      <c r="X79" s="74">
        <f t="shared" si="7"/>
        <v>400</v>
      </c>
      <c r="Y79" s="74">
        <f t="shared" si="7"/>
        <v>400</v>
      </c>
      <c r="Z79" s="74">
        <f t="shared" si="2"/>
        <v>2800</v>
      </c>
    </row>
    <row r="80" spans="1:27" x14ac:dyDescent="0.3">
      <c r="A80" s="79" t="s">
        <v>286</v>
      </c>
      <c r="B80" s="79" t="s">
        <v>318</v>
      </c>
      <c r="C80" s="79" t="s">
        <v>198</v>
      </c>
      <c r="D80" s="79" t="s">
        <v>319</v>
      </c>
      <c r="E80" s="79" t="s">
        <v>322</v>
      </c>
      <c r="F80" s="24" t="s">
        <v>180</v>
      </c>
      <c r="G80" s="24" t="s">
        <v>321</v>
      </c>
      <c r="H80" s="80">
        <f>70*187</f>
        <v>13090</v>
      </c>
      <c r="I80" s="81"/>
      <c r="J80" s="81">
        <v>1</v>
      </c>
      <c r="K80" s="81">
        <v>1</v>
      </c>
      <c r="L80" s="81">
        <v>1</v>
      </c>
      <c r="M80" s="81">
        <v>1</v>
      </c>
      <c r="N80" s="81">
        <v>1</v>
      </c>
      <c r="O80" s="81">
        <v>1</v>
      </c>
      <c r="P80" s="81">
        <v>1</v>
      </c>
      <c r="Q80" s="74">
        <f t="shared" si="0"/>
        <v>7</v>
      </c>
      <c r="R80" s="74">
        <f t="shared" si="7"/>
        <v>0</v>
      </c>
      <c r="S80" s="74">
        <f t="shared" si="7"/>
        <v>13090</v>
      </c>
      <c r="T80" s="74">
        <f t="shared" si="7"/>
        <v>13090</v>
      </c>
      <c r="U80" s="74">
        <f t="shared" si="7"/>
        <v>13090</v>
      </c>
      <c r="V80" s="74">
        <f t="shared" si="7"/>
        <v>13090</v>
      </c>
      <c r="W80" s="74">
        <f t="shared" si="7"/>
        <v>13090</v>
      </c>
      <c r="X80" s="74">
        <f t="shared" si="7"/>
        <v>13090</v>
      </c>
      <c r="Y80" s="74">
        <f t="shared" si="7"/>
        <v>13090</v>
      </c>
      <c r="Z80" s="74">
        <f t="shared" si="2"/>
        <v>91630</v>
      </c>
      <c r="AA80" s="25" t="s">
        <v>323</v>
      </c>
    </row>
    <row r="81" spans="1:26" x14ac:dyDescent="0.3">
      <c r="A81" s="79" t="s">
        <v>286</v>
      </c>
      <c r="B81" s="79" t="s">
        <v>318</v>
      </c>
      <c r="C81" s="79" t="s">
        <v>177</v>
      </c>
      <c r="D81" s="79" t="s">
        <v>324</v>
      </c>
      <c r="E81" s="79" t="s">
        <v>325</v>
      </c>
      <c r="F81" s="24" t="s">
        <v>180</v>
      </c>
      <c r="G81" s="24" t="s">
        <v>220</v>
      </c>
      <c r="H81" s="80">
        <v>1000</v>
      </c>
      <c r="I81" s="81"/>
      <c r="J81" s="81">
        <v>1</v>
      </c>
      <c r="K81" s="81">
        <v>1</v>
      </c>
      <c r="L81" s="81">
        <v>1</v>
      </c>
      <c r="M81" s="81">
        <v>1</v>
      </c>
      <c r="N81" s="81">
        <v>1</v>
      </c>
      <c r="O81" s="81">
        <v>1</v>
      </c>
      <c r="P81" s="81">
        <v>1</v>
      </c>
      <c r="Q81" s="74">
        <f t="shared" si="0"/>
        <v>7</v>
      </c>
      <c r="R81" s="74">
        <f t="shared" si="7"/>
        <v>0</v>
      </c>
      <c r="S81" s="74">
        <f t="shared" si="7"/>
        <v>1000</v>
      </c>
      <c r="T81" s="74">
        <f t="shared" si="7"/>
        <v>1000</v>
      </c>
      <c r="U81" s="74">
        <f t="shared" si="7"/>
        <v>1000</v>
      </c>
      <c r="V81" s="74">
        <f t="shared" si="7"/>
        <v>1000</v>
      </c>
      <c r="W81" s="74">
        <f t="shared" si="7"/>
        <v>1000</v>
      </c>
      <c r="X81" s="74">
        <f t="shared" si="7"/>
        <v>1000</v>
      </c>
      <c r="Y81" s="74">
        <f t="shared" si="7"/>
        <v>1000</v>
      </c>
      <c r="Z81" s="74">
        <f t="shared" si="2"/>
        <v>7000</v>
      </c>
    </row>
    <row r="82" spans="1:26" x14ac:dyDescent="0.3">
      <c r="A82" s="79" t="s">
        <v>286</v>
      </c>
      <c r="B82" s="79" t="s">
        <v>318</v>
      </c>
      <c r="C82" s="79" t="s">
        <v>223</v>
      </c>
      <c r="D82" s="79" t="s">
        <v>224</v>
      </c>
      <c r="E82" s="79" t="s">
        <v>250</v>
      </c>
      <c r="F82" s="24" t="s">
        <v>180</v>
      </c>
      <c r="G82" s="24" t="s">
        <v>326</v>
      </c>
      <c r="H82" s="80">
        <f>3000*0.15*775/1000</f>
        <v>348.75</v>
      </c>
      <c r="I82" s="81"/>
      <c r="J82" s="81">
        <v>1</v>
      </c>
      <c r="K82" s="81">
        <v>1</v>
      </c>
      <c r="L82" s="81">
        <v>1</v>
      </c>
      <c r="M82" s="81">
        <v>1</v>
      </c>
      <c r="N82" s="81">
        <v>1</v>
      </c>
      <c r="O82" s="81">
        <v>1</v>
      </c>
      <c r="P82" s="81">
        <v>1</v>
      </c>
      <c r="Q82" s="74">
        <f t="shared" si="0"/>
        <v>7</v>
      </c>
      <c r="R82" s="74">
        <f t="shared" si="7"/>
        <v>0</v>
      </c>
      <c r="S82" s="74">
        <f t="shared" si="7"/>
        <v>348.75</v>
      </c>
      <c r="T82" s="74">
        <f t="shared" si="7"/>
        <v>348.75</v>
      </c>
      <c r="U82" s="74">
        <f t="shared" si="7"/>
        <v>348.75</v>
      </c>
      <c r="V82" s="74">
        <f t="shared" si="7"/>
        <v>348.75</v>
      </c>
      <c r="W82" s="74">
        <f t="shared" si="7"/>
        <v>348.75</v>
      </c>
      <c r="X82" s="74">
        <f t="shared" si="7"/>
        <v>348.75</v>
      </c>
      <c r="Y82" s="74">
        <f t="shared" si="7"/>
        <v>348.75</v>
      </c>
      <c r="Z82" s="74">
        <f t="shared" si="2"/>
        <v>2441.25</v>
      </c>
    </row>
    <row r="83" spans="1:26" x14ac:dyDescent="0.3">
      <c r="A83" s="79" t="s">
        <v>286</v>
      </c>
      <c r="B83" s="79" t="s">
        <v>318</v>
      </c>
      <c r="C83" s="79" t="s">
        <v>223</v>
      </c>
      <c r="D83" s="79" t="s">
        <v>292</v>
      </c>
      <c r="E83" s="79" t="s">
        <v>315</v>
      </c>
      <c r="F83" s="24" t="s">
        <v>180</v>
      </c>
      <c r="G83" s="24" t="s">
        <v>220</v>
      </c>
      <c r="H83" s="80">
        <v>100</v>
      </c>
      <c r="I83" s="81"/>
      <c r="J83" s="81">
        <v>1</v>
      </c>
      <c r="K83" s="81">
        <v>1</v>
      </c>
      <c r="L83" s="81">
        <v>1</v>
      </c>
      <c r="M83" s="81">
        <v>1</v>
      </c>
      <c r="N83" s="81">
        <v>1</v>
      </c>
      <c r="O83" s="81">
        <v>1</v>
      </c>
      <c r="P83" s="81">
        <v>1</v>
      </c>
      <c r="Q83" s="74">
        <f t="shared" si="0"/>
        <v>7</v>
      </c>
      <c r="R83" s="74">
        <f t="shared" ref="R83:Y98" si="8">$H83*I83</f>
        <v>0</v>
      </c>
      <c r="S83" s="74">
        <f t="shared" si="8"/>
        <v>100</v>
      </c>
      <c r="T83" s="74">
        <f t="shared" si="8"/>
        <v>100</v>
      </c>
      <c r="U83" s="74">
        <f t="shared" si="8"/>
        <v>100</v>
      </c>
      <c r="V83" s="74">
        <f t="shared" si="8"/>
        <v>100</v>
      </c>
      <c r="W83" s="74">
        <f t="shared" si="8"/>
        <v>100</v>
      </c>
      <c r="X83" s="74">
        <f t="shared" si="8"/>
        <v>100</v>
      </c>
      <c r="Y83" s="74">
        <f t="shared" si="8"/>
        <v>100</v>
      </c>
      <c r="Z83" s="74">
        <f t="shared" si="2"/>
        <v>700</v>
      </c>
    </row>
    <row r="84" spans="1:26" x14ac:dyDescent="0.3">
      <c r="A84" s="79" t="s">
        <v>286</v>
      </c>
      <c r="B84" s="79" t="s">
        <v>318</v>
      </c>
      <c r="C84" s="79" t="s">
        <v>237</v>
      </c>
      <c r="D84" s="79" t="s">
        <v>238</v>
      </c>
      <c r="E84" s="79" t="s">
        <v>316</v>
      </c>
      <c r="F84" s="24" t="s">
        <v>180</v>
      </c>
      <c r="G84" s="24" t="s">
        <v>327</v>
      </c>
      <c r="H84" s="80">
        <f>((2*40000*6)+(1*25000*6))/1000</f>
        <v>630</v>
      </c>
      <c r="I84" s="81"/>
      <c r="J84" s="81">
        <v>1</v>
      </c>
      <c r="K84" s="81">
        <v>1</v>
      </c>
      <c r="L84" s="81">
        <v>1</v>
      </c>
      <c r="M84" s="81">
        <v>1</v>
      </c>
      <c r="N84" s="81">
        <v>1</v>
      </c>
      <c r="O84" s="81">
        <v>1</v>
      </c>
      <c r="P84" s="81">
        <v>1</v>
      </c>
      <c r="Q84" s="74">
        <f t="shared" si="0"/>
        <v>7</v>
      </c>
      <c r="R84" s="74">
        <f t="shared" si="8"/>
        <v>0</v>
      </c>
      <c r="S84" s="74">
        <f t="shared" si="8"/>
        <v>630</v>
      </c>
      <c r="T84" s="74">
        <f t="shared" si="8"/>
        <v>630</v>
      </c>
      <c r="U84" s="74">
        <f t="shared" si="8"/>
        <v>630</v>
      </c>
      <c r="V84" s="74">
        <f t="shared" si="8"/>
        <v>630</v>
      </c>
      <c r="W84" s="74">
        <f t="shared" si="8"/>
        <v>630</v>
      </c>
      <c r="X84" s="74">
        <f t="shared" si="8"/>
        <v>630</v>
      </c>
      <c r="Y84" s="74">
        <f t="shared" si="8"/>
        <v>630</v>
      </c>
      <c r="Z84" s="74">
        <f t="shared" si="2"/>
        <v>4410</v>
      </c>
    </row>
    <row r="85" spans="1:26" x14ac:dyDescent="0.3">
      <c r="A85" s="24" t="s">
        <v>328</v>
      </c>
      <c r="B85" s="24" t="s">
        <v>329</v>
      </c>
      <c r="C85" s="24" t="s">
        <v>198</v>
      </c>
      <c r="D85" s="24" t="s">
        <v>330</v>
      </c>
      <c r="E85" s="79" t="s">
        <v>331</v>
      </c>
      <c r="F85" s="24" t="s">
        <v>180</v>
      </c>
      <c r="G85" s="24" t="s">
        <v>321</v>
      </c>
      <c r="H85" s="80">
        <v>15000</v>
      </c>
      <c r="I85" s="81"/>
      <c r="J85" s="81">
        <v>1</v>
      </c>
      <c r="K85" s="81">
        <v>1</v>
      </c>
      <c r="L85" s="81"/>
      <c r="M85" s="81"/>
      <c r="N85" s="81"/>
      <c r="O85" s="81"/>
      <c r="P85" s="81"/>
      <c r="Q85" s="74">
        <f t="shared" si="0"/>
        <v>2</v>
      </c>
      <c r="R85" s="74">
        <f t="shared" si="8"/>
        <v>0</v>
      </c>
      <c r="S85" s="74">
        <f t="shared" si="8"/>
        <v>15000</v>
      </c>
      <c r="T85" s="74">
        <f t="shared" si="8"/>
        <v>15000</v>
      </c>
      <c r="U85" s="74">
        <f t="shared" si="8"/>
        <v>0</v>
      </c>
      <c r="V85" s="74">
        <f t="shared" si="8"/>
        <v>0</v>
      </c>
      <c r="W85" s="74">
        <f t="shared" si="8"/>
        <v>0</v>
      </c>
      <c r="X85" s="74">
        <f t="shared" si="8"/>
        <v>0</v>
      </c>
      <c r="Y85" s="74">
        <f t="shared" si="8"/>
        <v>0</v>
      </c>
      <c r="Z85" s="74">
        <f t="shared" si="2"/>
        <v>30000</v>
      </c>
    </row>
    <row r="86" spans="1:26" x14ac:dyDescent="0.3">
      <c r="A86" s="24" t="s">
        <v>328</v>
      </c>
      <c r="B86" s="24" t="s">
        <v>329</v>
      </c>
      <c r="C86" s="24" t="s">
        <v>198</v>
      </c>
      <c r="D86" s="24" t="s">
        <v>330</v>
      </c>
      <c r="E86" s="79" t="s">
        <v>332</v>
      </c>
      <c r="F86" s="24" t="s">
        <v>180</v>
      </c>
      <c r="G86" s="24" t="s">
        <v>321</v>
      </c>
      <c r="H86" s="80">
        <v>2000</v>
      </c>
      <c r="I86" s="81"/>
      <c r="J86" s="81">
        <v>1</v>
      </c>
      <c r="K86" s="81">
        <v>1</v>
      </c>
      <c r="L86" s="81"/>
      <c r="M86" s="81"/>
      <c r="N86" s="81"/>
      <c r="O86" s="81"/>
      <c r="P86" s="81"/>
      <c r="Q86" s="74">
        <f t="shared" si="0"/>
        <v>2</v>
      </c>
      <c r="R86" s="74">
        <f t="shared" si="8"/>
        <v>0</v>
      </c>
      <c r="S86" s="74">
        <f t="shared" si="8"/>
        <v>2000</v>
      </c>
      <c r="T86" s="74">
        <f t="shared" si="8"/>
        <v>2000</v>
      </c>
      <c r="U86" s="74">
        <f t="shared" si="8"/>
        <v>0</v>
      </c>
      <c r="V86" s="74">
        <f t="shared" si="8"/>
        <v>0</v>
      </c>
      <c r="W86" s="74">
        <f t="shared" si="8"/>
        <v>0</v>
      </c>
      <c r="X86" s="74">
        <f t="shared" si="8"/>
        <v>0</v>
      </c>
      <c r="Y86" s="74">
        <f t="shared" si="8"/>
        <v>0</v>
      </c>
      <c r="Z86" s="74">
        <f t="shared" si="2"/>
        <v>4000</v>
      </c>
    </row>
    <row r="87" spans="1:26" x14ac:dyDescent="0.3">
      <c r="A87" s="24" t="s">
        <v>328</v>
      </c>
      <c r="B87" s="24" t="s">
        <v>329</v>
      </c>
      <c r="C87" s="24" t="s">
        <v>198</v>
      </c>
      <c r="D87" s="24" t="s">
        <v>330</v>
      </c>
      <c r="E87" s="79" t="s">
        <v>333</v>
      </c>
      <c r="F87" s="24" t="s">
        <v>180</v>
      </c>
      <c r="G87" s="24" t="s">
        <v>321</v>
      </c>
      <c r="H87" s="80">
        <v>20000</v>
      </c>
      <c r="I87" s="81"/>
      <c r="J87" s="81">
        <v>1</v>
      </c>
      <c r="K87" s="81">
        <v>1</v>
      </c>
      <c r="L87" s="81"/>
      <c r="M87" s="81"/>
      <c r="N87" s="81"/>
      <c r="O87" s="81"/>
      <c r="P87" s="81"/>
      <c r="Q87" s="74">
        <f t="shared" si="0"/>
        <v>2</v>
      </c>
      <c r="R87" s="74">
        <f t="shared" si="8"/>
        <v>0</v>
      </c>
      <c r="S87" s="74">
        <f t="shared" si="8"/>
        <v>20000</v>
      </c>
      <c r="T87" s="74">
        <f t="shared" si="8"/>
        <v>20000</v>
      </c>
      <c r="U87" s="74">
        <f t="shared" si="8"/>
        <v>0</v>
      </c>
      <c r="V87" s="74">
        <f t="shared" si="8"/>
        <v>0</v>
      </c>
      <c r="W87" s="74">
        <f t="shared" si="8"/>
        <v>0</v>
      </c>
      <c r="X87" s="74">
        <f t="shared" si="8"/>
        <v>0</v>
      </c>
      <c r="Y87" s="74">
        <f t="shared" si="8"/>
        <v>0</v>
      </c>
      <c r="Z87" s="74">
        <f t="shared" si="2"/>
        <v>40000</v>
      </c>
    </row>
    <row r="88" spans="1:26" x14ac:dyDescent="0.3">
      <c r="A88" s="24" t="s">
        <v>328</v>
      </c>
      <c r="B88" s="24" t="s">
        <v>329</v>
      </c>
      <c r="C88" s="24" t="s">
        <v>198</v>
      </c>
      <c r="D88" s="24" t="s">
        <v>334</v>
      </c>
      <c r="E88" s="79" t="s">
        <v>335</v>
      </c>
      <c r="F88" s="24" t="s">
        <v>180</v>
      </c>
      <c r="G88" s="24" t="s">
        <v>220</v>
      </c>
      <c r="H88" s="80">
        <v>10000</v>
      </c>
      <c r="I88" s="81"/>
      <c r="J88" s="81">
        <v>1</v>
      </c>
      <c r="K88" s="81">
        <v>1</v>
      </c>
      <c r="L88" s="81">
        <v>1</v>
      </c>
      <c r="M88" s="81"/>
      <c r="N88" s="81"/>
      <c r="O88" s="81"/>
      <c r="P88" s="81"/>
      <c r="Q88" s="74">
        <f t="shared" si="0"/>
        <v>3</v>
      </c>
      <c r="R88" s="74">
        <f t="shared" si="8"/>
        <v>0</v>
      </c>
      <c r="S88" s="74">
        <f t="shared" si="8"/>
        <v>10000</v>
      </c>
      <c r="T88" s="74">
        <f t="shared" si="8"/>
        <v>10000</v>
      </c>
      <c r="U88" s="74">
        <f t="shared" si="8"/>
        <v>10000</v>
      </c>
      <c r="V88" s="74">
        <f t="shared" si="8"/>
        <v>0</v>
      </c>
      <c r="W88" s="74">
        <f t="shared" si="8"/>
        <v>0</v>
      </c>
      <c r="X88" s="74">
        <f t="shared" si="8"/>
        <v>0</v>
      </c>
      <c r="Y88" s="74">
        <f t="shared" si="8"/>
        <v>0</v>
      </c>
      <c r="Z88" s="74">
        <f t="shared" si="2"/>
        <v>30000</v>
      </c>
    </row>
    <row r="89" spans="1:26" x14ac:dyDescent="0.3">
      <c r="A89" s="24" t="s">
        <v>328</v>
      </c>
      <c r="B89" s="24" t="s">
        <v>329</v>
      </c>
      <c r="C89" s="24" t="s">
        <v>198</v>
      </c>
      <c r="D89" s="24" t="s">
        <v>334</v>
      </c>
      <c r="E89" s="79" t="s">
        <v>336</v>
      </c>
      <c r="F89" s="24" t="s">
        <v>180</v>
      </c>
      <c r="G89" s="24" t="s">
        <v>220</v>
      </c>
      <c r="H89" s="80">
        <v>20000</v>
      </c>
      <c r="I89" s="81"/>
      <c r="J89" s="81">
        <v>1</v>
      </c>
      <c r="K89" s="81">
        <v>1</v>
      </c>
      <c r="L89" s="81">
        <v>1</v>
      </c>
      <c r="M89" s="81">
        <v>1</v>
      </c>
      <c r="N89" s="81">
        <v>1</v>
      </c>
      <c r="O89" s="81">
        <v>1</v>
      </c>
      <c r="P89" s="81">
        <v>1</v>
      </c>
      <c r="Q89" s="74">
        <f t="shared" si="0"/>
        <v>7</v>
      </c>
      <c r="R89" s="74">
        <f t="shared" si="8"/>
        <v>0</v>
      </c>
      <c r="S89" s="74">
        <f t="shared" si="8"/>
        <v>20000</v>
      </c>
      <c r="T89" s="74">
        <f t="shared" si="8"/>
        <v>20000</v>
      </c>
      <c r="U89" s="74">
        <f t="shared" si="8"/>
        <v>20000</v>
      </c>
      <c r="V89" s="74">
        <f t="shared" si="8"/>
        <v>20000</v>
      </c>
      <c r="W89" s="74">
        <f t="shared" si="8"/>
        <v>20000</v>
      </c>
      <c r="X89" s="74">
        <f t="shared" si="8"/>
        <v>20000</v>
      </c>
      <c r="Y89" s="74">
        <f t="shared" si="8"/>
        <v>20000</v>
      </c>
      <c r="Z89" s="74">
        <f t="shared" si="2"/>
        <v>140000</v>
      </c>
    </row>
    <row r="90" spans="1:26" x14ac:dyDescent="0.3">
      <c r="A90" s="24" t="s">
        <v>328</v>
      </c>
      <c r="B90" s="24" t="s">
        <v>329</v>
      </c>
      <c r="C90" s="24" t="s">
        <v>198</v>
      </c>
      <c r="D90" s="24" t="s">
        <v>334</v>
      </c>
      <c r="E90" s="79" t="s">
        <v>337</v>
      </c>
      <c r="F90" s="24" t="s">
        <v>180</v>
      </c>
      <c r="G90" s="24" t="s">
        <v>220</v>
      </c>
      <c r="H90" s="80">
        <v>20000</v>
      </c>
      <c r="I90" s="81"/>
      <c r="J90" s="81">
        <v>1</v>
      </c>
      <c r="K90" s="81">
        <v>1</v>
      </c>
      <c r="L90" s="81">
        <v>1</v>
      </c>
      <c r="M90" s="81"/>
      <c r="N90" s="81"/>
      <c r="O90" s="81"/>
      <c r="P90" s="81"/>
      <c r="Q90" s="74">
        <f t="shared" si="0"/>
        <v>3</v>
      </c>
      <c r="R90" s="74">
        <f t="shared" si="8"/>
        <v>0</v>
      </c>
      <c r="S90" s="74">
        <f t="shared" si="8"/>
        <v>20000</v>
      </c>
      <c r="T90" s="74">
        <f t="shared" si="8"/>
        <v>20000</v>
      </c>
      <c r="U90" s="74">
        <f t="shared" si="8"/>
        <v>20000</v>
      </c>
      <c r="V90" s="74">
        <f t="shared" si="8"/>
        <v>0</v>
      </c>
      <c r="W90" s="74">
        <f t="shared" si="8"/>
        <v>0</v>
      </c>
      <c r="X90" s="74">
        <f t="shared" si="8"/>
        <v>0</v>
      </c>
      <c r="Y90" s="74">
        <f t="shared" si="8"/>
        <v>0</v>
      </c>
      <c r="Z90" s="74">
        <f t="shared" si="2"/>
        <v>60000</v>
      </c>
    </row>
    <row r="91" spans="1:26" x14ac:dyDescent="0.3">
      <c r="A91" s="24" t="s">
        <v>338</v>
      </c>
      <c r="B91" s="24" t="s">
        <v>339</v>
      </c>
      <c r="C91" s="24" t="s">
        <v>241</v>
      </c>
      <c r="D91" s="24" t="s">
        <v>242</v>
      </c>
      <c r="E91" s="79" t="s">
        <v>340</v>
      </c>
      <c r="F91" s="24" t="s">
        <v>180</v>
      </c>
      <c r="G91" s="24" t="s">
        <v>244</v>
      </c>
      <c r="H91" s="80">
        <v>10000</v>
      </c>
      <c r="I91" s="81"/>
      <c r="J91" s="81">
        <v>1</v>
      </c>
      <c r="K91" s="81">
        <v>1</v>
      </c>
      <c r="L91" s="81"/>
      <c r="M91" s="81"/>
      <c r="N91" s="81"/>
      <c r="O91" s="81"/>
      <c r="P91" s="81"/>
      <c r="Q91" s="74">
        <f t="shared" si="0"/>
        <v>2</v>
      </c>
      <c r="R91" s="74">
        <f t="shared" si="8"/>
        <v>0</v>
      </c>
      <c r="S91" s="74">
        <f t="shared" si="8"/>
        <v>10000</v>
      </c>
      <c r="T91" s="74">
        <f t="shared" si="8"/>
        <v>10000</v>
      </c>
      <c r="U91" s="74">
        <f t="shared" si="8"/>
        <v>0</v>
      </c>
      <c r="V91" s="74">
        <f t="shared" si="8"/>
        <v>0</v>
      </c>
      <c r="W91" s="74">
        <f t="shared" si="8"/>
        <v>0</v>
      </c>
      <c r="X91" s="74">
        <f t="shared" si="8"/>
        <v>0</v>
      </c>
      <c r="Y91" s="74">
        <f t="shared" si="8"/>
        <v>0</v>
      </c>
      <c r="Z91" s="74">
        <f t="shared" si="2"/>
        <v>20000</v>
      </c>
    </row>
    <row r="92" spans="1:26" x14ac:dyDescent="0.3">
      <c r="A92" s="24" t="s">
        <v>338</v>
      </c>
      <c r="B92" s="24" t="s">
        <v>339</v>
      </c>
      <c r="C92" s="24" t="s">
        <v>241</v>
      </c>
      <c r="D92" s="24" t="s">
        <v>242</v>
      </c>
      <c r="E92" s="79" t="s">
        <v>341</v>
      </c>
      <c r="F92" s="24" t="s">
        <v>180</v>
      </c>
      <c r="G92" s="24" t="s">
        <v>244</v>
      </c>
      <c r="H92" s="80">
        <v>15000</v>
      </c>
      <c r="I92" s="81"/>
      <c r="J92" s="81">
        <v>1</v>
      </c>
      <c r="K92" s="81">
        <v>1</v>
      </c>
      <c r="L92" s="81"/>
      <c r="M92" s="81"/>
      <c r="N92" s="81"/>
      <c r="O92" s="81"/>
      <c r="P92" s="81"/>
      <c r="Q92" s="74">
        <f t="shared" si="0"/>
        <v>2</v>
      </c>
      <c r="R92" s="74">
        <f t="shared" si="8"/>
        <v>0</v>
      </c>
      <c r="S92" s="74">
        <f t="shared" si="8"/>
        <v>15000</v>
      </c>
      <c r="T92" s="74">
        <f t="shared" si="8"/>
        <v>15000</v>
      </c>
      <c r="U92" s="74">
        <f t="shared" si="8"/>
        <v>0</v>
      </c>
      <c r="V92" s="74">
        <f t="shared" si="8"/>
        <v>0</v>
      </c>
      <c r="W92" s="74">
        <f t="shared" si="8"/>
        <v>0</v>
      </c>
      <c r="X92" s="74">
        <f t="shared" si="8"/>
        <v>0</v>
      </c>
      <c r="Y92" s="74">
        <f t="shared" si="8"/>
        <v>0</v>
      </c>
      <c r="Z92" s="74">
        <f t="shared" si="2"/>
        <v>30000</v>
      </c>
    </row>
    <row r="93" spans="1:26" x14ac:dyDescent="0.3">
      <c r="A93" s="24" t="s">
        <v>338</v>
      </c>
      <c r="B93" s="24" t="s">
        <v>339</v>
      </c>
      <c r="C93" s="24" t="s">
        <v>241</v>
      </c>
      <c r="D93" s="24" t="s">
        <v>242</v>
      </c>
      <c r="E93" s="79" t="s">
        <v>342</v>
      </c>
      <c r="F93" s="24" t="s">
        <v>180</v>
      </c>
      <c r="G93" s="24" t="s">
        <v>244</v>
      </c>
      <c r="H93" s="80">
        <v>15000</v>
      </c>
      <c r="I93" s="81"/>
      <c r="J93" s="81"/>
      <c r="K93" s="81"/>
      <c r="L93" s="81">
        <v>1</v>
      </c>
      <c r="M93" s="81"/>
      <c r="N93" s="81"/>
      <c r="O93" s="81"/>
      <c r="P93" s="81"/>
      <c r="Q93" s="74">
        <f t="shared" si="0"/>
        <v>1</v>
      </c>
      <c r="R93" s="74">
        <f t="shared" si="8"/>
        <v>0</v>
      </c>
      <c r="S93" s="74">
        <f t="shared" si="8"/>
        <v>0</v>
      </c>
      <c r="T93" s="74">
        <f t="shared" si="8"/>
        <v>0</v>
      </c>
      <c r="U93" s="74">
        <f t="shared" si="8"/>
        <v>15000</v>
      </c>
      <c r="V93" s="74">
        <f t="shared" si="8"/>
        <v>0</v>
      </c>
      <c r="W93" s="74">
        <f t="shared" si="8"/>
        <v>0</v>
      </c>
      <c r="X93" s="74">
        <f t="shared" si="8"/>
        <v>0</v>
      </c>
      <c r="Y93" s="74">
        <f t="shared" si="8"/>
        <v>0</v>
      </c>
      <c r="Z93" s="74">
        <f t="shared" si="2"/>
        <v>15000</v>
      </c>
    </row>
    <row r="94" spans="1:26" x14ac:dyDescent="0.3">
      <c r="A94" s="24" t="s">
        <v>338</v>
      </c>
      <c r="B94" s="24" t="s">
        <v>339</v>
      </c>
      <c r="C94" s="24" t="s">
        <v>241</v>
      </c>
      <c r="D94" s="24" t="s">
        <v>242</v>
      </c>
      <c r="E94" s="79" t="s">
        <v>343</v>
      </c>
      <c r="F94" s="24" t="s">
        <v>180</v>
      </c>
      <c r="G94" s="24" t="s">
        <v>244</v>
      </c>
      <c r="H94" s="80">
        <v>15000</v>
      </c>
      <c r="I94" s="81"/>
      <c r="J94" s="81"/>
      <c r="K94" s="81"/>
      <c r="L94" s="81"/>
      <c r="M94" s="81"/>
      <c r="N94" s="81"/>
      <c r="O94" s="81"/>
      <c r="P94" s="81">
        <v>1</v>
      </c>
      <c r="Q94" s="74">
        <f t="shared" si="0"/>
        <v>1</v>
      </c>
      <c r="R94" s="74">
        <f t="shared" si="8"/>
        <v>0</v>
      </c>
      <c r="S94" s="74">
        <f t="shared" si="8"/>
        <v>0</v>
      </c>
      <c r="T94" s="74">
        <f t="shared" si="8"/>
        <v>0</v>
      </c>
      <c r="U94" s="74">
        <f t="shared" si="8"/>
        <v>0</v>
      </c>
      <c r="V94" s="74">
        <f t="shared" si="8"/>
        <v>0</v>
      </c>
      <c r="W94" s="74">
        <f t="shared" si="8"/>
        <v>0</v>
      </c>
      <c r="X94" s="74">
        <f t="shared" si="8"/>
        <v>0</v>
      </c>
      <c r="Y94" s="74">
        <f t="shared" si="8"/>
        <v>15000</v>
      </c>
      <c r="Z94" s="74">
        <f t="shared" si="2"/>
        <v>15000</v>
      </c>
    </row>
    <row r="95" spans="1:26" x14ac:dyDescent="0.3">
      <c r="A95" s="24" t="s">
        <v>338</v>
      </c>
      <c r="B95" s="24" t="s">
        <v>339</v>
      </c>
      <c r="C95" s="24" t="s">
        <v>241</v>
      </c>
      <c r="D95" s="24" t="s">
        <v>242</v>
      </c>
      <c r="E95" s="79" t="s">
        <v>344</v>
      </c>
      <c r="F95" s="24" t="s">
        <v>180</v>
      </c>
      <c r="G95" s="24" t="s">
        <v>220</v>
      </c>
      <c r="H95" s="80">
        <v>2500</v>
      </c>
      <c r="I95" s="81"/>
      <c r="J95" s="81">
        <v>1</v>
      </c>
      <c r="K95" s="81">
        <v>1</v>
      </c>
      <c r="L95" s="81">
        <v>1</v>
      </c>
      <c r="M95" s="81">
        <v>1</v>
      </c>
      <c r="N95" s="81">
        <v>1</v>
      </c>
      <c r="O95" s="81">
        <v>1</v>
      </c>
      <c r="P95" s="81">
        <v>1</v>
      </c>
      <c r="Q95" s="74">
        <f t="shared" si="0"/>
        <v>7</v>
      </c>
      <c r="R95" s="74">
        <f t="shared" si="8"/>
        <v>0</v>
      </c>
      <c r="S95" s="74">
        <f t="shared" si="8"/>
        <v>2500</v>
      </c>
      <c r="T95" s="74">
        <f t="shared" si="8"/>
        <v>2500</v>
      </c>
      <c r="U95" s="74">
        <f t="shared" si="8"/>
        <v>2500</v>
      </c>
      <c r="V95" s="74">
        <f t="shared" si="8"/>
        <v>2500</v>
      </c>
      <c r="W95" s="74">
        <f t="shared" si="8"/>
        <v>2500</v>
      </c>
      <c r="X95" s="74">
        <f t="shared" si="8"/>
        <v>2500</v>
      </c>
      <c r="Y95" s="74">
        <f t="shared" si="8"/>
        <v>2500</v>
      </c>
      <c r="Z95" s="74">
        <f t="shared" si="2"/>
        <v>17500</v>
      </c>
    </row>
    <row r="96" spans="1:26" x14ac:dyDescent="0.3">
      <c r="A96" s="24" t="s">
        <v>338</v>
      </c>
      <c r="B96" s="24" t="s">
        <v>339</v>
      </c>
      <c r="C96" s="24" t="s">
        <v>241</v>
      </c>
      <c r="D96" s="24" t="s">
        <v>242</v>
      </c>
      <c r="E96" s="79" t="s">
        <v>345</v>
      </c>
      <c r="F96" s="24" t="s">
        <v>180</v>
      </c>
      <c r="G96" s="24" t="s">
        <v>346</v>
      </c>
      <c r="H96" s="80">
        <v>1000</v>
      </c>
      <c r="I96" s="81"/>
      <c r="J96" s="81">
        <v>1</v>
      </c>
      <c r="K96" s="81">
        <v>1</v>
      </c>
      <c r="L96" s="81">
        <v>1</v>
      </c>
      <c r="M96" s="81">
        <v>1</v>
      </c>
      <c r="N96" s="81">
        <v>1</v>
      </c>
      <c r="O96" s="81">
        <v>1</v>
      </c>
      <c r="P96" s="81">
        <v>1</v>
      </c>
      <c r="Q96" s="74">
        <f t="shared" si="0"/>
        <v>7</v>
      </c>
      <c r="R96" s="74">
        <f t="shared" si="8"/>
        <v>0</v>
      </c>
      <c r="S96" s="74">
        <f t="shared" si="8"/>
        <v>1000</v>
      </c>
      <c r="T96" s="74">
        <f t="shared" si="8"/>
        <v>1000</v>
      </c>
      <c r="U96" s="74">
        <f t="shared" si="8"/>
        <v>1000</v>
      </c>
      <c r="V96" s="74">
        <f t="shared" si="8"/>
        <v>1000</v>
      </c>
      <c r="W96" s="74">
        <f t="shared" si="8"/>
        <v>1000</v>
      </c>
      <c r="X96" s="74">
        <f t="shared" si="8"/>
        <v>1000</v>
      </c>
      <c r="Y96" s="74">
        <f t="shared" si="8"/>
        <v>1000</v>
      </c>
      <c r="Z96" s="74">
        <f t="shared" si="2"/>
        <v>7000</v>
      </c>
    </row>
    <row r="97" spans="1:26" x14ac:dyDescent="0.3">
      <c r="A97" s="24" t="s">
        <v>338</v>
      </c>
      <c r="B97" s="24" t="s">
        <v>339</v>
      </c>
      <c r="C97" s="24" t="s">
        <v>241</v>
      </c>
      <c r="D97" s="24" t="s">
        <v>238</v>
      </c>
      <c r="E97" s="79" t="s">
        <v>347</v>
      </c>
      <c r="F97" s="24" t="s">
        <v>180</v>
      </c>
      <c r="G97" s="24" t="s">
        <v>348</v>
      </c>
      <c r="H97" s="80">
        <v>5000</v>
      </c>
      <c r="I97" s="81"/>
      <c r="J97" s="81">
        <v>1</v>
      </c>
      <c r="K97" s="81">
        <v>1</v>
      </c>
      <c r="L97" s="81">
        <v>1</v>
      </c>
      <c r="M97" s="81">
        <v>1</v>
      </c>
      <c r="N97" s="81">
        <v>1</v>
      </c>
      <c r="O97" s="81">
        <v>1</v>
      </c>
      <c r="P97" s="81">
        <v>1</v>
      </c>
      <c r="Q97" s="74">
        <f t="shared" si="0"/>
        <v>7</v>
      </c>
      <c r="R97" s="74">
        <f t="shared" si="8"/>
        <v>0</v>
      </c>
      <c r="S97" s="74">
        <f t="shared" si="8"/>
        <v>5000</v>
      </c>
      <c r="T97" s="74">
        <f t="shared" si="8"/>
        <v>5000</v>
      </c>
      <c r="U97" s="74">
        <f t="shared" si="8"/>
        <v>5000</v>
      </c>
      <c r="V97" s="74">
        <f t="shared" si="8"/>
        <v>5000</v>
      </c>
      <c r="W97" s="74">
        <f t="shared" si="8"/>
        <v>5000</v>
      </c>
      <c r="X97" s="74">
        <f t="shared" si="8"/>
        <v>5000</v>
      </c>
      <c r="Y97" s="74">
        <f t="shared" si="8"/>
        <v>5000</v>
      </c>
      <c r="Z97" s="74">
        <f t="shared" si="2"/>
        <v>35000</v>
      </c>
    </row>
    <row r="98" spans="1:26" x14ac:dyDescent="0.3">
      <c r="A98" s="24" t="s">
        <v>338</v>
      </c>
      <c r="B98" s="24" t="s">
        <v>349</v>
      </c>
      <c r="C98" s="24" t="s">
        <v>198</v>
      </c>
      <c r="D98" s="24" t="s">
        <v>350</v>
      </c>
      <c r="E98" s="79" t="s">
        <v>351</v>
      </c>
      <c r="F98" s="24" t="s">
        <v>180</v>
      </c>
      <c r="G98" s="24" t="s">
        <v>352</v>
      </c>
      <c r="H98" s="80">
        <v>20000</v>
      </c>
      <c r="I98" s="81"/>
      <c r="J98" s="81">
        <v>1</v>
      </c>
      <c r="K98" s="81">
        <v>1</v>
      </c>
      <c r="L98" s="81"/>
      <c r="M98" s="81"/>
      <c r="N98" s="81"/>
      <c r="O98" s="81"/>
      <c r="P98" s="81"/>
      <c r="Q98" s="74">
        <f t="shared" si="0"/>
        <v>2</v>
      </c>
      <c r="R98" s="74">
        <f t="shared" si="8"/>
        <v>0</v>
      </c>
      <c r="S98" s="74">
        <f t="shared" si="8"/>
        <v>20000</v>
      </c>
      <c r="T98" s="74">
        <f t="shared" si="8"/>
        <v>20000</v>
      </c>
      <c r="U98" s="74">
        <f t="shared" si="8"/>
        <v>0</v>
      </c>
      <c r="V98" s="74">
        <f t="shared" si="8"/>
        <v>0</v>
      </c>
      <c r="W98" s="74">
        <f t="shared" si="8"/>
        <v>0</v>
      </c>
      <c r="X98" s="74">
        <f t="shared" si="8"/>
        <v>0</v>
      </c>
      <c r="Y98" s="74">
        <f t="shared" si="8"/>
        <v>0</v>
      </c>
      <c r="Z98" s="74">
        <f t="shared" si="2"/>
        <v>40000</v>
      </c>
    </row>
    <row r="99" spans="1:26" x14ac:dyDescent="0.3">
      <c r="A99" s="24" t="s">
        <v>338</v>
      </c>
      <c r="B99" s="24" t="s">
        <v>349</v>
      </c>
      <c r="C99" s="24" t="s">
        <v>198</v>
      </c>
      <c r="D99" s="24" t="s">
        <v>350</v>
      </c>
      <c r="E99" s="79" t="s">
        <v>353</v>
      </c>
      <c r="F99" s="24" t="s">
        <v>180</v>
      </c>
      <c r="G99" s="24" t="s">
        <v>352</v>
      </c>
      <c r="H99" s="80">
        <v>5000</v>
      </c>
      <c r="I99" s="81"/>
      <c r="J99" s="81">
        <v>1</v>
      </c>
      <c r="K99" s="81">
        <v>1</v>
      </c>
      <c r="L99" s="81"/>
      <c r="M99" s="81">
        <v>1</v>
      </c>
      <c r="N99" s="81"/>
      <c r="O99" s="81"/>
      <c r="P99" s="81"/>
      <c r="Q99" s="74">
        <f t="shared" si="0"/>
        <v>3</v>
      </c>
      <c r="R99" s="74">
        <f t="shared" ref="R99:Y100" si="9">$H99*I99</f>
        <v>0</v>
      </c>
      <c r="S99" s="74">
        <f t="shared" si="9"/>
        <v>5000</v>
      </c>
      <c r="T99" s="74">
        <f t="shared" si="9"/>
        <v>5000</v>
      </c>
      <c r="U99" s="74">
        <f t="shared" si="9"/>
        <v>0</v>
      </c>
      <c r="V99" s="74">
        <f t="shared" si="9"/>
        <v>5000</v>
      </c>
      <c r="W99" s="74">
        <f t="shared" si="9"/>
        <v>0</v>
      </c>
      <c r="X99" s="74">
        <f t="shared" si="9"/>
        <v>0</v>
      </c>
      <c r="Y99" s="74">
        <f t="shared" si="9"/>
        <v>0</v>
      </c>
      <c r="Z99" s="74">
        <f t="shared" si="2"/>
        <v>15000</v>
      </c>
    </row>
    <row r="100" spans="1:26" x14ac:dyDescent="0.3">
      <c r="A100" s="24" t="s">
        <v>338</v>
      </c>
      <c r="B100" s="24" t="s">
        <v>349</v>
      </c>
      <c r="C100" s="24" t="s">
        <v>198</v>
      </c>
      <c r="D100" s="24" t="s">
        <v>354</v>
      </c>
      <c r="E100" s="79" t="s">
        <v>355</v>
      </c>
      <c r="F100" s="24" t="s">
        <v>180</v>
      </c>
      <c r="G100" s="24" t="s">
        <v>240</v>
      </c>
      <c r="H100" s="80">
        <v>16000</v>
      </c>
      <c r="I100" s="81"/>
      <c r="J100" s="81">
        <v>1</v>
      </c>
      <c r="K100" s="81">
        <v>1</v>
      </c>
      <c r="L100" s="81">
        <v>1</v>
      </c>
      <c r="M100" s="81"/>
      <c r="N100" s="81"/>
      <c r="O100" s="81"/>
      <c r="P100" s="81"/>
      <c r="Q100" s="74">
        <f t="shared" si="0"/>
        <v>3</v>
      </c>
      <c r="R100" s="74">
        <f t="shared" si="9"/>
        <v>0</v>
      </c>
      <c r="S100" s="74">
        <f t="shared" si="9"/>
        <v>16000</v>
      </c>
      <c r="T100" s="74">
        <f t="shared" si="9"/>
        <v>16000</v>
      </c>
      <c r="U100" s="74">
        <f t="shared" si="9"/>
        <v>16000</v>
      </c>
      <c r="V100" s="74">
        <f t="shared" si="9"/>
        <v>0</v>
      </c>
      <c r="W100" s="74">
        <f t="shared" si="9"/>
        <v>0</v>
      </c>
      <c r="X100" s="74">
        <f t="shared" si="9"/>
        <v>0</v>
      </c>
      <c r="Y100" s="74">
        <f t="shared" si="9"/>
        <v>0</v>
      </c>
      <c r="Z100" s="74">
        <f t="shared" si="2"/>
        <v>48000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Instructions</vt:lpstr>
      <vt:lpstr>InfosCheptel</vt:lpstr>
      <vt:lpstr>Modele PPR</vt:lpstr>
      <vt:lpstr>Troupeau</vt:lpstr>
      <vt:lpstr>Calcul immunité</vt:lpstr>
      <vt:lpstr>BD budgetaire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Garba Tinni Kailou</dc:creator>
  <cp:lastModifiedBy>Garba Tinni Kailou</cp:lastModifiedBy>
  <dcterms:created xsi:type="dcterms:W3CDTF">2024-01-16T10:56:36Z</dcterms:created>
  <dcterms:modified xsi:type="dcterms:W3CDTF">2024-06-05T12:22:37Z</dcterms:modified>
</cp:coreProperties>
</file>