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 activeTab="1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E20" i="2" l="1"/>
  <c r="C25" i="2"/>
  <c r="D25" i="2"/>
  <c r="C4" i="2"/>
  <c r="C7" i="2"/>
  <c r="K5" i="2"/>
  <c r="K4" i="2"/>
  <c r="H8" i="1"/>
  <c r="H7" i="1"/>
  <c r="J4" i="2"/>
  <c r="J3" i="2"/>
  <c r="G7" i="1"/>
  <c r="K3" i="2"/>
  <c r="C28" i="2"/>
  <c r="D28" i="2"/>
  <c r="E28" i="2"/>
  <c r="F28" i="2"/>
  <c r="B28" i="2"/>
  <c r="C26" i="2"/>
  <c r="D26" i="2"/>
  <c r="E26" i="2"/>
  <c r="F26" i="2"/>
  <c r="C27" i="2"/>
  <c r="D27" i="2"/>
  <c r="E27" i="2"/>
  <c r="F27" i="2"/>
  <c r="E25" i="2"/>
  <c r="F25" i="2"/>
  <c r="B27" i="2"/>
  <c r="B26" i="2"/>
  <c r="B25" i="2"/>
  <c r="C22" i="2"/>
  <c r="D22" i="2" s="1"/>
  <c r="E22" i="2" s="1"/>
  <c r="C21" i="2"/>
  <c r="D21" i="2" s="1"/>
  <c r="E21" i="2" s="1"/>
  <c r="C20" i="2"/>
  <c r="B17" i="2"/>
  <c r="B16" i="2"/>
  <c r="B15" i="2"/>
  <c r="C12" i="2"/>
  <c r="C11" i="2"/>
  <c r="D20" i="2" l="1"/>
  <c r="C4" i="1" l="1"/>
  <c r="C12" i="1"/>
  <c r="C24" i="1"/>
  <c r="D24" i="1" s="1"/>
  <c r="C21" i="1" l="1"/>
  <c r="C6" i="1"/>
  <c r="C23" i="1" s="1"/>
  <c r="D23" i="1" s="1"/>
  <c r="C10" i="1" l="1"/>
  <c r="D21" i="1"/>
  <c r="C13" i="1"/>
  <c r="C22" i="1" l="1"/>
  <c r="C15" i="1"/>
  <c r="D22" i="1" l="1"/>
  <c r="C25" i="1"/>
  <c r="D25" i="1" s="1"/>
  <c r="C16" i="1"/>
  <c r="C5" i="2" l="1"/>
  <c r="E22" i="1"/>
  <c r="E24" i="1"/>
  <c r="E23" i="1"/>
  <c r="E21" i="1"/>
  <c r="G8" i="1"/>
  <c r="E25" i="1" l="1"/>
</calcChain>
</file>

<file path=xl/sharedStrings.xml><?xml version="1.0" encoding="utf-8"?>
<sst xmlns="http://schemas.openxmlformats.org/spreadsheetml/2006/main" count="80" uniqueCount="58">
  <si>
    <t>Суммарные затраты</t>
  </si>
  <si>
    <t>N(п/п)</t>
  </si>
  <si>
    <t>Статья затрат</t>
  </si>
  <si>
    <t>Сумма [тыс. руб.]</t>
  </si>
  <si>
    <t>Условно-переменные затраты</t>
  </si>
  <si>
    <t>1.</t>
  </si>
  <si>
    <t>Аммортизация активной части ОФ</t>
  </si>
  <si>
    <t>2.</t>
  </si>
  <si>
    <t>3.</t>
  </si>
  <si>
    <t>4.</t>
  </si>
  <si>
    <t>5.</t>
  </si>
  <si>
    <t>6.</t>
  </si>
  <si>
    <t>З/П соц. Отчисления осн. Работников</t>
  </si>
  <si>
    <t>Мат. Затраты</t>
  </si>
  <si>
    <t>Транспортные налоги</t>
  </si>
  <si>
    <t>Плата за выбросы</t>
  </si>
  <si>
    <t>ТО и Ремонт</t>
  </si>
  <si>
    <t>Условно-постоянные затраты</t>
  </si>
  <si>
    <t>Аммортизация пассивной части ОФ</t>
  </si>
  <si>
    <t>Зарплаты и соц. Отч. Административно управленчиский  персонал</t>
  </si>
  <si>
    <t>Налог на имущество</t>
  </si>
  <si>
    <t>Итого:</t>
  </si>
  <si>
    <t>Общее итого:</t>
  </si>
  <si>
    <t>Постоянные затраты</t>
  </si>
  <si>
    <t>Себестоимость удельных затрат</t>
  </si>
  <si>
    <t>Удельные затраты на 1 м^3</t>
  </si>
  <si>
    <t>Доля затрат [%]</t>
  </si>
  <si>
    <t>Аммортизация отчисления</t>
  </si>
  <si>
    <t xml:space="preserve">Фонд оплаты труда соц. Отчисления </t>
  </si>
  <si>
    <t>Прочие затраты</t>
  </si>
  <si>
    <t>Точка безубыточности при среднеотраслевой в планой рентабельности</t>
  </si>
  <si>
    <t>Среднеотраслевая</t>
  </si>
  <si>
    <t>Ци = Сд *К(ros)[руб.]</t>
  </si>
  <si>
    <t>Cд - себестоимость ПИ [руб/м^3]</t>
  </si>
  <si>
    <t>K(ros) = 1+ros</t>
  </si>
  <si>
    <t>Rev = A(пи) * Ци</t>
  </si>
  <si>
    <t>Пояснение</t>
  </si>
  <si>
    <t>Значение</t>
  </si>
  <si>
    <t>Наименование</t>
  </si>
  <si>
    <t>Ros</t>
  </si>
  <si>
    <t>Фо = Rev/S(ОФ)</t>
  </si>
  <si>
    <t>Ме = З(мат)/Rev</t>
  </si>
  <si>
    <t>Виды щебня</t>
  </si>
  <si>
    <t>выход</t>
  </si>
  <si>
    <t>цена руб/</t>
  </si>
  <si>
    <t>5-20 мм (рядовой)</t>
  </si>
  <si>
    <t>&gt; 20 мм (крупный)</t>
  </si>
  <si>
    <t>&lt; 5 мм (отсев)</t>
  </si>
  <si>
    <t>Цены</t>
  </si>
  <si>
    <t>Рядовой щебень</t>
  </si>
  <si>
    <t>Крупный</t>
  </si>
  <si>
    <t>Отсев</t>
  </si>
  <si>
    <t>Rev = CУММ(А(Итого)*Ц(Итого))</t>
  </si>
  <si>
    <t>А(Итого) = А(ПИ)*В(Итого)/100</t>
  </si>
  <si>
    <t>CУММ(А(Итого))</t>
  </si>
  <si>
    <t>А(ПИ)</t>
  </si>
  <si>
    <t>Выручка</t>
  </si>
  <si>
    <t>Фондоотдача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</si>
</sst>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0" tint="-4.9989318521683403E-2"/>
      <name val="Times New Roman"/>
      <family val="1"/>
      <charset val="204"/>
    </font>
    <font>
      <sz val="14"/>
      <color theme="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CC66"/>
      <color rgb="FFFF0000"/>
      <color rgb="FFFF99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Лист1!$F$7</c:f>
              <c:strCache>
                <c:ptCount val="1"/>
                <c:pt idx="0">
                  <c:v>Постоянные затраты</c:v>
                </c:pt>
              </c:strCache>
            </c:strRef>
          </c:tx>
          <c:xVal>
            <c:numRef>
              <c:f>Лист1!$G$6:$H$6</c:f>
              <c:numCache>
                <c:formatCode>General</c:formatCode>
                <c:ptCount val="2"/>
                <c:pt idx="0">
                  <c:v>0</c:v>
                </c:pt>
                <c:pt idx="1">
                  <c:v>6.2</c:v>
                </c:pt>
              </c:numCache>
            </c:numRef>
          </c:xVal>
          <c:yVal>
            <c:numRef>
              <c:f>Лист1!$G$7:$H$7</c:f>
              <c:numCache>
                <c:formatCode>General</c:formatCode>
                <c:ptCount val="2"/>
                <c:pt idx="0">
                  <c:v>60.789186520000001</c:v>
                </c:pt>
                <c:pt idx="1">
                  <c:v>60.789186520000001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BD-4383-94B1-D2DEE2441886}"/>
            </c:ext>
          </c:extLst>
        </c:ser>
        <c:ser>
          <c:idx val="1"/>
          <c:order val="1"/>
          <c:tx>
            <c:strRef>
              <c:f>Лист1!$F$8</c:f>
              <c:strCache>
                <c:ptCount val="1"/>
                <c:pt idx="0">
                  <c:v>Суммарные затраты</c:v>
                </c:pt>
              </c:strCache>
            </c:strRef>
          </c:tx>
          <c:xVal>
            <c:numRef>
              <c:f>Лист1!$G$6:$H$6</c:f>
              <c:numCache>
                <c:formatCode>General</c:formatCode>
                <c:ptCount val="2"/>
                <c:pt idx="0">
                  <c:v>0</c:v>
                </c:pt>
                <c:pt idx="1">
                  <c:v>6.2</c:v>
                </c:pt>
              </c:numCache>
            </c:numRef>
          </c:xVal>
          <c:yVal>
            <c:numRef>
              <c:f>Лист1!$G$8:$H$8</c:f>
              <c:numCache>
                <c:formatCode>General</c:formatCode>
                <c:ptCount val="2"/>
                <c:pt idx="0">
                  <c:v>60.789186520000001</c:v>
                </c:pt>
                <c:pt idx="1">
                  <c:v>2777.6472720000002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BD-4383-94B1-D2DEE2441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76096"/>
        <c:axId val="79877632"/>
      </c:scatterChart>
      <c:valAx>
        <c:axId val="7987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77632"/>
        <c:crosses val="autoZero"/>
        <c:crossBetween val="midCat"/>
      </c:valAx>
      <c:valAx>
        <c:axId val="7987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76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Лист2!$I$3</c:f>
              <c:strCache>
                <c:ptCount val="1"/>
                <c:pt idx="0">
                  <c:v>Постоянные затраты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Лист2!$J$2:$K$2</c:f>
              <c:numCache>
                <c:formatCode>General</c:formatCode>
                <c:ptCount val="2"/>
                <c:pt idx="0">
                  <c:v>0</c:v>
                </c:pt>
                <c:pt idx="1">
                  <c:v>6.2</c:v>
                </c:pt>
              </c:numCache>
            </c:numRef>
          </c:xVal>
          <c:yVal>
            <c:numRef>
              <c:f>Лист2!$J$3:$K$3</c:f>
              <c:numCache>
                <c:formatCode>0.00</c:formatCode>
                <c:ptCount val="2"/>
                <c:pt idx="0">
                  <c:v>60.789186520000001</c:v>
                </c:pt>
                <c:pt idx="1">
                  <c:v>60.789186520000001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14-4960-9E2C-B006FD9A029F}"/>
            </c:ext>
          </c:extLst>
        </c:ser>
        <c:ser>
          <c:idx val="1"/>
          <c:order val="1"/>
          <c:tx>
            <c:strRef>
              <c:f>Лист2!$I$4</c:f>
              <c:strCache>
                <c:ptCount val="1"/>
                <c:pt idx="0">
                  <c:v>Суммарные затраты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Лист2!$J$2:$K$2</c:f>
              <c:numCache>
                <c:formatCode>General</c:formatCode>
                <c:ptCount val="2"/>
                <c:pt idx="0">
                  <c:v>0</c:v>
                </c:pt>
                <c:pt idx="1">
                  <c:v>6.2</c:v>
                </c:pt>
              </c:numCache>
            </c:numRef>
          </c:xVal>
          <c:yVal>
            <c:numRef>
              <c:f>Лист2!$J$4:$K$4</c:f>
              <c:numCache>
                <c:formatCode>0.00</c:formatCode>
                <c:ptCount val="2"/>
                <c:pt idx="0">
                  <c:v>60.789186520000001</c:v>
                </c:pt>
                <c:pt idx="1">
                  <c:v>2777.6472720000002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14-4960-9E2C-B006FD9A029F}"/>
            </c:ext>
          </c:extLst>
        </c:ser>
        <c:ser>
          <c:idx val="2"/>
          <c:order val="2"/>
          <c:tx>
            <c:strRef>
              <c:f>Лист2!$I$5</c:f>
              <c:strCache>
                <c:ptCount val="1"/>
                <c:pt idx="0">
                  <c:v>Выручка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Лист2!$J$2:$K$2</c:f>
              <c:numCache>
                <c:formatCode>General</c:formatCode>
                <c:ptCount val="2"/>
                <c:pt idx="0">
                  <c:v>0</c:v>
                </c:pt>
                <c:pt idx="1">
                  <c:v>6.2</c:v>
                </c:pt>
              </c:numCache>
            </c:numRef>
          </c:xVal>
          <c:yVal>
            <c:numRef>
              <c:f>Лист2!$J$5:$K$5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3472.0590900000002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14-4960-9E2C-B006FD9A0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854808"/>
        <c:axId val="526850544"/>
      </c:scatterChart>
      <c:valAx>
        <c:axId val="5268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850544"/>
        <c:crosses val="autoZero"/>
        <c:crossBetween val="midCat"/>
      </c:valAx>
      <c:valAx>
        <c:axId val="5268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85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5</xdr:row>
      <xdr:rowOff>9525</xdr:rowOff>
    </xdr:from>
    <xdr:to>
      <xdr:col>18</xdr:col>
      <xdr:colOff>112059</xdr:colOff>
      <xdr:row>16</xdr:row>
      <xdr:rowOff>145676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228600</xdr:rowOff>
    </xdr:from>
    <xdr:to>
      <xdr:col>16</xdr:col>
      <xdr:colOff>114300</xdr:colOff>
      <xdr:row>20</xdr:row>
      <xdr:rowOff>209550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85" zoomScaleNormal="85" workbookViewId="0">
      <selection activeCell="H23" sqref="H23"/>
    </sheetView>
  </sheetViews>
  <sheetFormatPr defaultRowHeight="18.75" x14ac:dyDescent="0.25"/>
  <cols>
    <col min="1" max="1" width="10.28515625" style="1" customWidth="1"/>
    <col min="2" max="2" width="49.7109375" style="1" customWidth="1"/>
    <col min="3" max="3" width="26.140625" style="1" customWidth="1"/>
    <col min="4" max="4" width="22.7109375" style="1" customWidth="1"/>
    <col min="5" max="5" width="15.7109375" style="1" customWidth="1"/>
    <col min="6" max="6" width="17.140625" style="1" customWidth="1"/>
    <col min="7" max="16384" width="9.140625" style="1"/>
  </cols>
  <sheetData>
    <row r="1" spans="1:8" ht="19.5" thickBot="1" x14ac:dyDescent="0.3">
      <c r="A1" s="17" t="s">
        <v>0</v>
      </c>
      <c r="B1" s="18"/>
      <c r="C1" s="19"/>
    </row>
    <row r="2" spans="1:8" x14ac:dyDescent="0.25">
      <c r="A2" s="27" t="s">
        <v>1</v>
      </c>
      <c r="B2" s="27" t="s">
        <v>2</v>
      </c>
      <c r="C2" s="27" t="s">
        <v>3</v>
      </c>
    </row>
    <row r="3" spans="1:8" x14ac:dyDescent="0.25">
      <c r="A3" s="20" t="s">
        <v>4</v>
      </c>
      <c r="B3" s="20"/>
      <c r="C3" s="20"/>
    </row>
    <row r="4" spans="1:8" x14ac:dyDescent="0.25">
      <c r="A4" s="3" t="s">
        <v>5</v>
      </c>
      <c r="B4" s="2" t="s">
        <v>6</v>
      </c>
      <c r="C4" s="2">
        <f>(43.4+12.4+62)*1000000</f>
        <v>117800000</v>
      </c>
    </row>
    <row r="5" spans="1:8" x14ac:dyDescent="0.25">
      <c r="A5" s="3" t="s">
        <v>7</v>
      </c>
      <c r="B5" s="2" t="s">
        <v>12</v>
      </c>
      <c r="C5" s="2">
        <v>447666.57</v>
      </c>
    </row>
    <row r="6" spans="1:8" x14ac:dyDescent="0.25">
      <c r="A6" s="3" t="s">
        <v>8</v>
      </c>
      <c r="B6" s="2" t="s">
        <v>13</v>
      </c>
      <c r="C6" s="2">
        <f>2578216426</f>
        <v>2578216426</v>
      </c>
      <c r="F6" s="3"/>
      <c r="G6" s="3">
        <v>0</v>
      </c>
      <c r="H6" s="3">
        <v>6.2</v>
      </c>
    </row>
    <row r="7" spans="1:8" ht="37.5" x14ac:dyDescent="0.25">
      <c r="A7" s="3" t="s">
        <v>9</v>
      </c>
      <c r="B7" s="2" t="s">
        <v>14</v>
      </c>
      <c r="C7" s="2">
        <v>2668150</v>
      </c>
      <c r="F7" s="10" t="s">
        <v>23</v>
      </c>
      <c r="G7" s="2">
        <f>C15/1000000</f>
        <v>60.789186520000001</v>
      </c>
      <c r="H7" s="2">
        <f>G7</f>
        <v>60.789186520000001</v>
      </c>
    </row>
    <row r="8" spans="1:8" ht="37.5" x14ac:dyDescent="0.25">
      <c r="A8" s="3" t="s">
        <v>10</v>
      </c>
      <c r="B8" s="2" t="s">
        <v>15</v>
      </c>
      <c r="C8" s="2">
        <v>55842.91</v>
      </c>
      <c r="F8" s="10" t="s">
        <v>0</v>
      </c>
      <c r="G8" s="2">
        <f>G7</f>
        <v>60.789186520000001</v>
      </c>
      <c r="H8" s="2">
        <f>G8+C10/1000000</f>
        <v>2777.6472720000002</v>
      </c>
    </row>
    <row r="9" spans="1:8" ht="19.5" thickBot="1" x14ac:dyDescent="0.3">
      <c r="A9" s="8" t="s">
        <v>11</v>
      </c>
      <c r="B9" s="5" t="s">
        <v>16</v>
      </c>
      <c r="C9" s="5">
        <v>17670000</v>
      </c>
    </row>
    <row r="10" spans="1:8" ht="19.5" thickBot="1" x14ac:dyDescent="0.3">
      <c r="A10" s="9"/>
      <c r="B10" s="7" t="s">
        <v>21</v>
      </c>
      <c r="C10" s="6">
        <f>SUM(C4:C9)</f>
        <v>2716858085.48</v>
      </c>
    </row>
    <row r="11" spans="1:8" x14ac:dyDescent="0.25">
      <c r="A11" s="21" t="s">
        <v>17</v>
      </c>
      <c r="B11" s="21"/>
      <c r="C11" s="21"/>
    </row>
    <row r="12" spans="1:8" x14ac:dyDescent="0.25">
      <c r="A12" s="3" t="s">
        <v>5</v>
      </c>
      <c r="B12" s="2" t="s">
        <v>18</v>
      </c>
      <c r="C12" s="2">
        <f>(32+22.8+5.7)*1000000</f>
        <v>60500000</v>
      </c>
    </row>
    <row r="13" spans="1:8" ht="37.5" x14ac:dyDescent="0.25">
      <c r="A13" s="3" t="s">
        <v>7</v>
      </c>
      <c r="B13" s="4" t="s">
        <v>19</v>
      </c>
      <c r="C13" s="2">
        <f>111783.52+74803</f>
        <v>186586.52000000002</v>
      </c>
    </row>
    <row r="14" spans="1:8" ht="19.5" thickBot="1" x14ac:dyDescent="0.3">
      <c r="A14" s="8" t="s">
        <v>8</v>
      </c>
      <c r="B14" s="5" t="s">
        <v>20</v>
      </c>
      <c r="C14" s="5">
        <v>102600</v>
      </c>
    </row>
    <row r="15" spans="1:8" ht="19.5" thickBot="1" x14ac:dyDescent="0.3">
      <c r="A15" s="9"/>
      <c r="B15" s="7" t="s">
        <v>21</v>
      </c>
      <c r="C15" s="6">
        <f>SUM(C12:C14)</f>
        <v>60789186.520000003</v>
      </c>
    </row>
    <row r="16" spans="1:8" ht="19.5" thickBot="1" x14ac:dyDescent="0.3">
      <c r="A16" s="7"/>
      <c r="B16" s="7" t="s">
        <v>22</v>
      </c>
      <c r="C16" s="6">
        <f>C10+C15</f>
        <v>2777647272</v>
      </c>
    </row>
    <row r="19" spans="1:5" x14ac:dyDescent="0.25">
      <c r="A19" s="22" t="s">
        <v>24</v>
      </c>
      <c r="B19" s="22"/>
      <c r="C19" s="22"/>
      <c r="D19" s="22"/>
      <c r="E19" s="22"/>
    </row>
    <row r="20" spans="1:5" ht="37.5" x14ac:dyDescent="0.25">
      <c r="A20" s="27" t="s">
        <v>1</v>
      </c>
      <c r="B20" s="27" t="s">
        <v>2</v>
      </c>
      <c r="C20" s="27" t="s">
        <v>3</v>
      </c>
      <c r="D20" s="28" t="s">
        <v>25</v>
      </c>
      <c r="E20" s="28" t="s">
        <v>26</v>
      </c>
    </row>
    <row r="21" spans="1:5" x14ac:dyDescent="0.25">
      <c r="A21" s="3" t="s">
        <v>5</v>
      </c>
      <c r="B21" s="2" t="s">
        <v>27</v>
      </c>
      <c r="C21" s="2">
        <f>C4+C12</f>
        <v>178300000</v>
      </c>
      <c r="D21" s="2">
        <f>C21/6.2</f>
        <v>28758064.516129032</v>
      </c>
      <c r="E21" s="11">
        <f>D21/$D$25*100</f>
        <v>6.419101582744088</v>
      </c>
    </row>
    <row r="22" spans="1:5" x14ac:dyDescent="0.25">
      <c r="A22" s="3" t="s">
        <v>7</v>
      </c>
      <c r="B22" s="2" t="s">
        <v>28</v>
      </c>
      <c r="C22" s="2">
        <f>C5+C13</f>
        <v>634253.09000000008</v>
      </c>
      <c r="D22" s="2">
        <f t="shared" ref="D22:D24" si="0">C22/6.2</f>
        <v>102298.88548387098</v>
      </c>
      <c r="E22" s="11">
        <f t="shared" ref="E22:E24" si="1">D22/$D$25*100</f>
        <v>2.2834184037461187E-2</v>
      </c>
    </row>
    <row r="23" spans="1:5" x14ac:dyDescent="0.25">
      <c r="A23" s="3" t="s">
        <v>8</v>
      </c>
      <c r="B23" s="2" t="s">
        <v>13</v>
      </c>
      <c r="C23" s="2">
        <f>C6</f>
        <v>2578216426</v>
      </c>
      <c r="D23" s="2">
        <f t="shared" si="0"/>
        <v>415841359.03225803</v>
      </c>
      <c r="E23" s="11">
        <f t="shared" si="1"/>
        <v>92.820152219817203</v>
      </c>
    </row>
    <row r="24" spans="1:5" x14ac:dyDescent="0.25">
      <c r="A24" s="3" t="s">
        <v>9</v>
      </c>
      <c r="B24" s="2" t="s">
        <v>29</v>
      </c>
      <c r="C24" s="2">
        <f>C7+C8+C9+C14</f>
        <v>20496592.91</v>
      </c>
      <c r="D24" s="2">
        <f t="shared" si="0"/>
        <v>3305902.0822580643</v>
      </c>
      <c r="E24" s="11">
        <f t="shared" si="1"/>
        <v>0.73791201340124657</v>
      </c>
    </row>
    <row r="25" spans="1:5" x14ac:dyDescent="0.25">
      <c r="A25" s="3"/>
      <c r="B25" s="3" t="s">
        <v>21</v>
      </c>
      <c r="C25" s="2">
        <f>SUM(C21:C24)</f>
        <v>2777647272</v>
      </c>
      <c r="D25" s="2">
        <f>C25/6.2</f>
        <v>448007624.51612902</v>
      </c>
      <c r="E25" s="12">
        <f>SUM(E21:E24)</f>
        <v>100</v>
      </c>
    </row>
  </sheetData>
  <mergeCells count="4">
    <mergeCell ref="A1:C1"/>
    <mergeCell ref="A3:C3"/>
    <mergeCell ref="A11:C11"/>
    <mergeCell ref="A19:E19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7" workbookViewId="0">
      <selection activeCell="E21" sqref="E21"/>
    </sheetView>
  </sheetViews>
  <sheetFormatPr defaultRowHeight="18.75" x14ac:dyDescent="0.25"/>
  <cols>
    <col min="1" max="1" width="41.28515625" style="1" customWidth="1"/>
    <col min="2" max="2" width="13.85546875" style="1" customWidth="1"/>
    <col min="3" max="3" width="16.42578125" style="1" customWidth="1"/>
    <col min="4" max="4" width="15.7109375" style="1" customWidth="1"/>
    <col min="5" max="5" width="23.5703125" style="1" customWidth="1"/>
    <col min="6" max="6" width="16.42578125" style="1" customWidth="1"/>
    <col min="7" max="7" width="21.42578125" style="1" customWidth="1"/>
    <col min="8" max="8" width="9.140625" style="1"/>
    <col min="9" max="9" width="25.85546875" style="1" customWidth="1"/>
    <col min="10" max="10" width="9.140625" style="1"/>
    <col min="11" max="11" width="14.28515625" style="1" bestFit="1" customWidth="1"/>
    <col min="12" max="16384" width="9.140625" style="1"/>
  </cols>
  <sheetData>
    <row r="1" spans="1:11" x14ac:dyDescent="0.25">
      <c r="A1" s="23" t="s">
        <v>30</v>
      </c>
      <c r="B1" s="23"/>
      <c r="C1" s="23"/>
      <c r="D1" s="13"/>
      <c r="E1" s="13"/>
    </row>
    <row r="2" spans="1:11" x14ac:dyDescent="0.25">
      <c r="A2" s="26" t="s">
        <v>38</v>
      </c>
      <c r="B2" s="26" t="s">
        <v>36</v>
      </c>
      <c r="C2" s="26" t="s">
        <v>37</v>
      </c>
      <c r="I2" s="25" t="s">
        <v>55</v>
      </c>
      <c r="J2" s="16">
        <v>0</v>
      </c>
      <c r="K2" s="16">
        <v>6.2</v>
      </c>
    </row>
    <row r="3" spans="1:11" x14ac:dyDescent="0.25">
      <c r="A3" s="16" t="s">
        <v>31</v>
      </c>
      <c r="B3" s="15" t="s">
        <v>39</v>
      </c>
      <c r="C3" s="2">
        <v>0.25</v>
      </c>
      <c r="I3" s="33" t="s">
        <v>23</v>
      </c>
      <c r="J3" s="12">
        <f>Лист1!C15/1000000</f>
        <v>60.789186520000001</v>
      </c>
      <c r="K3" s="12">
        <f>J3</f>
        <v>60.789186520000001</v>
      </c>
    </row>
    <row r="4" spans="1:11" x14ac:dyDescent="0.25">
      <c r="A4" s="16" t="s">
        <v>32</v>
      </c>
      <c r="B4" s="2"/>
      <c r="C4" s="2">
        <f>Лист1!D25*Лист2!C6</f>
        <v>560009530.64516127</v>
      </c>
      <c r="I4" s="33" t="s">
        <v>0</v>
      </c>
      <c r="J4" s="12">
        <f>J3</f>
        <v>60.789186520000001</v>
      </c>
      <c r="K4" s="12">
        <f>J4+Лист1!C10/1000000</f>
        <v>2777.6472720000002</v>
      </c>
    </row>
    <row r="5" spans="1:11" x14ac:dyDescent="0.25">
      <c r="A5" s="16" t="s">
        <v>33</v>
      </c>
      <c r="B5" s="2"/>
      <c r="C5" s="2">
        <f>Лист1!D25</f>
        <v>448007624.51612902</v>
      </c>
      <c r="I5" s="25" t="s">
        <v>56</v>
      </c>
      <c r="J5" s="2">
        <v>0</v>
      </c>
      <c r="K5" s="12">
        <f>C7/10^6</f>
        <v>3472.0590900000002</v>
      </c>
    </row>
    <row r="6" spans="1:11" x14ac:dyDescent="0.25">
      <c r="A6" s="16" t="s">
        <v>34</v>
      </c>
      <c r="B6" s="2"/>
      <c r="C6" s="2">
        <v>1.25</v>
      </c>
    </row>
    <row r="7" spans="1:11" x14ac:dyDescent="0.25">
      <c r="A7" s="16" t="s">
        <v>35</v>
      </c>
      <c r="B7" s="2"/>
      <c r="C7" s="2">
        <f>6.2*C4</f>
        <v>3472059090</v>
      </c>
    </row>
    <row r="9" spans="1:11" x14ac:dyDescent="0.25">
      <c r="A9" s="24" t="s">
        <v>57</v>
      </c>
      <c r="B9" s="24"/>
      <c r="C9" s="24"/>
    </row>
    <row r="10" spans="1:11" x14ac:dyDescent="0.25">
      <c r="A10" s="26" t="s">
        <v>38</v>
      </c>
      <c r="B10" s="26" t="s">
        <v>36</v>
      </c>
      <c r="C10" s="26" t="s">
        <v>37</v>
      </c>
    </row>
    <row r="11" spans="1:11" x14ac:dyDescent="0.25">
      <c r="A11" s="16" t="s">
        <v>40</v>
      </c>
      <c r="B11" s="2"/>
      <c r="C11" s="2">
        <f>C7/1798000000</f>
        <v>1.9310673470522803</v>
      </c>
    </row>
    <row r="12" spans="1:11" x14ac:dyDescent="0.25">
      <c r="A12" s="16" t="s">
        <v>41</v>
      </c>
      <c r="B12" s="2"/>
      <c r="C12" s="2">
        <f>2578210000/C7</f>
        <v>0.74255936698358438</v>
      </c>
    </row>
    <row r="14" spans="1:11" x14ac:dyDescent="0.25">
      <c r="A14" s="25" t="s">
        <v>42</v>
      </c>
      <c r="B14" s="25" t="s">
        <v>43</v>
      </c>
      <c r="C14" s="25" t="s">
        <v>44</v>
      </c>
    </row>
    <row r="15" spans="1:11" x14ac:dyDescent="0.25">
      <c r="A15" s="2" t="s">
        <v>45</v>
      </c>
      <c r="B15" s="2">
        <f>(60-3)/100</f>
        <v>0.56999999999999995</v>
      </c>
      <c r="C15" s="2">
        <v>1000</v>
      </c>
    </row>
    <row r="16" spans="1:11" x14ac:dyDescent="0.25">
      <c r="A16" s="2" t="s">
        <v>46</v>
      </c>
      <c r="B16" s="2">
        <f>(30+3)/100</f>
        <v>0.33</v>
      </c>
      <c r="C16" s="2">
        <v>700</v>
      </c>
    </row>
    <row r="17" spans="1:7" x14ac:dyDescent="0.25">
      <c r="A17" s="2" t="s">
        <v>47</v>
      </c>
      <c r="B17" s="2">
        <f>2.9 *0.1</f>
        <v>0.28999999999999998</v>
      </c>
      <c r="C17" s="2">
        <v>200</v>
      </c>
    </row>
    <row r="19" spans="1:7" x14ac:dyDescent="0.25">
      <c r="A19" s="16" t="s">
        <v>48</v>
      </c>
      <c r="B19" s="16">
        <v>2024</v>
      </c>
      <c r="C19" s="16">
        <v>2025</v>
      </c>
      <c r="D19" s="16">
        <v>2026</v>
      </c>
      <c r="E19" s="16">
        <v>2027</v>
      </c>
    </row>
    <row r="20" spans="1:7" x14ac:dyDescent="0.25">
      <c r="A20" s="14" t="s">
        <v>49</v>
      </c>
      <c r="B20" s="2">
        <v>1000</v>
      </c>
      <c r="C20" s="2">
        <f>B20*102.9/100</f>
        <v>1029</v>
      </c>
      <c r="D20" s="2">
        <f>C20*102.8/100</f>
        <v>1057.8119999999999</v>
      </c>
      <c r="E20" s="2">
        <f>FORECAST(E19,B20:D20,B19:D19)</f>
        <v>1086.7493333333332</v>
      </c>
    </row>
    <row r="21" spans="1:7" x14ac:dyDescent="0.25">
      <c r="A21" s="16" t="s">
        <v>50</v>
      </c>
      <c r="B21" s="2">
        <v>700</v>
      </c>
      <c r="C21" s="2">
        <f>B21*102.9/100</f>
        <v>720.3</v>
      </c>
      <c r="D21" s="2">
        <f t="shared" ref="D21:D22" si="0">C21*102.8/100</f>
        <v>740.46839999999997</v>
      </c>
      <c r="E21" s="2">
        <f>FORECAST(E19,B21:D21,B19:D19)</f>
        <v>760.72453333333397</v>
      </c>
    </row>
    <row r="22" spans="1:7" x14ac:dyDescent="0.25">
      <c r="A22" s="16" t="s">
        <v>51</v>
      </c>
      <c r="B22" s="2">
        <v>200</v>
      </c>
      <c r="C22" s="2">
        <f>B22*102.9/100</f>
        <v>205.8</v>
      </c>
      <c r="D22" s="2">
        <f t="shared" si="0"/>
        <v>211.56240000000003</v>
      </c>
      <c r="E22" s="2">
        <f>FORECAST(E19,B22:D22,B19:D19)</f>
        <v>217.34986666666555</v>
      </c>
    </row>
    <row r="24" spans="1:7" x14ac:dyDescent="0.25">
      <c r="A24" s="16" t="s">
        <v>52</v>
      </c>
      <c r="B24" s="16"/>
      <c r="C24" s="16">
        <v>2024</v>
      </c>
      <c r="D24" s="16">
        <v>2025</v>
      </c>
      <c r="E24" s="29">
        <v>2026</v>
      </c>
      <c r="F24" s="16">
        <v>2027</v>
      </c>
      <c r="G24" s="31"/>
    </row>
    <row r="25" spans="1:7" x14ac:dyDescent="0.25">
      <c r="A25" s="16" t="s">
        <v>53</v>
      </c>
      <c r="B25" s="2">
        <f>6.2*10^6*B15</f>
        <v>3533999.9999999995</v>
      </c>
      <c r="C25" s="2">
        <f>B20*$B$25</f>
        <v>3533999999.9999995</v>
      </c>
      <c r="D25" s="2">
        <f>C20*$B$25</f>
        <v>3636485999.9999995</v>
      </c>
      <c r="E25" s="2">
        <f t="shared" ref="D25:F25" si="1">D20*$B$25</f>
        <v>3738307607.999999</v>
      </c>
      <c r="F25" s="2">
        <f t="shared" si="1"/>
        <v>3840572143.999999</v>
      </c>
      <c r="G25" s="16" t="s">
        <v>49</v>
      </c>
    </row>
    <row r="26" spans="1:7" x14ac:dyDescent="0.25">
      <c r="A26" s="16"/>
      <c r="B26" s="2">
        <f t="shared" ref="B26:B27" si="2">6.2*10^6*B16</f>
        <v>2046000</v>
      </c>
      <c r="C26" s="2">
        <f t="shared" ref="C26:F26" si="3">B21*$B$25</f>
        <v>2473799999.9999995</v>
      </c>
      <c r="D26" s="2">
        <f t="shared" si="3"/>
        <v>2545540199.9999995</v>
      </c>
      <c r="E26" s="2">
        <f t="shared" si="3"/>
        <v>2616815325.5999994</v>
      </c>
      <c r="F26" s="2">
        <f t="shared" si="3"/>
        <v>2688400500.8000021</v>
      </c>
      <c r="G26" s="16" t="s">
        <v>50</v>
      </c>
    </row>
    <row r="27" spans="1:7" x14ac:dyDescent="0.25">
      <c r="A27" s="16"/>
      <c r="B27" s="2">
        <f>6.2*10^6*B17</f>
        <v>1797999.9999999998</v>
      </c>
      <c r="C27" s="2">
        <f t="shared" ref="C27:F27" si="4">B22*$B$25</f>
        <v>706799999.99999988</v>
      </c>
      <c r="D27" s="2">
        <f t="shared" si="4"/>
        <v>727297200</v>
      </c>
      <c r="E27" s="2">
        <f t="shared" si="4"/>
        <v>747661521.60000002</v>
      </c>
      <c r="F27" s="2">
        <f t="shared" si="4"/>
        <v>768114428.7999959</v>
      </c>
      <c r="G27" s="16" t="s">
        <v>51</v>
      </c>
    </row>
    <row r="28" spans="1:7" x14ac:dyDescent="0.25">
      <c r="A28" s="26" t="s">
        <v>54</v>
      </c>
      <c r="B28" s="30">
        <f>SUM(B25:B27)</f>
        <v>7378000</v>
      </c>
      <c r="C28" s="32">
        <f t="shared" ref="C28:F28" si="5">SUM(C25:C27)</f>
        <v>6714599999.999999</v>
      </c>
      <c r="D28" s="32">
        <f t="shared" si="5"/>
        <v>6909323399.999999</v>
      </c>
      <c r="E28" s="32">
        <f t="shared" si="5"/>
        <v>7102784455.1999989</v>
      </c>
      <c r="F28" s="32">
        <f t="shared" si="5"/>
        <v>7297087073.5999966</v>
      </c>
      <c r="G28" s="31"/>
    </row>
  </sheetData>
  <mergeCells count="2">
    <mergeCell ref="A1:C1"/>
    <mergeCell ref="A9:C9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2024-12-02T19:11:18Z</dcterms:modified>
</cp:coreProperties>
</file>