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c\5 семак\Экономика предприятия\"/>
    </mc:Choice>
  </mc:AlternateContent>
  <bookViews>
    <workbookView xWindow="-105" yWindow="-105" windowWidth="23250" windowHeight="1245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3" l="1"/>
  <c r="B30" i="2"/>
  <c r="K10" i="2"/>
  <c r="J9" i="2"/>
  <c r="F9" i="2"/>
  <c r="K9" i="2"/>
  <c r="K25" i="3" l="1"/>
  <c r="I25" i="3"/>
  <c r="G25" i="3"/>
  <c r="E25" i="3"/>
  <c r="C25" i="3"/>
  <c r="E24" i="3"/>
  <c r="E23" i="3"/>
  <c r="B17" i="3"/>
  <c r="B16" i="3"/>
  <c r="B18" i="3"/>
  <c r="B15" i="3"/>
  <c r="H82" i="2" l="1"/>
  <c r="G93" i="2"/>
  <c r="H93" i="2" s="1"/>
  <c r="G92" i="2"/>
  <c r="H92" i="2" s="1"/>
  <c r="G91" i="2"/>
  <c r="H91" i="2" s="1"/>
  <c r="G82" i="2"/>
  <c r="H83" i="2"/>
  <c r="H84" i="2"/>
  <c r="H85" i="2"/>
  <c r="H86" i="2"/>
  <c r="H87" i="2"/>
  <c r="H88" i="2"/>
  <c r="H89" i="2"/>
  <c r="H90" i="2"/>
  <c r="F84" i="2"/>
  <c r="F85" i="2"/>
  <c r="F86" i="2"/>
  <c r="F87" i="2"/>
  <c r="F88" i="2"/>
  <c r="F89" i="2"/>
  <c r="F90" i="2"/>
  <c r="F91" i="2"/>
  <c r="F92" i="2"/>
  <c r="F93" i="2"/>
  <c r="F83" i="2"/>
  <c r="G83" i="2" s="1"/>
  <c r="F82" i="2"/>
  <c r="B67" i="2"/>
  <c r="B69" i="2"/>
  <c r="C87" i="2"/>
  <c r="J87" i="2" s="1"/>
  <c r="C66" i="2"/>
  <c r="B88" i="2"/>
  <c r="J88" i="2" s="1"/>
  <c r="H57" i="2"/>
  <c r="H75" i="2"/>
  <c r="H64" i="2"/>
  <c r="H65" i="2"/>
  <c r="H66" i="2"/>
  <c r="H67" i="2"/>
  <c r="H68" i="2"/>
  <c r="H69" i="2"/>
  <c r="H70" i="2"/>
  <c r="H71" i="2"/>
  <c r="H72" i="2"/>
  <c r="H73" i="2"/>
  <c r="H74" i="2"/>
  <c r="H63" i="2"/>
  <c r="B83" i="2"/>
  <c r="B84" i="2"/>
  <c r="B85" i="2"/>
  <c r="B86" i="2"/>
  <c r="B94" i="2" s="1"/>
  <c r="B87" i="2"/>
  <c r="B89" i="2"/>
  <c r="J89" i="2" s="1"/>
  <c r="B90" i="2"/>
  <c r="J90" i="2" s="1"/>
  <c r="B91" i="2"/>
  <c r="B92" i="2"/>
  <c r="B93" i="2"/>
  <c r="B82" i="2"/>
  <c r="E94" i="2"/>
  <c r="D94" i="2"/>
  <c r="J93" i="2"/>
  <c r="J92" i="2"/>
  <c r="J91" i="2"/>
  <c r="J86" i="2"/>
  <c r="J85" i="2"/>
  <c r="J84" i="2"/>
  <c r="J83" i="2"/>
  <c r="H94" i="2" l="1"/>
  <c r="I83" i="2"/>
  <c r="C94" i="2"/>
  <c r="J82" i="2"/>
  <c r="J94" i="2" s="1"/>
  <c r="K82" i="2"/>
  <c r="K83" i="2" l="1"/>
  <c r="K84" i="2" s="1"/>
  <c r="K85" i="2" l="1"/>
  <c r="G84" i="2"/>
  <c r="I84" i="2" s="1"/>
  <c r="K86" i="2" l="1"/>
  <c r="I82" i="2"/>
  <c r="K87" i="2" l="1"/>
  <c r="G86" i="2"/>
  <c r="I86" i="2" s="1"/>
  <c r="G85" i="2"/>
  <c r="G87" i="2" l="1"/>
  <c r="I87" i="2" s="1"/>
  <c r="K88" i="2"/>
  <c r="I85" i="2"/>
  <c r="G88" i="2" l="1"/>
  <c r="I88" i="2" s="1"/>
  <c r="K89" i="2"/>
  <c r="K90" i="2" l="1"/>
  <c r="G89" i="2"/>
  <c r="I89" i="2" s="1"/>
  <c r="G90" i="2" l="1"/>
  <c r="I90" i="2" s="1"/>
  <c r="K91" i="2"/>
  <c r="I91" i="2" l="1"/>
  <c r="K92" i="2"/>
  <c r="I92" i="2" l="1"/>
  <c r="K93" i="2"/>
  <c r="F94" i="2" l="1"/>
  <c r="I93" i="2" l="1"/>
  <c r="I94" i="2" s="1"/>
  <c r="G94" i="2"/>
  <c r="F64" i="2" l="1"/>
  <c r="G64" i="2" s="1"/>
  <c r="F63" i="2"/>
  <c r="F45" i="2"/>
  <c r="B71" i="2"/>
  <c r="J71" i="2" s="1"/>
  <c r="B65" i="2"/>
  <c r="J69" i="2"/>
  <c r="J74" i="2"/>
  <c r="B74" i="2"/>
  <c r="B73" i="2"/>
  <c r="B72" i="2"/>
  <c r="J72" i="2" s="1"/>
  <c r="E75" i="2"/>
  <c r="D75" i="2"/>
  <c r="J70" i="2"/>
  <c r="B70" i="2"/>
  <c r="B68" i="2"/>
  <c r="J68" i="2" s="1"/>
  <c r="J67" i="2"/>
  <c r="J66" i="2"/>
  <c r="B66" i="2"/>
  <c r="J65" i="2"/>
  <c r="B64" i="2"/>
  <c r="B63" i="2"/>
  <c r="K63" i="2" s="1"/>
  <c r="F47" i="2"/>
  <c r="F46" i="2"/>
  <c r="G46" i="2" s="1"/>
  <c r="F27" i="2"/>
  <c r="G27" i="2" s="1"/>
  <c r="E53" i="2"/>
  <c r="E57" i="2" s="1"/>
  <c r="D53" i="2"/>
  <c r="D30" i="2"/>
  <c r="B53" i="2"/>
  <c r="J53" i="2"/>
  <c r="B56" i="2"/>
  <c r="B47" i="2"/>
  <c r="J47" i="2" s="1"/>
  <c r="J56" i="2"/>
  <c r="B48" i="2"/>
  <c r="C46" i="2"/>
  <c r="B29" i="2"/>
  <c r="J29" i="2" s="1"/>
  <c r="J30" i="2"/>
  <c r="B38" i="2"/>
  <c r="J38" i="2"/>
  <c r="C9" i="2"/>
  <c r="B9" i="2"/>
  <c r="C57" i="2"/>
  <c r="B55" i="2"/>
  <c r="J55" i="2" s="1"/>
  <c r="J54" i="2"/>
  <c r="B54" i="2"/>
  <c r="B52" i="2"/>
  <c r="J52" i="2" s="1"/>
  <c r="B51" i="2"/>
  <c r="J51" i="2" s="1"/>
  <c r="J50" i="2"/>
  <c r="B50" i="2"/>
  <c r="J49" i="2"/>
  <c r="B49" i="2"/>
  <c r="D57" i="2"/>
  <c r="J48" i="2"/>
  <c r="K46" i="2"/>
  <c r="J46" i="2"/>
  <c r="B46" i="2"/>
  <c r="K45" i="2"/>
  <c r="J45" i="2"/>
  <c r="B45" i="2"/>
  <c r="F28" i="2"/>
  <c r="E30" i="2"/>
  <c r="C37" i="2"/>
  <c r="B27" i="2"/>
  <c r="C39" i="2"/>
  <c r="E39" i="2"/>
  <c r="D39" i="2"/>
  <c r="B37" i="2"/>
  <c r="J37" i="2" s="1"/>
  <c r="J36" i="2"/>
  <c r="B36" i="2"/>
  <c r="J35" i="2"/>
  <c r="B35" i="2"/>
  <c r="B34" i="2"/>
  <c r="J34" i="2" s="1"/>
  <c r="B33" i="2"/>
  <c r="J33" i="2" s="1"/>
  <c r="J32" i="2"/>
  <c r="B32" i="2"/>
  <c r="J31" i="2"/>
  <c r="B31" i="2"/>
  <c r="J28" i="2"/>
  <c r="B28" i="2"/>
  <c r="K11" i="2"/>
  <c r="K12" i="2" s="1"/>
  <c r="K13" i="2" s="1"/>
  <c r="K14" i="2" s="1"/>
  <c r="K15" i="2" s="1"/>
  <c r="K16" i="2" s="1"/>
  <c r="K17" i="2" s="1"/>
  <c r="K18" i="2" s="1"/>
  <c r="K19" i="2" s="1"/>
  <c r="K20" i="2" s="1"/>
  <c r="J10" i="2"/>
  <c r="J21" i="2" s="1"/>
  <c r="C23" i="3" s="1"/>
  <c r="J11" i="2"/>
  <c r="J12" i="2"/>
  <c r="J13" i="2"/>
  <c r="J14" i="2"/>
  <c r="J15" i="2"/>
  <c r="J16" i="2"/>
  <c r="J17" i="2"/>
  <c r="J18" i="2"/>
  <c r="J19" i="2"/>
  <c r="J20" i="2"/>
  <c r="G9" i="2"/>
  <c r="I9" i="2" s="1"/>
  <c r="I21" i="2" s="1"/>
  <c r="I10" i="2"/>
  <c r="I11" i="2"/>
  <c r="I12" i="2"/>
  <c r="I13" i="2"/>
  <c r="I14" i="2"/>
  <c r="I15" i="2"/>
  <c r="I16" i="2"/>
  <c r="I17" i="2"/>
  <c r="I18" i="2"/>
  <c r="I19" i="2"/>
  <c r="I20" i="2"/>
  <c r="H21" i="2"/>
  <c r="G10" i="2"/>
  <c r="G11" i="2"/>
  <c r="G12" i="2"/>
  <c r="G13" i="2"/>
  <c r="G14" i="2"/>
  <c r="G15" i="2"/>
  <c r="G16" i="2"/>
  <c r="G17" i="2"/>
  <c r="G18" i="2"/>
  <c r="G19" i="2"/>
  <c r="G20" i="2"/>
  <c r="C21" i="2"/>
  <c r="D21" i="2"/>
  <c r="E21" i="2"/>
  <c r="F10" i="2"/>
  <c r="F11" i="2"/>
  <c r="F12" i="2"/>
  <c r="F13" i="2"/>
  <c r="F14" i="2"/>
  <c r="F15" i="2"/>
  <c r="F16" i="2"/>
  <c r="F17" i="2"/>
  <c r="F18" i="2"/>
  <c r="F19" i="2"/>
  <c r="F20" i="2"/>
  <c r="B21" i="2"/>
  <c r="B11" i="2"/>
  <c r="B12" i="2"/>
  <c r="B13" i="2"/>
  <c r="B14" i="2"/>
  <c r="B15" i="2"/>
  <c r="B16" i="2"/>
  <c r="B17" i="2"/>
  <c r="B18" i="2"/>
  <c r="B19" i="2"/>
  <c r="B20" i="2"/>
  <c r="B10" i="2"/>
  <c r="I23" i="3" l="1"/>
  <c r="B19" i="3"/>
  <c r="C24" i="3"/>
  <c r="G23" i="3"/>
  <c r="K23" i="3" s="1"/>
  <c r="G21" i="2"/>
  <c r="K64" i="2"/>
  <c r="K65" i="2" s="1"/>
  <c r="I64" i="2"/>
  <c r="J64" i="2"/>
  <c r="B75" i="2"/>
  <c r="J63" i="2"/>
  <c r="C75" i="2"/>
  <c r="J73" i="2"/>
  <c r="H39" i="2"/>
  <c r="K47" i="2"/>
  <c r="B57" i="2"/>
  <c r="J57" i="2"/>
  <c r="I46" i="2"/>
  <c r="G45" i="2"/>
  <c r="K48" i="2"/>
  <c r="G47" i="2"/>
  <c r="I47" i="2" s="1"/>
  <c r="J27" i="2"/>
  <c r="K27" i="2"/>
  <c r="K28" i="2" s="1"/>
  <c r="K29" i="2" s="1"/>
  <c r="J39" i="2"/>
  <c r="G28" i="2"/>
  <c r="I28" i="2" s="1"/>
  <c r="B39" i="2"/>
  <c r="F21" i="2"/>
  <c r="G24" i="3" l="1"/>
  <c r="I24" i="3"/>
  <c r="K24" i="3"/>
  <c r="G63" i="2"/>
  <c r="F65" i="2"/>
  <c r="G65" i="2" s="1"/>
  <c r="I65" i="2" s="1"/>
  <c r="K66" i="2"/>
  <c r="J75" i="2"/>
  <c r="K30" i="2"/>
  <c r="F29" i="2"/>
  <c r="G29" i="2" s="1"/>
  <c r="I29" i="2" s="1"/>
  <c r="K49" i="2"/>
  <c r="F48" i="2"/>
  <c r="G48" i="2" s="1"/>
  <c r="I48" i="2" s="1"/>
  <c r="I45" i="2"/>
  <c r="I27" i="2"/>
  <c r="K67" i="2" l="1"/>
  <c r="F66" i="2"/>
  <c r="G66" i="2" s="1"/>
  <c r="I66" i="2" s="1"/>
  <c r="I63" i="2"/>
  <c r="K31" i="2"/>
  <c r="F30" i="2"/>
  <c r="G30" i="2" s="1"/>
  <c r="I30" i="2" s="1"/>
  <c r="F49" i="2"/>
  <c r="G49" i="2" s="1"/>
  <c r="I49" i="2" s="1"/>
  <c r="K50" i="2"/>
  <c r="F67" i="2" l="1"/>
  <c r="K68" i="2"/>
  <c r="K32" i="2"/>
  <c r="F31" i="2"/>
  <c r="K51" i="2"/>
  <c r="F50" i="2"/>
  <c r="G50" i="2" s="1"/>
  <c r="I50" i="2" s="1"/>
  <c r="G67" i="2" l="1"/>
  <c r="F68" i="2"/>
  <c r="G68" i="2" s="1"/>
  <c r="I68" i="2" s="1"/>
  <c r="K69" i="2"/>
  <c r="G31" i="2"/>
  <c r="K33" i="2"/>
  <c r="F32" i="2"/>
  <c r="G32" i="2" s="1"/>
  <c r="I32" i="2" s="1"/>
  <c r="K52" i="2"/>
  <c r="F51" i="2"/>
  <c r="I67" i="2" l="1"/>
  <c r="F69" i="2"/>
  <c r="G69" i="2" s="1"/>
  <c r="I69" i="2" s="1"/>
  <c r="K70" i="2"/>
  <c r="K34" i="2"/>
  <c r="F33" i="2"/>
  <c r="G33" i="2" s="1"/>
  <c r="I33" i="2" s="1"/>
  <c r="I31" i="2"/>
  <c r="G51" i="2"/>
  <c r="K53" i="2"/>
  <c r="F52" i="2"/>
  <c r="G52" i="2" s="1"/>
  <c r="I52" i="2" s="1"/>
  <c r="K71" i="2" l="1"/>
  <c r="F70" i="2"/>
  <c r="K35" i="2"/>
  <c r="F34" i="2"/>
  <c r="I51" i="2"/>
  <c r="F53" i="2"/>
  <c r="G53" i="2" s="1"/>
  <c r="I53" i="2" s="1"/>
  <c r="K54" i="2"/>
  <c r="K72" i="2" l="1"/>
  <c r="F71" i="2"/>
  <c r="G71" i="2" s="1"/>
  <c r="I71" i="2" s="1"/>
  <c r="G70" i="2"/>
  <c r="G34" i="2"/>
  <c r="K36" i="2"/>
  <c r="F35" i="2"/>
  <c r="G35" i="2" s="1"/>
  <c r="I35" i="2" s="1"/>
  <c r="F54" i="2"/>
  <c r="G54" i="2" s="1"/>
  <c r="I54" i="2" s="1"/>
  <c r="K55" i="2"/>
  <c r="K73" i="2" l="1"/>
  <c r="F72" i="2"/>
  <c r="G72" i="2" s="1"/>
  <c r="I72" i="2" s="1"/>
  <c r="I70" i="2"/>
  <c r="K37" i="2"/>
  <c r="F36" i="2"/>
  <c r="G36" i="2" s="1"/>
  <c r="I36" i="2" s="1"/>
  <c r="I34" i="2"/>
  <c r="K56" i="2"/>
  <c r="F56" i="2" s="1"/>
  <c r="F55" i="2"/>
  <c r="G55" i="2" s="1"/>
  <c r="I55" i="2" s="1"/>
  <c r="F73" i="2" l="1"/>
  <c r="G73" i="2" s="1"/>
  <c r="I73" i="2" s="1"/>
  <c r="K74" i="2"/>
  <c r="F74" i="2" s="1"/>
  <c r="K38" i="2"/>
  <c r="F38" i="2" s="1"/>
  <c r="F37" i="2"/>
  <c r="G37" i="2" s="1"/>
  <c r="G56" i="2"/>
  <c r="F57" i="2"/>
  <c r="G74" i="2" l="1"/>
  <c r="I74" i="2" s="1"/>
  <c r="I75" i="2" s="1"/>
  <c r="F75" i="2"/>
  <c r="G38" i="2"/>
  <c r="I38" i="2" s="1"/>
  <c r="F39" i="2"/>
  <c r="I37" i="2"/>
  <c r="I56" i="2"/>
  <c r="I57" i="2" s="1"/>
  <c r="G57" i="2"/>
  <c r="G75" i="2" l="1"/>
  <c r="I39" i="2"/>
  <c r="G39" i="2"/>
</calcChain>
</file>

<file path=xl/sharedStrings.xml><?xml version="1.0" encoding="utf-8"?>
<sst xmlns="http://schemas.openxmlformats.org/spreadsheetml/2006/main" count="157" uniqueCount="75">
  <si>
    <t>Расчёт фонда оплаты труда работников предприятия и социальных отчислений</t>
  </si>
  <si>
    <t>Исходные данные</t>
  </si>
  <si>
    <t>Раб.1</t>
  </si>
  <si>
    <t>Раб.2</t>
  </si>
  <si>
    <t>Раб.3</t>
  </si>
  <si>
    <t>Раб.4</t>
  </si>
  <si>
    <t>Больничный</t>
  </si>
  <si>
    <t>Стаж</t>
  </si>
  <si>
    <t>Дети</t>
  </si>
  <si>
    <t>Рук</t>
  </si>
  <si>
    <t>-</t>
  </si>
  <si>
    <t>1+1А</t>
  </si>
  <si>
    <t>2А</t>
  </si>
  <si>
    <t>Отпуск, месяц</t>
  </si>
  <si>
    <t>Зарплата 200+№В, тыс. руб.</t>
  </si>
  <si>
    <t>Рабочие</t>
  </si>
  <si>
    <t>Руководитель</t>
  </si>
  <si>
    <t>Зарплата 500+№В, тыс. руб.</t>
  </si>
  <si>
    <t>Ход работы</t>
  </si>
  <si>
    <t>Месяц</t>
  </si>
  <si>
    <t>Итого</t>
  </si>
  <si>
    <t>З/П</t>
  </si>
  <si>
    <t>Отпускной</t>
  </si>
  <si>
    <t>3 дня</t>
  </si>
  <si>
    <t>ФСС</t>
  </si>
  <si>
    <t>тыс.руб</t>
  </si>
  <si>
    <t>НДФЛ</t>
  </si>
  <si>
    <t>Налогооблагаемая база</t>
  </si>
  <si>
    <t>Алименты</t>
  </si>
  <si>
    <t>Сумма на руки</t>
  </si>
  <si>
    <t>Фонд заработной платы</t>
  </si>
  <si>
    <t>Суммарный ФЗП</t>
  </si>
  <si>
    <t>З/П=Оклад*(Время отраб/Время календарное)</t>
  </si>
  <si>
    <t>Дополнительная информация</t>
  </si>
  <si>
    <t>Отпускные = (З/Пгодовая/12)*(1/29,3)*Дней отпуска (28)</t>
  </si>
  <si>
    <t>Работник 1</t>
  </si>
  <si>
    <t>СУММ(п1:п4)</t>
  </si>
  <si>
    <t>Бдн=(З/Пгода/730)&lt;=Бмакс</t>
  </si>
  <si>
    <t>Больничный=Больничный дневной(средний дневной зарабаток)*Кол-во дней*Коэф. Стажа</t>
  </si>
  <si>
    <t xml:space="preserve"> Коэф. Стажа: Если стаж &gt;=5 лет = 0,66</t>
  </si>
  <si>
    <t>Работник 2</t>
  </si>
  <si>
    <t>Коэф. Стажа: Если стажа &lt;= 5 лет = 0,66</t>
  </si>
  <si>
    <t>Коэф. Стажа: Если стажа от 5 лет до 8 = 0,8</t>
  </si>
  <si>
    <t>Работник 3</t>
  </si>
  <si>
    <t>1 - ребёнок Ка = 0,25</t>
  </si>
  <si>
    <t>2 - ребёнок Ка = 0,33</t>
  </si>
  <si>
    <t>3 - ребёнок Ка = 0,5</t>
  </si>
  <si>
    <t>Алименты = (З/П+Отп+Бз+Бфсс)*Ка*НДФЛ(0,87)</t>
  </si>
  <si>
    <t>Работник 4</t>
  </si>
  <si>
    <t xml:space="preserve">Списочный состав работника </t>
  </si>
  <si>
    <t>Числинность списочная = Численность явочная *Коэф сп</t>
  </si>
  <si>
    <t>Фсп = Фяв*Ксп=СУММ(Кол-во оборудования*Количество рабочих)*Ксп</t>
  </si>
  <si>
    <t>Фонд рабочего времени = Фонд номинальный - Фонд неявка</t>
  </si>
  <si>
    <t>Кол-во оборудования - ПР 1</t>
  </si>
  <si>
    <t>Количество рабочих - 1-2</t>
  </si>
  <si>
    <t>Время раб. = 350</t>
  </si>
  <si>
    <t>Ксп = Время раб. * количество смен в сутки * Время смен/Фонд рабочего времени (Фрв)</t>
  </si>
  <si>
    <t>Фонд рабочего времени = 12</t>
  </si>
  <si>
    <t>Фонд номинальный = 1980ч</t>
  </si>
  <si>
    <t>Фонд неявка = 256+96(~КС)</t>
  </si>
  <si>
    <t>Количество смен в сутки = 2</t>
  </si>
  <si>
    <t>Расчет</t>
  </si>
  <si>
    <t>Чяв:</t>
  </si>
  <si>
    <t>Ксп:</t>
  </si>
  <si>
    <t>Фрв:</t>
  </si>
  <si>
    <t>Чсп</t>
  </si>
  <si>
    <t>Категория сотрудника</t>
  </si>
  <si>
    <t>Средний ФЗП</t>
  </si>
  <si>
    <t>Кол-во сотрудников</t>
  </si>
  <si>
    <t>Социальные взносы ФСР</t>
  </si>
  <si>
    <t>Основные раб.</t>
  </si>
  <si>
    <t>ИТР и Вспом. персонал</t>
  </si>
  <si>
    <t>Соц:</t>
  </si>
  <si>
    <t>ФСС травмы  ( Au-&gt;3,7 )</t>
  </si>
  <si>
    <t>Сумм_Фот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</si>
</sst>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7" borderId="0" xfId="0" applyFill="1" applyAlignment="1">
      <alignment vertical="center"/>
    </xf>
    <xf numFmtId="2" fontId="0" fillId="11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2" fontId="0" fillId="1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2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  <color rgb="FFCCFF6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H26" sqref="H26"/>
    </sheetView>
  </sheetViews>
  <sheetFormatPr defaultRowHeight="15" x14ac:dyDescent="0.25"/>
  <sheetData>
    <row r="1" spans="1:23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9"/>
      <c r="V1" s="9"/>
      <c r="W1" s="9"/>
    </row>
    <row r="3" spans="1:23" x14ac:dyDescent="0.25">
      <c r="A3" s="20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3" x14ac:dyDescent="0.25">
      <c r="A4" s="27" t="s">
        <v>13</v>
      </c>
      <c r="B4" s="27"/>
      <c r="C4" s="27"/>
      <c r="D4" s="27"/>
      <c r="E4" s="27"/>
      <c r="F4" s="19" t="s">
        <v>6</v>
      </c>
      <c r="G4" s="19"/>
      <c r="H4" s="19"/>
      <c r="I4" s="19"/>
      <c r="J4" s="19"/>
      <c r="K4" s="28" t="s">
        <v>7</v>
      </c>
      <c r="L4" s="28"/>
      <c r="M4" s="28"/>
      <c r="N4" s="28"/>
      <c r="O4" s="28"/>
      <c r="P4" s="29" t="s">
        <v>8</v>
      </c>
      <c r="Q4" s="29"/>
      <c r="R4" s="29"/>
      <c r="S4" s="29"/>
      <c r="T4" s="29"/>
    </row>
    <row r="5" spans="1:23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9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9</v>
      </c>
      <c r="K5" s="6" t="s">
        <v>2</v>
      </c>
      <c r="L5" s="6" t="s">
        <v>3</v>
      </c>
      <c r="M5" s="6" t="s">
        <v>4</v>
      </c>
      <c r="N5" s="6" t="s">
        <v>5</v>
      </c>
      <c r="O5" s="6" t="s">
        <v>9</v>
      </c>
      <c r="P5" s="7" t="s">
        <v>2</v>
      </c>
      <c r="Q5" s="7" t="s">
        <v>3</v>
      </c>
      <c r="R5" s="7" t="s">
        <v>4</v>
      </c>
      <c r="S5" s="7" t="s">
        <v>5</v>
      </c>
      <c r="T5" s="7" t="s">
        <v>9</v>
      </c>
    </row>
    <row r="6" spans="1:23" x14ac:dyDescent="0.25">
      <c r="A6" s="2">
        <v>1</v>
      </c>
      <c r="B6" s="2">
        <v>12</v>
      </c>
      <c r="C6" s="2">
        <v>3</v>
      </c>
      <c r="D6" s="2">
        <v>5</v>
      </c>
      <c r="E6" s="2">
        <v>7</v>
      </c>
      <c r="F6" s="2" t="s">
        <v>10</v>
      </c>
      <c r="G6" s="8">
        <v>41730</v>
      </c>
      <c r="H6" s="8">
        <v>41883</v>
      </c>
      <c r="I6" s="2" t="s">
        <v>10</v>
      </c>
      <c r="J6" s="2" t="s">
        <v>10</v>
      </c>
      <c r="K6" s="2">
        <v>2</v>
      </c>
      <c r="L6" s="2">
        <v>6</v>
      </c>
      <c r="M6" s="2">
        <v>9</v>
      </c>
      <c r="N6" s="2">
        <v>12</v>
      </c>
      <c r="O6" s="2">
        <v>15</v>
      </c>
      <c r="P6" s="2">
        <v>0</v>
      </c>
      <c r="Q6" s="2">
        <v>1</v>
      </c>
      <c r="R6" s="2">
        <v>3</v>
      </c>
      <c r="S6" s="2" t="s">
        <v>11</v>
      </c>
      <c r="T6" s="2" t="s">
        <v>12</v>
      </c>
    </row>
    <row r="8" spans="1:23" x14ac:dyDescent="0.25">
      <c r="A8" s="23" t="s">
        <v>15</v>
      </c>
      <c r="B8" s="23"/>
      <c r="C8" s="23"/>
      <c r="D8" s="23"/>
    </row>
    <row r="9" spans="1:23" x14ac:dyDescent="0.25">
      <c r="A9" s="22" t="s">
        <v>14</v>
      </c>
      <c r="B9" s="22"/>
      <c r="C9" s="22"/>
      <c r="D9" s="2">
        <v>213</v>
      </c>
    </row>
    <row r="10" spans="1:23" x14ac:dyDescent="0.25">
      <c r="A10" s="24" t="s">
        <v>16</v>
      </c>
      <c r="B10" s="25"/>
      <c r="C10" s="25"/>
      <c r="D10" s="26"/>
    </row>
    <row r="11" spans="1:23" x14ac:dyDescent="0.25">
      <c r="A11" s="22" t="s">
        <v>17</v>
      </c>
      <c r="B11" s="22"/>
      <c r="C11" s="22"/>
      <c r="D11" s="2">
        <v>513</v>
      </c>
    </row>
  </sheetData>
  <mergeCells count="10">
    <mergeCell ref="A1:T1"/>
    <mergeCell ref="A3:T3"/>
    <mergeCell ref="A9:C9"/>
    <mergeCell ref="A11:C11"/>
    <mergeCell ref="A8:D8"/>
    <mergeCell ref="A10:D10"/>
    <mergeCell ref="A4:E4"/>
    <mergeCell ref="F4:J4"/>
    <mergeCell ref="K4:O4"/>
    <mergeCell ref="P4:T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topLeftCell="A67" workbookViewId="0">
      <selection activeCell="O80" sqref="O80"/>
    </sheetView>
  </sheetViews>
  <sheetFormatPr defaultRowHeight="15" x14ac:dyDescent="0.25"/>
  <cols>
    <col min="3" max="3" width="10" customWidth="1"/>
    <col min="6" max="6" width="20" customWidth="1"/>
    <col min="8" max="8" width="12" customWidth="1"/>
    <col min="10" max="10" width="14.85546875" customWidth="1"/>
    <col min="11" max="11" width="12.7109375" customWidth="1"/>
  </cols>
  <sheetData>
    <row r="1" spans="1:23" x14ac:dyDescent="0.25">
      <c r="A1" s="38" t="s">
        <v>18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5" spans="1:23" x14ac:dyDescent="0.25">
      <c r="A5" s="32" t="s">
        <v>35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23" x14ac:dyDescent="0.25">
      <c r="A6" t="s">
        <v>25</v>
      </c>
    </row>
    <row r="7" spans="1:23" x14ac:dyDescent="0.25">
      <c r="A7" s="23" t="s">
        <v>19</v>
      </c>
      <c r="B7" s="23" t="s">
        <v>21</v>
      </c>
      <c r="C7" s="23" t="s">
        <v>22</v>
      </c>
      <c r="D7" s="24" t="s">
        <v>6</v>
      </c>
      <c r="E7" s="26"/>
      <c r="F7" s="33" t="s">
        <v>27</v>
      </c>
      <c r="G7" s="23" t="s">
        <v>26</v>
      </c>
      <c r="H7" s="23" t="s">
        <v>28</v>
      </c>
      <c r="I7" s="33" t="s">
        <v>29</v>
      </c>
      <c r="J7" s="30" t="s">
        <v>30</v>
      </c>
      <c r="K7" s="30" t="s">
        <v>31</v>
      </c>
    </row>
    <row r="8" spans="1:23" x14ac:dyDescent="0.25">
      <c r="A8" s="23"/>
      <c r="B8" s="23"/>
      <c r="C8" s="23"/>
      <c r="D8" s="5" t="s">
        <v>23</v>
      </c>
      <c r="E8" s="5" t="s">
        <v>24</v>
      </c>
      <c r="F8" s="33"/>
      <c r="G8" s="23"/>
      <c r="H8" s="23"/>
      <c r="I8" s="33"/>
      <c r="J8" s="30"/>
      <c r="K8" s="30"/>
      <c r="M8" s="39" t="s">
        <v>33</v>
      </c>
      <c r="N8" s="39"/>
      <c r="O8" s="39"/>
      <c r="P8" s="39"/>
      <c r="Q8" s="39"/>
      <c r="R8" s="39"/>
    </row>
    <row r="9" spans="1:23" x14ac:dyDescent="0.25">
      <c r="A9" s="5">
        <v>1</v>
      </c>
      <c r="B9" s="10">
        <f>213*(3/16)</f>
        <v>39.9375</v>
      </c>
      <c r="C9" s="3">
        <f>(213)*(1/29.3)*28</f>
        <v>203.54948805460751</v>
      </c>
      <c r="D9" s="3">
        <v>0</v>
      </c>
      <c r="E9" s="3">
        <v>0</v>
      </c>
      <c r="F9" s="11">
        <f>SUM(B9:E9)</f>
        <v>243.48698805460751</v>
      </c>
      <c r="G9" s="11">
        <f>0.13*F9</f>
        <v>31.653308447098976</v>
      </c>
      <c r="H9" s="3">
        <v>0</v>
      </c>
      <c r="I9" s="11">
        <f>SUM(B9:E9)-SUM(G9:H9)</f>
        <v>211.83367960750854</v>
      </c>
      <c r="J9" s="11">
        <f>SUM(B9:D9)</f>
        <v>243.48698805460751</v>
      </c>
      <c r="K9" s="11">
        <f>SUM(B9:E9)</f>
        <v>243.48698805460751</v>
      </c>
      <c r="M9" s="31" t="s">
        <v>32</v>
      </c>
      <c r="N9" s="31"/>
      <c r="O9" s="31"/>
      <c r="P9" s="31"/>
      <c r="Q9" s="31"/>
      <c r="R9" s="31"/>
    </row>
    <row r="10" spans="1:23" x14ac:dyDescent="0.25">
      <c r="A10" s="5">
        <v>2</v>
      </c>
      <c r="B10" s="11">
        <f>213</f>
        <v>213</v>
      </c>
      <c r="C10" s="3"/>
      <c r="D10" s="3">
        <v>0</v>
      </c>
      <c r="E10" s="3">
        <v>0</v>
      </c>
      <c r="F10" s="11">
        <f t="shared" ref="F10:F20" si="0">SUM(B10:E10)</f>
        <v>213</v>
      </c>
      <c r="G10" s="3">
        <f t="shared" ref="G10:G20" si="1">0.13*F10</f>
        <v>27.69</v>
      </c>
      <c r="H10" s="3">
        <v>0</v>
      </c>
      <c r="I10" s="11">
        <f t="shared" ref="I10:I20" si="2">SUM(B10:E10)-SUM(G10:H10)</f>
        <v>185.31</v>
      </c>
      <c r="J10" s="11">
        <f t="shared" ref="J10:J20" si="3">SUM(B10:D10)</f>
        <v>213</v>
      </c>
      <c r="K10" s="11">
        <f>SUM(B10:E10)+K9</f>
        <v>456.48698805460754</v>
      </c>
      <c r="M10" s="31" t="s">
        <v>34</v>
      </c>
      <c r="N10" s="31"/>
      <c r="O10" s="31"/>
      <c r="P10" s="31"/>
      <c r="Q10" s="31"/>
      <c r="R10" s="31"/>
    </row>
    <row r="11" spans="1:23" x14ac:dyDescent="0.25">
      <c r="A11" s="5">
        <v>3</v>
      </c>
      <c r="B11" s="11">
        <f>213</f>
        <v>213</v>
      </c>
      <c r="C11" s="3"/>
      <c r="D11" s="3">
        <v>0</v>
      </c>
      <c r="E11" s="3">
        <v>0</v>
      </c>
      <c r="F11" s="11">
        <f t="shared" si="0"/>
        <v>213</v>
      </c>
      <c r="G11" s="3">
        <f t="shared" si="1"/>
        <v>27.69</v>
      </c>
      <c r="H11" s="3">
        <v>0</v>
      </c>
      <c r="I11" s="11">
        <f t="shared" si="2"/>
        <v>185.31</v>
      </c>
      <c r="J11" s="11">
        <f t="shared" si="3"/>
        <v>213</v>
      </c>
      <c r="K11" s="11">
        <f t="shared" ref="K11:K20" si="4">SUM(B11:E11)+K10</f>
        <v>669.48698805460754</v>
      </c>
      <c r="M11" s="31" t="s">
        <v>36</v>
      </c>
      <c r="N11" s="31"/>
      <c r="O11" s="31"/>
      <c r="P11" s="31"/>
      <c r="Q11" s="31"/>
      <c r="R11" s="31"/>
    </row>
    <row r="12" spans="1:23" ht="14.45" customHeight="1" x14ac:dyDescent="0.25">
      <c r="A12" s="5">
        <v>4</v>
      </c>
      <c r="B12" s="11">
        <f>213</f>
        <v>213</v>
      </c>
      <c r="C12" s="3"/>
      <c r="D12" s="3">
        <v>0</v>
      </c>
      <c r="E12" s="3">
        <v>0</v>
      </c>
      <c r="F12" s="11">
        <f t="shared" si="0"/>
        <v>213</v>
      </c>
      <c r="G12" s="3">
        <f t="shared" si="1"/>
        <v>27.69</v>
      </c>
      <c r="H12" s="3">
        <v>0</v>
      </c>
      <c r="I12" s="11">
        <f t="shared" si="2"/>
        <v>185.31</v>
      </c>
      <c r="J12" s="11">
        <f t="shared" si="3"/>
        <v>213</v>
      </c>
      <c r="K12" s="11">
        <f t="shared" si="4"/>
        <v>882.48698805460754</v>
      </c>
      <c r="M12" s="37" t="s">
        <v>38</v>
      </c>
      <c r="N12" s="37"/>
      <c r="O12" s="37"/>
      <c r="P12" s="37"/>
      <c r="Q12" s="37"/>
      <c r="R12" s="37"/>
    </row>
    <row r="13" spans="1:23" x14ac:dyDescent="0.25">
      <c r="A13" s="5">
        <v>5</v>
      </c>
      <c r="B13" s="11">
        <f>213</f>
        <v>213</v>
      </c>
      <c r="C13" s="3"/>
      <c r="D13" s="3">
        <v>0</v>
      </c>
      <c r="E13" s="3">
        <v>0</v>
      </c>
      <c r="F13" s="11">
        <f t="shared" si="0"/>
        <v>213</v>
      </c>
      <c r="G13" s="3">
        <f t="shared" si="1"/>
        <v>27.69</v>
      </c>
      <c r="H13" s="3">
        <v>0</v>
      </c>
      <c r="I13" s="11">
        <f t="shared" si="2"/>
        <v>185.31</v>
      </c>
      <c r="J13" s="11">
        <f t="shared" si="3"/>
        <v>213</v>
      </c>
      <c r="K13" s="11">
        <f t="shared" si="4"/>
        <v>1095.4869880546075</v>
      </c>
      <c r="M13" s="37"/>
      <c r="N13" s="37"/>
      <c r="O13" s="37"/>
      <c r="P13" s="37"/>
      <c r="Q13" s="37"/>
      <c r="R13" s="37"/>
    </row>
    <row r="14" spans="1:23" x14ac:dyDescent="0.25">
      <c r="A14" s="5">
        <v>6</v>
      </c>
      <c r="B14" s="11">
        <f>213</f>
        <v>213</v>
      </c>
      <c r="C14" s="3"/>
      <c r="D14" s="3">
        <v>0</v>
      </c>
      <c r="E14" s="3">
        <v>0</v>
      </c>
      <c r="F14" s="11">
        <f t="shared" si="0"/>
        <v>213</v>
      </c>
      <c r="G14" s="3">
        <f t="shared" si="1"/>
        <v>27.69</v>
      </c>
      <c r="H14" s="3">
        <v>0</v>
      </c>
      <c r="I14" s="11">
        <f t="shared" si="2"/>
        <v>185.31</v>
      </c>
      <c r="J14" s="11">
        <f t="shared" si="3"/>
        <v>213</v>
      </c>
      <c r="K14" s="11">
        <f t="shared" si="4"/>
        <v>1308.4869880546075</v>
      </c>
      <c r="M14" s="31" t="s">
        <v>37</v>
      </c>
      <c r="N14" s="31"/>
      <c r="O14" s="31"/>
      <c r="P14" s="31"/>
      <c r="Q14" s="31"/>
      <c r="R14" s="31"/>
    </row>
    <row r="15" spans="1:23" x14ac:dyDescent="0.25">
      <c r="A15" s="5">
        <v>7</v>
      </c>
      <c r="B15" s="11">
        <f>213</f>
        <v>213</v>
      </c>
      <c r="C15" s="3"/>
      <c r="D15" s="3">
        <v>0</v>
      </c>
      <c r="E15" s="3">
        <v>0</v>
      </c>
      <c r="F15" s="11">
        <f t="shared" si="0"/>
        <v>213</v>
      </c>
      <c r="G15" s="3">
        <f t="shared" si="1"/>
        <v>27.69</v>
      </c>
      <c r="H15" s="3">
        <v>0</v>
      </c>
      <c r="I15" s="11">
        <f t="shared" si="2"/>
        <v>185.31</v>
      </c>
      <c r="J15" s="11">
        <f t="shared" si="3"/>
        <v>213</v>
      </c>
      <c r="K15" s="11">
        <f t="shared" si="4"/>
        <v>1521.4869880546075</v>
      </c>
      <c r="M15" s="34" t="s">
        <v>41</v>
      </c>
      <c r="N15" s="34"/>
      <c r="O15" s="34"/>
      <c r="P15" s="34"/>
      <c r="Q15" s="34"/>
      <c r="R15" s="34"/>
    </row>
    <row r="16" spans="1:23" x14ac:dyDescent="0.25">
      <c r="A16" s="5">
        <v>8</v>
      </c>
      <c r="B16" s="11">
        <f>213</f>
        <v>213</v>
      </c>
      <c r="C16" s="3"/>
      <c r="D16" s="3">
        <v>0</v>
      </c>
      <c r="E16" s="3">
        <v>0</v>
      </c>
      <c r="F16" s="11">
        <f t="shared" si="0"/>
        <v>213</v>
      </c>
      <c r="G16" s="3">
        <f t="shared" si="1"/>
        <v>27.69</v>
      </c>
      <c r="H16" s="3">
        <v>0</v>
      </c>
      <c r="I16" s="11">
        <f t="shared" si="2"/>
        <v>185.31</v>
      </c>
      <c r="J16" s="11">
        <f t="shared" si="3"/>
        <v>213</v>
      </c>
      <c r="K16" s="11">
        <f t="shared" si="4"/>
        <v>1734.4869880546075</v>
      </c>
      <c r="M16" s="35" t="s">
        <v>42</v>
      </c>
      <c r="N16" s="35"/>
      <c r="O16" s="35"/>
      <c r="P16" s="35"/>
      <c r="Q16" s="35"/>
      <c r="R16" s="35"/>
    </row>
    <row r="17" spans="1:18" x14ac:dyDescent="0.25">
      <c r="A17" s="5">
        <v>9</v>
      </c>
      <c r="B17" s="11">
        <f>213</f>
        <v>213</v>
      </c>
      <c r="C17" s="3"/>
      <c r="D17" s="3">
        <v>0</v>
      </c>
      <c r="E17" s="3">
        <v>0</v>
      </c>
      <c r="F17" s="11">
        <f t="shared" si="0"/>
        <v>213</v>
      </c>
      <c r="G17" s="3">
        <f t="shared" si="1"/>
        <v>27.69</v>
      </c>
      <c r="H17" s="3">
        <v>0</v>
      </c>
      <c r="I17" s="11">
        <f t="shared" si="2"/>
        <v>185.31</v>
      </c>
      <c r="J17" s="11">
        <f t="shared" si="3"/>
        <v>213</v>
      </c>
      <c r="K17" s="11">
        <f t="shared" si="4"/>
        <v>1947.4869880546075</v>
      </c>
      <c r="M17" s="36" t="s">
        <v>39</v>
      </c>
      <c r="N17" s="36"/>
      <c r="O17" s="36"/>
      <c r="P17" s="36"/>
      <c r="Q17" s="36"/>
      <c r="R17" s="36"/>
    </row>
    <row r="18" spans="1:18" x14ac:dyDescent="0.25">
      <c r="A18" s="5">
        <v>10</v>
      </c>
      <c r="B18" s="11">
        <f>213</f>
        <v>213</v>
      </c>
      <c r="C18" s="3"/>
      <c r="D18" s="3">
        <v>0</v>
      </c>
      <c r="E18" s="3">
        <v>0</v>
      </c>
      <c r="F18" s="11">
        <f t="shared" si="0"/>
        <v>213</v>
      </c>
      <c r="G18" s="3">
        <f t="shared" si="1"/>
        <v>27.69</v>
      </c>
      <c r="H18" s="3">
        <v>0</v>
      </c>
      <c r="I18" s="11">
        <f t="shared" si="2"/>
        <v>185.31</v>
      </c>
      <c r="J18" s="11">
        <f t="shared" si="3"/>
        <v>213</v>
      </c>
      <c r="K18" s="11">
        <f t="shared" si="4"/>
        <v>2160.4869880546075</v>
      </c>
      <c r="M18" s="40" t="s">
        <v>47</v>
      </c>
      <c r="N18" s="41"/>
      <c r="O18" s="41"/>
      <c r="P18" s="41"/>
      <c r="Q18" s="41"/>
      <c r="R18" s="42"/>
    </row>
    <row r="19" spans="1:18" x14ac:dyDescent="0.25">
      <c r="A19" s="5">
        <v>11</v>
      </c>
      <c r="B19" s="11">
        <f>213</f>
        <v>213</v>
      </c>
      <c r="C19" s="3"/>
      <c r="D19" s="3">
        <v>0</v>
      </c>
      <c r="E19" s="3">
        <v>0</v>
      </c>
      <c r="F19" s="11">
        <f t="shared" si="0"/>
        <v>213</v>
      </c>
      <c r="G19" s="3">
        <f t="shared" si="1"/>
        <v>27.69</v>
      </c>
      <c r="H19" s="3">
        <v>0</v>
      </c>
      <c r="I19" s="11">
        <f t="shared" si="2"/>
        <v>185.31</v>
      </c>
      <c r="J19" s="11">
        <f t="shared" si="3"/>
        <v>213</v>
      </c>
      <c r="K19" s="11">
        <f t="shared" si="4"/>
        <v>2373.4869880546075</v>
      </c>
      <c r="M19" s="43" t="s">
        <v>44</v>
      </c>
      <c r="N19" s="44"/>
      <c r="O19" s="44"/>
      <c r="P19" s="44"/>
      <c r="Q19" s="44"/>
      <c r="R19" s="45"/>
    </row>
    <row r="20" spans="1:18" x14ac:dyDescent="0.25">
      <c r="A20" s="5">
        <v>12</v>
      </c>
      <c r="B20" s="11">
        <f>213</f>
        <v>213</v>
      </c>
      <c r="C20" s="3"/>
      <c r="D20" s="3">
        <v>0</v>
      </c>
      <c r="E20" s="3">
        <v>0</v>
      </c>
      <c r="F20" s="11">
        <f t="shared" si="0"/>
        <v>213</v>
      </c>
      <c r="G20" s="3">
        <f t="shared" si="1"/>
        <v>27.69</v>
      </c>
      <c r="H20" s="3">
        <v>0</v>
      </c>
      <c r="I20" s="11">
        <f t="shared" si="2"/>
        <v>185.31</v>
      </c>
      <c r="J20" s="11">
        <f t="shared" si="3"/>
        <v>213</v>
      </c>
      <c r="K20" s="11">
        <f t="shared" si="4"/>
        <v>2586.4869880546075</v>
      </c>
      <c r="M20" s="46" t="s">
        <v>45</v>
      </c>
      <c r="N20" s="35"/>
      <c r="O20" s="35"/>
      <c r="P20" s="35"/>
      <c r="Q20" s="35"/>
      <c r="R20" s="47"/>
    </row>
    <row r="21" spans="1:18" x14ac:dyDescent="0.25">
      <c r="A21" s="5" t="s">
        <v>20</v>
      </c>
      <c r="B21" s="11">
        <f>SUM(B9:B20)</f>
        <v>2382.9375</v>
      </c>
      <c r="C21" s="11">
        <f t="shared" ref="C21:F21" si="5">SUM(C9:C20)</f>
        <v>203.54948805460751</v>
      </c>
      <c r="D21" s="11">
        <f t="shared" si="5"/>
        <v>0</v>
      </c>
      <c r="E21" s="11">
        <f t="shared" si="5"/>
        <v>0</v>
      </c>
      <c r="F21" s="11">
        <f t="shared" si="5"/>
        <v>2586.4869880546075</v>
      </c>
      <c r="G21" s="11">
        <f t="shared" ref="G21" si="6">SUM(G9:G20)</f>
        <v>336.24330844709897</v>
      </c>
      <c r="H21" s="11">
        <f t="shared" ref="H21" si="7">SUM(H9:H20)</f>
        <v>0</v>
      </c>
      <c r="I21" s="11">
        <f t="shared" ref="I21" si="8">SUM(I9:I20)</f>
        <v>2250.2436796075081</v>
      </c>
      <c r="J21" s="11">
        <f t="shared" ref="J21" si="9">SUM(J9:J20)</f>
        <v>2586.4869880546075</v>
      </c>
      <c r="K21" s="11" t="s">
        <v>10</v>
      </c>
      <c r="M21" s="48" t="s">
        <v>46</v>
      </c>
      <c r="N21" s="49"/>
      <c r="O21" s="49"/>
      <c r="P21" s="49"/>
      <c r="Q21" s="49"/>
      <c r="R21" s="50"/>
    </row>
    <row r="23" spans="1:18" x14ac:dyDescent="0.25">
      <c r="A23" s="32" t="s">
        <v>40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8" x14ac:dyDescent="0.25">
      <c r="A24" t="s">
        <v>25</v>
      </c>
    </row>
    <row r="25" spans="1:18" x14ac:dyDescent="0.25">
      <c r="A25" s="23" t="s">
        <v>19</v>
      </c>
      <c r="B25" s="23" t="s">
        <v>21</v>
      </c>
      <c r="C25" s="23" t="s">
        <v>22</v>
      </c>
      <c r="D25" s="24" t="s">
        <v>6</v>
      </c>
      <c r="E25" s="26"/>
      <c r="F25" s="33" t="s">
        <v>27</v>
      </c>
      <c r="G25" s="23" t="s">
        <v>26</v>
      </c>
      <c r="H25" s="23" t="s">
        <v>28</v>
      </c>
      <c r="I25" s="33" t="s">
        <v>29</v>
      </c>
      <c r="J25" s="30" t="s">
        <v>30</v>
      </c>
      <c r="K25" s="30" t="s">
        <v>31</v>
      </c>
    </row>
    <row r="26" spans="1:18" x14ac:dyDescent="0.25">
      <c r="A26" s="23"/>
      <c r="B26" s="23"/>
      <c r="C26" s="23"/>
      <c r="D26" s="5" t="s">
        <v>23</v>
      </c>
      <c r="E26" s="5" t="s">
        <v>24</v>
      </c>
      <c r="F26" s="33"/>
      <c r="G26" s="23"/>
      <c r="H26" s="23"/>
      <c r="I26" s="33"/>
      <c r="J26" s="30"/>
      <c r="K26" s="30"/>
    </row>
    <row r="27" spans="1:18" x14ac:dyDescent="0.25">
      <c r="A27" s="5">
        <v>1</v>
      </c>
      <c r="B27" s="11">
        <f>213</f>
        <v>213</v>
      </c>
      <c r="C27" s="11"/>
      <c r="D27" s="11">
        <v>0</v>
      </c>
      <c r="E27" s="11">
        <v>0</v>
      </c>
      <c r="F27" s="11">
        <f>IF(K27&lt;350, SUM(B27:E27)-1.4, SUM(B27:E27))</f>
        <v>211.6</v>
      </c>
      <c r="G27" s="11">
        <f>0.13*F27</f>
        <v>27.507999999999999</v>
      </c>
      <c r="H27" s="11">
        <v>0</v>
      </c>
      <c r="I27" s="11">
        <f>SUM(B27:E27)-SUM(G27:H27)</f>
        <v>185.49199999999999</v>
      </c>
      <c r="J27" s="11">
        <f>SUM(B27:D27)</f>
        <v>213</v>
      </c>
      <c r="K27" s="11">
        <f>SUM(B27:E27)</f>
        <v>213</v>
      </c>
    </row>
    <row r="28" spans="1:18" x14ac:dyDescent="0.25">
      <c r="A28" s="5">
        <v>2</v>
      </c>
      <c r="B28" s="11">
        <f>213</f>
        <v>213</v>
      </c>
      <c r="C28" s="11"/>
      <c r="D28" s="11">
        <v>0</v>
      </c>
      <c r="E28" s="11">
        <v>0</v>
      </c>
      <c r="F28" s="11">
        <f>SUM(B28:E28)-1.4</f>
        <v>211.6</v>
      </c>
      <c r="G28" s="11">
        <f t="shared" ref="G28:G38" si="10">0.13*F28</f>
        <v>27.507999999999999</v>
      </c>
      <c r="H28" s="11">
        <v>0</v>
      </c>
      <c r="I28" s="11">
        <f t="shared" ref="I28:I38" si="11">SUM(B28:E28)-SUM(G28:H28)</f>
        <v>185.49199999999999</v>
      </c>
      <c r="J28" s="11">
        <f t="shared" ref="J28:J38" si="12">SUM(B28:D28)</f>
        <v>213</v>
      </c>
      <c r="K28" s="11">
        <f>SUM(B28:E28)+K27</f>
        <v>426</v>
      </c>
    </row>
    <row r="29" spans="1:18" x14ac:dyDescent="0.25">
      <c r="A29" s="5">
        <v>3</v>
      </c>
      <c r="B29" s="11">
        <f>213</f>
        <v>213</v>
      </c>
      <c r="C29" s="11"/>
      <c r="D29" s="11">
        <v>0</v>
      </c>
      <c r="E29" s="11">
        <v>0</v>
      </c>
      <c r="F29" s="11">
        <f>IF(K29&lt;350, SUM(B29:E29)-1.4, SUM(B29:E29))</f>
        <v>213</v>
      </c>
      <c r="G29" s="11">
        <f t="shared" si="10"/>
        <v>27.69</v>
      </c>
      <c r="H29" s="11">
        <v>0</v>
      </c>
      <c r="I29" s="11">
        <f t="shared" si="11"/>
        <v>185.31</v>
      </c>
      <c r="J29" s="11">
        <f t="shared" si="12"/>
        <v>213</v>
      </c>
      <c r="K29" s="11">
        <f t="shared" ref="K29:K38" si="13">SUM(B29:E29)+K28</f>
        <v>639</v>
      </c>
    </row>
    <row r="30" spans="1:18" x14ac:dyDescent="0.25">
      <c r="A30" s="5">
        <v>4</v>
      </c>
      <c r="B30" s="12">
        <f>213*(12/22)</f>
        <v>116.18181818181817</v>
      </c>
      <c r="C30" s="11"/>
      <c r="D30" s="11">
        <f>4.03973*3*0.8</f>
        <v>9.6953519999999997</v>
      </c>
      <c r="E30" s="11">
        <f>4.03973*11*0.8</f>
        <v>35.549623999999994</v>
      </c>
      <c r="F30" s="11">
        <f t="shared" ref="F30:F38" si="14">IF(K30&lt;350, SUM(B30:E30)-1.4, SUM(B30:E30))</f>
        <v>161.42679418181817</v>
      </c>
      <c r="G30" s="11">
        <f t="shared" si="10"/>
        <v>20.985483243636363</v>
      </c>
      <c r="H30" s="11">
        <v>0</v>
      </c>
      <c r="I30" s="11">
        <f t="shared" si="11"/>
        <v>140.4413109381818</v>
      </c>
      <c r="J30" s="11">
        <f t="shared" si="12"/>
        <v>125.87717018181817</v>
      </c>
      <c r="K30" s="11">
        <f t="shared" si="13"/>
        <v>800.4267941818182</v>
      </c>
    </row>
    <row r="31" spans="1:18" x14ac:dyDescent="0.25">
      <c r="A31" s="5">
        <v>5</v>
      </c>
      <c r="B31" s="11">
        <f>213</f>
        <v>213</v>
      </c>
      <c r="C31" s="11"/>
      <c r="D31" s="11">
        <v>0</v>
      </c>
      <c r="E31" s="11">
        <v>0</v>
      </c>
      <c r="F31" s="11">
        <f t="shared" si="14"/>
        <v>213</v>
      </c>
      <c r="G31" s="11">
        <f t="shared" si="10"/>
        <v>27.69</v>
      </c>
      <c r="H31" s="11">
        <v>0</v>
      </c>
      <c r="I31" s="11">
        <f t="shared" si="11"/>
        <v>185.31</v>
      </c>
      <c r="J31" s="11">
        <f t="shared" si="12"/>
        <v>213</v>
      </c>
      <c r="K31" s="11">
        <f t="shared" si="13"/>
        <v>1013.4267941818182</v>
      </c>
    </row>
    <row r="32" spans="1:18" x14ac:dyDescent="0.25">
      <c r="A32" s="5">
        <v>6</v>
      </c>
      <c r="B32" s="11">
        <f>213</f>
        <v>213</v>
      </c>
      <c r="C32" s="11"/>
      <c r="D32" s="11">
        <v>0</v>
      </c>
      <c r="E32" s="11">
        <v>0</v>
      </c>
      <c r="F32" s="11">
        <f t="shared" si="14"/>
        <v>213</v>
      </c>
      <c r="G32" s="11">
        <f t="shared" si="10"/>
        <v>27.69</v>
      </c>
      <c r="H32" s="11">
        <v>0</v>
      </c>
      <c r="I32" s="11">
        <f t="shared" si="11"/>
        <v>185.31</v>
      </c>
      <c r="J32" s="11">
        <f t="shared" si="12"/>
        <v>213</v>
      </c>
      <c r="K32" s="11">
        <f t="shared" si="13"/>
        <v>1226.4267941818182</v>
      </c>
    </row>
    <row r="33" spans="1:11" x14ac:dyDescent="0.25">
      <c r="A33" s="5">
        <v>7</v>
      </c>
      <c r="B33" s="11">
        <f>213</f>
        <v>213</v>
      </c>
      <c r="C33" s="11"/>
      <c r="D33" s="11">
        <v>0</v>
      </c>
      <c r="E33" s="11">
        <v>0</v>
      </c>
      <c r="F33" s="11">
        <f t="shared" si="14"/>
        <v>213</v>
      </c>
      <c r="G33" s="11">
        <f t="shared" si="10"/>
        <v>27.69</v>
      </c>
      <c r="H33" s="11">
        <v>0</v>
      </c>
      <c r="I33" s="11">
        <f t="shared" si="11"/>
        <v>185.31</v>
      </c>
      <c r="J33" s="11">
        <f t="shared" si="12"/>
        <v>213</v>
      </c>
      <c r="K33" s="11">
        <f t="shared" si="13"/>
        <v>1439.4267941818182</v>
      </c>
    </row>
    <row r="34" spans="1:11" x14ac:dyDescent="0.25">
      <c r="A34" s="5">
        <v>8</v>
      </c>
      <c r="B34" s="11">
        <f>213</f>
        <v>213</v>
      </c>
      <c r="C34" s="11"/>
      <c r="D34" s="11">
        <v>0</v>
      </c>
      <c r="E34" s="11">
        <v>0</v>
      </c>
      <c r="F34" s="11">
        <f t="shared" si="14"/>
        <v>213</v>
      </c>
      <c r="G34" s="11">
        <f t="shared" si="10"/>
        <v>27.69</v>
      </c>
      <c r="H34" s="11">
        <v>0</v>
      </c>
      <c r="I34" s="11">
        <f t="shared" si="11"/>
        <v>185.31</v>
      </c>
      <c r="J34" s="11">
        <f t="shared" si="12"/>
        <v>213</v>
      </c>
      <c r="K34" s="11">
        <f t="shared" si="13"/>
        <v>1652.4267941818182</v>
      </c>
    </row>
    <row r="35" spans="1:11" x14ac:dyDescent="0.25">
      <c r="A35" s="5">
        <v>9</v>
      </c>
      <c r="B35" s="11">
        <f>213</f>
        <v>213</v>
      </c>
      <c r="C35" s="11"/>
      <c r="D35" s="11">
        <v>0</v>
      </c>
      <c r="E35" s="11">
        <v>0</v>
      </c>
      <c r="F35" s="11">
        <f t="shared" si="14"/>
        <v>213</v>
      </c>
      <c r="G35" s="11">
        <f t="shared" si="10"/>
        <v>27.69</v>
      </c>
      <c r="H35" s="11">
        <v>0</v>
      </c>
      <c r="I35" s="11">
        <f t="shared" si="11"/>
        <v>185.31</v>
      </c>
      <c r="J35" s="11">
        <f t="shared" si="12"/>
        <v>213</v>
      </c>
      <c r="K35" s="11">
        <f t="shared" si="13"/>
        <v>1865.4267941818182</v>
      </c>
    </row>
    <row r="36" spans="1:11" x14ac:dyDescent="0.25">
      <c r="A36" s="5">
        <v>10</v>
      </c>
      <c r="B36" s="11">
        <f>213</f>
        <v>213</v>
      </c>
      <c r="C36" s="11"/>
      <c r="D36" s="11">
        <v>0</v>
      </c>
      <c r="E36" s="11">
        <v>0</v>
      </c>
      <c r="F36" s="11">
        <f t="shared" si="14"/>
        <v>213</v>
      </c>
      <c r="G36" s="11">
        <f t="shared" si="10"/>
        <v>27.69</v>
      </c>
      <c r="H36" s="11">
        <v>0</v>
      </c>
      <c r="I36" s="11">
        <f t="shared" si="11"/>
        <v>185.31</v>
      </c>
      <c r="J36" s="11">
        <f t="shared" si="12"/>
        <v>213</v>
      </c>
      <c r="K36" s="11">
        <f t="shared" si="13"/>
        <v>2078.426794181818</v>
      </c>
    </row>
    <row r="37" spans="1:11" x14ac:dyDescent="0.25">
      <c r="A37" s="5">
        <v>11</v>
      </c>
      <c r="B37" s="11">
        <f>213</f>
        <v>213</v>
      </c>
      <c r="C37" s="11">
        <f>(213)*(1/29.3)*28</f>
        <v>203.54948805460751</v>
      </c>
      <c r="D37" s="11">
        <v>0</v>
      </c>
      <c r="E37" s="11">
        <v>0</v>
      </c>
      <c r="F37" s="11">
        <f t="shared" si="14"/>
        <v>416.54948805460754</v>
      </c>
      <c r="G37" s="11">
        <f t="shared" si="10"/>
        <v>54.151433447098981</v>
      </c>
      <c r="H37" s="11">
        <v>0</v>
      </c>
      <c r="I37" s="11">
        <f t="shared" si="11"/>
        <v>362.39805460750858</v>
      </c>
      <c r="J37" s="11">
        <f t="shared" si="12"/>
        <v>416.54948805460754</v>
      </c>
      <c r="K37" s="11">
        <f t="shared" si="13"/>
        <v>2494.9762822364255</v>
      </c>
    </row>
    <row r="38" spans="1:11" x14ac:dyDescent="0.25">
      <c r="A38" s="5">
        <v>12</v>
      </c>
      <c r="B38" s="10">
        <f>213*(4/23)</f>
        <v>37.043478260869563</v>
      </c>
      <c r="C38" s="11"/>
      <c r="D38" s="11">
        <v>0</v>
      </c>
      <c r="E38" s="11">
        <v>0</v>
      </c>
      <c r="F38" s="11">
        <f t="shared" si="14"/>
        <v>37.043478260869563</v>
      </c>
      <c r="G38" s="11">
        <f t="shared" si="10"/>
        <v>4.8156521739130431</v>
      </c>
      <c r="H38" s="11">
        <v>0</v>
      </c>
      <c r="I38" s="11">
        <f t="shared" si="11"/>
        <v>32.227826086956519</v>
      </c>
      <c r="J38" s="11">
        <f t="shared" si="12"/>
        <v>37.043478260869563</v>
      </c>
      <c r="K38" s="11">
        <f t="shared" si="13"/>
        <v>2532.019760497295</v>
      </c>
    </row>
    <row r="39" spans="1:11" x14ac:dyDescent="0.25">
      <c r="A39" s="5" t="s">
        <v>20</v>
      </c>
      <c r="B39" s="11">
        <f>SUM(B27:B38)</f>
        <v>2283.2252964426875</v>
      </c>
      <c r="C39" s="11">
        <f t="shared" ref="C39" si="15">SUM(C27:C38)</f>
        <v>203.54948805460751</v>
      </c>
      <c r="D39" s="11">
        <f t="shared" ref="D39" si="16">SUM(D27:D38)</f>
        <v>9.6953519999999997</v>
      </c>
      <c r="E39" s="11">
        <f t="shared" ref="E39" si="17">SUM(E27:E38)</f>
        <v>35.549623999999994</v>
      </c>
      <c r="F39" s="11">
        <f t="shared" ref="F39" si="18">SUM(F27:F38)</f>
        <v>2529.2197604972953</v>
      </c>
      <c r="G39" s="11">
        <f t="shared" ref="G39" si="19">SUM(G27:G38)</f>
        <v>328.79856886464842</v>
      </c>
      <c r="H39" s="11">
        <f t="shared" ref="H39" si="20">SUM(H27:H38)</f>
        <v>0</v>
      </c>
      <c r="I39" s="11">
        <f t="shared" ref="I39" si="21">SUM(I27:I38)</f>
        <v>2203.2211916326464</v>
      </c>
      <c r="J39" s="11">
        <f t="shared" ref="J39" si="22">SUM(J27:J38)</f>
        <v>2496.4701364972952</v>
      </c>
      <c r="K39" s="11" t="s">
        <v>10</v>
      </c>
    </row>
    <row r="41" spans="1:11" x14ac:dyDescent="0.25">
      <c r="A41" s="32" t="s">
        <v>43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 x14ac:dyDescent="0.25">
      <c r="A42" t="s">
        <v>25</v>
      </c>
    </row>
    <row r="43" spans="1:11" x14ac:dyDescent="0.25">
      <c r="A43" s="23" t="s">
        <v>19</v>
      </c>
      <c r="B43" s="23" t="s">
        <v>21</v>
      </c>
      <c r="C43" s="23" t="s">
        <v>22</v>
      </c>
      <c r="D43" s="24" t="s">
        <v>6</v>
      </c>
      <c r="E43" s="26"/>
      <c r="F43" s="33" t="s">
        <v>27</v>
      </c>
      <c r="G43" s="23" t="s">
        <v>26</v>
      </c>
      <c r="H43" s="23" t="s">
        <v>28</v>
      </c>
      <c r="I43" s="33" t="s">
        <v>29</v>
      </c>
      <c r="J43" s="30" t="s">
        <v>30</v>
      </c>
      <c r="K43" s="30" t="s">
        <v>31</v>
      </c>
    </row>
    <row r="44" spans="1:11" x14ac:dyDescent="0.25">
      <c r="A44" s="23"/>
      <c r="B44" s="23"/>
      <c r="C44" s="23"/>
      <c r="D44" s="5" t="s">
        <v>23</v>
      </c>
      <c r="E44" s="5" t="s">
        <v>24</v>
      </c>
      <c r="F44" s="33"/>
      <c r="G44" s="23"/>
      <c r="H44" s="23"/>
      <c r="I44" s="33"/>
      <c r="J44" s="30"/>
      <c r="K44" s="30"/>
    </row>
    <row r="45" spans="1:11" x14ac:dyDescent="0.25">
      <c r="A45" s="5">
        <v>1</v>
      </c>
      <c r="B45" s="11">
        <f>213</f>
        <v>213</v>
      </c>
      <c r="C45" s="11"/>
      <c r="D45" s="11">
        <v>0</v>
      </c>
      <c r="E45" s="11">
        <v>0</v>
      </c>
      <c r="F45" s="11">
        <f>IF(K45&lt;350, SUM(B45:E45)-5.8, SUM(B45:E45))</f>
        <v>207.2</v>
      </c>
      <c r="G45" s="11">
        <f>0.13*F45</f>
        <v>26.936</v>
      </c>
      <c r="H45" s="11">
        <v>0</v>
      </c>
      <c r="I45" s="11">
        <f>SUM(B45:E45)-SUM(G45:H45)</f>
        <v>186.06399999999999</v>
      </c>
      <c r="J45" s="11">
        <f>SUM(B45:D45)</f>
        <v>213</v>
      </c>
      <c r="K45" s="11">
        <f>SUM(B45:E45)</f>
        <v>213</v>
      </c>
    </row>
    <row r="46" spans="1:11" x14ac:dyDescent="0.25">
      <c r="A46" s="5">
        <v>2</v>
      </c>
      <c r="B46" s="11">
        <f>213</f>
        <v>213</v>
      </c>
      <c r="C46" s="11">
        <f>(213*(1/29.3)*28)</f>
        <v>203.54948805460751</v>
      </c>
      <c r="D46" s="11">
        <v>0</v>
      </c>
      <c r="E46" s="11">
        <v>0</v>
      </c>
      <c r="F46" s="11">
        <f>SUM(B46:E46)-5.8</f>
        <v>410.74948805460753</v>
      </c>
      <c r="G46" s="11">
        <f t="shared" ref="G46:G56" si="23">0.13*F46</f>
        <v>53.397433447098983</v>
      </c>
      <c r="H46" s="11">
        <v>0</v>
      </c>
      <c r="I46" s="11">
        <f t="shared" ref="I46:I56" si="24">SUM(B46:E46)-SUM(G46:H46)</f>
        <v>363.15205460750855</v>
      </c>
      <c r="J46" s="11">
        <f t="shared" ref="J46:J56" si="25">SUM(B46:D46)</f>
        <v>416.54948805460754</v>
      </c>
      <c r="K46" s="11">
        <f>SUM(B46:E46)+K45</f>
        <v>629.54948805460754</v>
      </c>
    </row>
    <row r="47" spans="1:11" x14ac:dyDescent="0.25">
      <c r="A47" s="5">
        <v>3</v>
      </c>
      <c r="B47" s="10">
        <f>213*(1/29)</f>
        <v>7.3448275862068968</v>
      </c>
      <c r="C47" s="11"/>
      <c r="D47" s="11">
        <v>0</v>
      </c>
      <c r="E47" s="11">
        <v>0</v>
      </c>
      <c r="F47" s="11">
        <f>IF(K47&lt;350, SUM(B47:E47)-1.4, SUM(B47:E47))</f>
        <v>7.3448275862068968</v>
      </c>
      <c r="G47" s="11">
        <f t="shared" si="23"/>
        <v>0.95482758620689656</v>
      </c>
      <c r="H47" s="11">
        <v>0</v>
      </c>
      <c r="I47" s="11">
        <f t="shared" si="24"/>
        <v>6.3900000000000006</v>
      </c>
      <c r="J47" s="11">
        <f t="shared" si="25"/>
        <v>7.3448275862068968</v>
      </c>
      <c r="K47" s="11">
        <f t="shared" ref="K47:K56" si="26">SUM(B47:E47)+K46</f>
        <v>636.8943156408144</v>
      </c>
    </row>
    <row r="48" spans="1:11" x14ac:dyDescent="0.25">
      <c r="A48" s="5">
        <v>4</v>
      </c>
      <c r="B48" s="11">
        <f>213</f>
        <v>213</v>
      </c>
      <c r="C48" s="11"/>
      <c r="D48" s="11">
        <v>0</v>
      </c>
      <c r="E48" s="11">
        <v>0</v>
      </c>
      <c r="F48" s="11">
        <f t="shared" ref="F48:F56" si="27">IF(K48&lt;350, SUM(B48:E48)-1.4, SUM(B48:E48))</f>
        <v>213</v>
      </c>
      <c r="G48" s="11">
        <f t="shared" si="23"/>
        <v>27.69</v>
      </c>
      <c r="H48" s="11">
        <v>0</v>
      </c>
      <c r="I48" s="11">
        <f t="shared" si="24"/>
        <v>185.31</v>
      </c>
      <c r="J48" s="11">
        <f t="shared" si="25"/>
        <v>213</v>
      </c>
      <c r="K48" s="11">
        <f t="shared" si="26"/>
        <v>849.8943156408144</v>
      </c>
    </row>
    <row r="49" spans="1:11" x14ac:dyDescent="0.25">
      <c r="A49" s="5">
        <v>5</v>
      </c>
      <c r="B49" s="11">
        <f>213</f>
        <v>213</v>
      </c>
      <c r="C49" s="11"/>
      <c r="D49" s="11">
        <v>0</v>
      </c>
      <c r="E49" s="11">
        <v>0</v>
      </c>
      <c r="F49" s="11">
        <f t="shared" si="27"/>
        <v>213</v>
      </c>
      <c r="G49" s="11">
        <f t="shared" si="23"/>
        <v>27.69</v>
      </c>
      <c r="H49" s="11">
        <v>0</v>
      </c>
      <c r="I49" s="11">
        <f t="shared" si="24"/>
        <v>185.31</v>
      </c>
      <c r="J49" s="11">
        <f t="shared" si="25"/>
        <v>213</v>
      </c>
      <c r="K49" s="11">
        <f t="shared" si="26"/>
        <v>1062.8943156408145</v>
      </c>
    </row>
    <row r="50" spans="1:11" x14ac:dyDescent="0.25">
      <c r="A50" s="5">
        <v>6</v>
      </c>
      <c r="B50" s="11">
        <f>213</f>
        <v>213</v>
      </c>
      <c r="C50" s="11"/>
      <c r="D50" s="11">
        <v>0</v>
      </c>
      <c r="E50" s="11">
        <v>0</v>
      </c>
      <c r="F50" s="11">
        <f t="shared" si="27"/>
        <v>213</v>
      </c>
      <c r="G50" s="11">
        <f t="shared" si="23"/>
        <v>27.69</v>
      </c>
      <c r="H50" s="11">
        <v>0</v>
      </c>
      <c r="I50" s="11">
        <f t="shared" si="24"/>
        <v>185.31</v>
      </c>
      <c r="J50" s="11">
        <f t="shared" si="25"/>
        <v>213</v>
      </c>
      <c r="K50" s="11">
        <f t="shared" si="26"/>
        <v>1275.8943156408145</v>
      </c>
    </row>
    <row r="51" spans="1:11" x14ac:dyDescent="0.25">
      <c r="A51" s="5">
        <v>7</v>
      </c>
      <c r="B51" s="11">
        <f>213</f>
        <v>213</v>
      </c>
      <c r="C51" s="11"/>
      <c r="D51" s="11">
        <v>0</v>
      </c>
      <c r="E51" s="11">
        <v>0</v>
      </c>
      <c r="F51" s="11">
        <f t="shared" si="27"/>
        <v>213</v>
      </c>
      <c r="G51" s="11">
        <f t="shared" si="23"/>
        <v>27.69</v>
      </c>
      <c r="H51" s="11">
        <v>0</v>
      </c>
      <c r="I51" s="11">
        <f t="shared" si="24"/>
        <v>185.31</v>
      </c>
      <c r="J51" s="11">
        <f t="shared" si="25"/>
        <v>213</v>
      </c>
      <c r="K51" s="11">
        <f t="shared" si="26"/>
        <v>1488.8943156408145</v>
      </c>
    </row>
    <row r="52" spans="1:11" x14ac:dyDescent="0.25">
      <c r="A52" s="5">
        <v>8</v>
      </c>
      <c r="B52" s="11">
        <f>213</f>
        <v>213</v>
      </c>
      <c r="C52" s="11"/>
      <c r="D52" s="11">
        <v>0</v>
      </c>
      <c r="E52" s="11">
        <v>0</v>
      </c>
      <c r="F52" s="11">
        <f t="shared" si="27"/>
        <v>213</v>
      </c>
      <c r="G52" s="11">
        <f t="shared" si="23"/>
        <v>27.69</v>
      </c>
      <c r="H52" s="11">
        <v>0</v>
      </c>
      <c r="I52" s="11">
        <f t="shared" si="24"/>
        <v>185.31</v>
      </c>
      <c r="J52" s="11">
        <f t="shared" si="25"/>
        <v>213</v>
      </c>
      <c r="K52" s="11">
        <f t="shared" si="26"/>
        <v>1701.8943156408145</v>
      </c>
    </row>
    <row r="53" spans="1:11" x14ac:dyDescent="0.25">
      <c r="A53" s="5">
        <v>9</v>
      </c>
      <c r="B53" s="12">
        <f>213*(11/21)</f>
        <v>111.57142857142858</v>
      </c>
      <c r="C53" s="11"/>
      <c r="D53" s="11">
        <f>4.03973*3*0.8</f>
        <v>9.6953519999999997</v>
      </c>
      <c r="E53" s="11">
        <f>4.03973*11*0.8</f>
        <v>35.549623999999994</v>
      </c>
      <c r="F53" s="11">
        <f t="shared" si="27"/>
        <v>156.81640457142856</v>
      </c>
      <c r="G53" s="11">
        <f t="shared" si="23"/>
        <v>20.386132594285716</v>
      </c>
      <c r="H53" s="11">
        <v>0</v>
      </c>
      <c r="I53" s="11">
        <f t="shared" si="24"/>
        <v>136.43027197714284</v>
      </c>
      <c r="J53" s="11">
        <f t="shared" si="25"/>
        <v>121.26678057142858</v>
      </c>
      <c r="K53" s="11">
        <f t="shared" si="26"/>
        <v>1858.7107202122431</v>
      </c>
    </row>
    <row r="54" spans="1:11" x14ac:dyDescent="0.25">
      <c r="A54" s="5">
        <v>10</v>
      </c>
      <c r="B54" s="11">
        <f>213</f>
        <v>213</v>
      </c>
      <c r="C54" s="11"/>
      <c r="D54" s="11">
        <v>0</v>
      </c>
      <c r="E54" s="11">
        <v>0</v>
      </c>
      <c r="F54" s="11">
        <f t="shared" si="27"/>
        <v>213</v>
      </c>
      <c r="G54" s="11">
        <f t="shared" si="23"/>
        <v>27.69</v>
      </c>
      <c r="H54" s="11">
        <v>0</v>
      </c>
      <c r="I54" s="11">
        <f t="shared" si="24"/>
        <v>185.31</v>
      </c>
      <c r="J54" s="11">
        <f t="shared" si="25"/>
        <v>213</v>
      </c>
      <c r="K54" s="11">
        <f t="shared" si="26"/>
        <v>2071.7107202122434</v>
      </c>
    </row>
    <row r="55" spans="1:11" x14ac:dyDescent="0.25">
      <c r="A55" s="5">
        <v>11</v>
      </c>
      <c r="B55" s="11">
        <f>213</f>
        <v>213</v>
      </c>
      <c r="C55" s="11"/>
      <c r="D55" s="11">
        <v>0</v>
      </c>
      <c r="E55" s="11">
        <v>0</v>
      </c>
      <c r="F55" s="11">
        <f t="shared" si="27"/>
        <v>213</v>
      </c>
      <c r="G55" s="11">
        <f t="shared" si="23"/>
        <v>27.69</v>
      </c>
      <c r="H55" s="11">
        <v>0</v>
      </c>
      <c r="I55" s="11">
        <f t="shared" si="24"/>
        <v>185.31</v>
      </c>
      <c r="J55" s="11">
        <f t="shared" si="25"/>
        <v>213</v>
      </c>
      <c r="K55" s="11">
        <f t="shared" si="26"/>
        <v>2284.7107202122434</v>
      </c>
    </row>
    <row r="56" spans="1:11" x14ac:dyDescent="0.25">
      <c r="A56" s="5">
        <v>12</v>
      </c>
      <c r="B56" s="11">
        <f>213</f>
        <v>213</v>
      </c>
      <c r="C56" s="11"/>
      <c r="D56" s="11">
        <v>0</v>
      </c>
      <c r="E56" s="11">
        <v>0</v>
      </c>
      <c r="F56" s="11">
        <f t="shared" si="27"/>
        <v>213</v>
      </c>
      <c r="G56" s="11">
        <f t="shared" si="23"/>
        <v>27.69</v>
      </c>
      <c r="H56" s="11">
        <v>0</v>
      </c>
      <c r="I56" s="11">
        <f t="shared" si="24"/>
        <v>185.31</v>
      </c>
      <c r="J56" s="11">
        <f t="shared" si="25"/>
        <v>213</v>
      </c>
      <c r="K56" s="11">
        <f t="shared" si="26"/>
        <v>2497.7107202122434</v>
      </c>
    </row>
    <row r="57" spans="1:11" x14ac:dyDescent="0.25">
      <c r="A57" s="5" t="s">
        <v>20</v>
      </c>
      <c r="B57" s="11">
        <f>SUM(B45:B56)</f>
        <v>2248.9162561576359</v>
      </c>
      <c r="C57" s="11">
        <f t="shared" ref="C57:J57" si="28">SUM(C45:C56)</f>
        <v>203.54948805460751</v>
      </c>
      <c r="D57" s="11">
        <f t="shared" si="28"/>
        <v>9.6953519999999997</v>
      </c>
      <c r="E57" s="11">
        <f t="shared" si="28"/>
        <v>35.549623999999994</v>
      </c>
      <c r="F57" s="11">
        <f t="shared" si="28"/>
        <v>2486.110720212243</v>
      </c>
      <c r="G57" s="11">
        <f t="shared" si="28"/>
        <v>323.19439362759164</v>
      </c>
      <c r="H57" s="11">
        <f t="shared" si="28"/>
        <v>0</v>
      </c>
      <c r="I57" s="11">
        <f t="shared" si="28"/>
        <v>2174.5163265846513</v>
      </c>
      <c r="J57" s="11">
        <f t="shared" si="28"/>
        <v>2462.1610962122431</v>
      </c>
      <c r="K57" s="11" t="s">
        <v>10</v>
      </c>
    </row>
    <row r="59" spans="1:11" x14ac:dyDescent="0.25">
      <c r="A59" s="32" t="s">
        <v>48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</row>
    <row r="60" spans="1:11" x14ac:dyDescent="0.25">
      <c r="A60" t="s">
        <v>25</v>
      </c>
    </row>
    <row r="61" spans="1:11" x14ac:dyDescent="0.25">
      <c r="A61" s="23" t="s">
        <v>19</v>
      </c>
      <c r="B61" s="23" t="s">
        <v>21</v>
      </c>
      <c r="C61" s="23" t="s">
        <v>22</v>
      </c>
      <c r="D61" s="24" t="s">
        <v>6</v>
      </c>
      <c r="E61" s="26"/>
      <c r="F61" s="33" t="s">
        <v>27</v>
      </c>
      <c r="G61" s="23" t="s">
        <v>26</v>
      </c>
      <c r="H61" s="23" t="s">
        <v>28</v>
      </c>
      <c r="I61" s="33" t="s">
        <v>29</v>
      </c>
      <c r="J61" s="30" t="s">
        <v>30</v>
      </c>
      <c r="K61" s="30" t="s">
        <v>31</v>
      </c>
    </row>
    <row r="62" spans="1:11" x14ac:dyDescent="0.25">
      <c r="A62" s="23"/>
      <c r="B62" s="23"/>
      <c r="C62" s="23"/>
      <c r="D62" s="5" t="s">
        <v>23</v>
      </c>
      <c r="E62" s="5" t="s">
        <v>24</v>
      </c>
      <c r="F62" s="33"/>
      <c r="G62" s="23"/>
      <c r="H62" s="23"/>
      <c r="I62" s="33"/>
      <c r="J62" s="30"/>
      <c r="K62" s="30"/>
    </row>
    <row r="63" spans="1:11" x14ac:dyDescent="0.25">
      <c r="A63" s="5">
        <v>1</v>
      </c>
      <c r="B63" s="11">
        <f>213</f>
        <v>213</v>
      </c>
      <c r="C63" s="11"/>
      <c r="D63" s="11">
        <v>0</v>
      </c>
      <c r="E63" s="11">
        <v>0</v>
      </c>
      <c r="F63" s="11">
        <f>IF(K63&lt;350, SUM(B63:E63)-2.8, SUM(B63:E63))</f>
        <v>210.2</v>
      </c>
      <c r="G63" s="11">
        <f>0.13*F63</f>
        <v>27.326000000000001</v>
      </c>
      <c r="H63" s="11">
        <f>SUM(B45:E45)*0.25*0.87</f>
        <v>46.327500000000001</v>
      </c>
      <c r="I63" s="11">
        <f>SUM(B63:E63)-SUM(G63:H63)</f>
        <v>139.34649999999999</v>
      </c>
      <c r="J63" s="11">
        <f>SUM(B63:D63)</f>
        <v>213</v>
      </c>
      <c r="K63" s="11">
        <f>SUM(B63:E63)</f>
        <v>213</v>
      </c>
    </row>
    <row r="64" spans="1:11" x14ac:dyDescent="0.25">
      <c r="A64" s="5">
        <v>2</v>
      </c>
      <c r="B64" s="11">
        <f>213</f>
        <v>213</v>
      </c>
      <c r="C64" s="11"/>
      <c r="D64" s="11">
        <v>0</v>
      </c>
      <c r="E64" s="11">
        <v>0</v>
      </c>
      <c r="F64" s="11">
        <f>SUM(B64:E64)-2.8</f>
        <v>210.2</v>
      </c>
      <c r="G64" s="11">
        <f t="shared" ref="G64:G74" si="29">0.13*F64</f>
        <v>27.326000000000001</v>
      </c>
      <c r="H64" s="11">
        <f t="shared" ref="H64:H74" si="30">SUM(B46:E46)*0.25*0.87</f>
        <v>90.599513651877132</v>
      </c>
      <c r="I64" s="11">
        <f t="shared" ref="I64:I74" si="31">SUM(B64:E64)-SUM(G64:H64)</f>
        <v>95.074486348122861</v>
      </c>
      <c r="J64" s="11">
        <f t="shared" ref="J64:J74" si="32">SUM(B64:D64)</f>
        <v>213</v>
      </c>
      <c r="K64" s="11">
        <f>SUM(B64:E64)+K63</f>
        <v>426</v>
      </c>
    </row>
    <row r="65" spans="1:11" x14ac:dyDescent="0.25">
      <c r="A65" s="5">
        <v>3</v>
      </c>
      <c r="B65" s="11">
        <f>213</f>
        <v>213</v>
      </c>
      <c r="C65" s="11"/>
      <c r="D65" s="11">
        <v>0</v>
      </c>
      <c r="E65" s="11">
        <v>0</v>
      </c>
      <c r="F65" s="11">
        <f>IF(K65&lt;350, SUM(B65:E65)-1.4, SUM(B65:E65))</f>
        <v>213</v>
      </c>
      <c r="G65" s="11">
        <f t="shared" si="29"/>
        <v>27.69</v>
      </c>
      <c r="H65" s="11">
        <f t="shared" si="30"/>
        <v>1.5975000000000001</v>
      </c>
      <c r="I65" s="11">
        <f t="shared" si="31"/>
        <v>183.71250000000001</v>
      </c>
      <c r="J65" s="11">
        <f t="shared" si="32"/>
        <v>213</v>
      </c>
      <c r="K65" s="11">
        <f t="shared" ref="K65:K74" si="33">SUM(B65:E65)+K64</f>
        <v>639</v>
      </c>
    </row>
    <row r="66" spans="1:11" x14ac:dyDescent="0.25">
      <c r="A66" s="5">
        <v>4</v>
      </c>
      <c r="B66" s="11">
        <f>213</f>
        <v>213</v>
      </c>
      <c r="C66" s="11">
        <f>(213*(1/29.3)*28)</f>
        <v>203.54948805460751</v>
      </c>
      <c r="D66" s="11">
        <v>0</v>
      </c>
      <c r="E66" s="11">
        <v>0</v>
      </c>
      <c r="F66" s="11">
        <f t="shared" ref="F66:F74" si="34">IF(K66&lt;350, SUM(B66:E66)-1.4, SUM(B66:E66))</f>
        <v>416.54948805460754</v>
      </c>
      <c r="G66" s="11">
        <f t="shared" si="29"/>
        <v>54.151433447098981</v>
      </c>
      <c r="H66" s="11">
        <f t="shared" si="30"/>
        <v>46.327500000000001</v>
      </c>
      <c r="I66" s="11">
        <f t="shared" si="31"/>
        <v>316.07055460750854</v>
      </c>
      <c r="J66" s="11">
        <f t="shared" si="32"/>
        <v>416.54948805460754</v>
      </c>
      <c r="K66" s="11">
        <f t="shared" si="33"/>
        <v>1055.5494880546075</v>
      </c>
    </row>
    <row r="67" spans="1:11" x14ac:dyDescent="0.25">
      <c r="A67" s="5">
        <v>5</v>
      </c>
      <c r="B67" s="10">
        <f>213*(3/23)</f>
        <v>27.782608695652172</v>
      </c>
      <c r="C67" s="11"/>
      <c r="D67" s="11">
        <v>0</v>
      </c>
      <c r="E67" s="11">
        <v>0</v>
      </c>
      <c r="F67" s="11">
        <f t="shared" si="34"/>
        <v>27.782608695652172</v>
      </c>
      <c r="G67" s="11">
        <f t="shared" si="29"/>
        <v>3.6117391304347826</v>
      </c>
      <c r="H67" s="11">
        <f t="shared" si="30"/>
        <v>46.327500000000001</v>
      </c>
      <c r="I67" s="11">
        <f t="shared" si="31"/>
        <v>-22.156630434782613</v>
      </c>
      <c r="J67" s="11">
        <f t="shared" si="32"/>
        <v>27.782608695652172</v>
      </c>
      <c r="K67" s="11">
        <f t="shared" si="33"/>
        <v>1083.3320967502598</v>
      </c>
    </row>
    <row r="68" spans="1:11" x14ac:dyDescent="0.25">
      <c r="A68" s="5">
        <v>6</v>
      </c>
      <c r="B68" s="11">
        <f>213</f>
        <v>213</v>
      </c>
      <c r="D68" s="11">
        <v>0</v>
      </c>
      <c r="E68" s="11">
        <v>0</v>
      </c>
      <c r="F68" s="11">
        <f t="shared" si="34"/>
        <v>213</v>
      </c>
      <c r="G68" s="11">
        <f t="shared" si="29"/>
        <v>27.69</v>
      </c>
      <c r="H68" s="11">
        <f t="shared" si="30"/>
        <v>46.327500000000001</v>
      </c>
      <c r="I68" s="11">
        <f t="shared" si="31"/>
        <v>138.98250000000002</v>
      </c>
      <c r="J68" s="11">
        <f t="shared" si="32"/>
        <v>213</v>
      </c>
      <c r="K68" s="11">
        <f t="shared" si="33"/>
        <v>1296.3320967502598</v>
      </c>
    </row>
    <row r="69" spans="1:11" x14ac:dyDescent="0.25">
      <c r="A69" s="5">
        <v>7</v>
      </c>
      <c r="B69" s="11">
        <f>213</f>
        <v>213</v>
      </c>
      <c r="C69" s="11"/>
      <c r="D69" s="11">
        <v>0</v>
      </c>
      <c r="E69" s="11">
        <v>0</v>
      </c>
      <c r="F69" s="11">
        <f t="shared" si="34"/>
        <v>213</v>
      </c>
      <c r="G69" s="11">
        <f t="shared" si="29"/>
        <v>27.69</v>
      </c>
      <c r="H69" s="11">
        <f t="shared" si="30"/>
        <v>46.327500000000001</v>
      </c>
      <c r="I69" s="11">
        <f t="shared" si="31"/>
        <v>138.98250000000002</v>
      </c>
      <c r="J69" s="11">
        <f t="shared" si="32"/>
        <v>213</v>
      </c>
      <c r="K69" s="11">
        <f t="shared" si="33"/>
        <v>1509.3320967502598</v>
      </c>
    </row>
    <row r="70" spans="1:11" x14ac:dyDescent="0.25">
      <c r="A70" s="5">
        <v>8</v>
      </c>
      <c r="B70" s="11">
        <f>213</f>
        <v>213</v>
      </c>
      <c r="C70" s="11"/>
      <c r="D70" s="11">
        <v>0</v>
      </c>
      <c r="E70" s="11">
        <v>0</v>
      </c>
      <c r="F70" s="11">
        <f t="shared" si="34"/>
        <v>213</v>
      </c>
      <c r="G70" s="11">
        <f t="shared" si="29"/>
        <v>27.69</v>
      </c>
      <c r="H70" s="11">
        <f t="shared" si="30"/>
        <v>46.327500000000001</v>
      </c>
      <c r="I70" s="11">
        <f t="shared" si="31"/>
        <v>138.98250000000002</v>
      </c>
      <c r="J70" s="11">
        <f t="shared" si="32"/>
        <v>213</v>
      </c>
      <c r="K70" s="11">
        <f t="shared" si="33"/>
        <v>1722.3320967502598</v>
      </c>
    </row>
    <row r="71" spans="1:11" x14ac:dyDescent="0.25">
      <c r="A71" s="5">
        <v>9</v>
      </c>
      <c r="B71" s="11">
        <f>213</f>
        <v>213</v>
      </c>
      <c r="C71" s="11"/>
      <c r="D71" s="11">
        <v>0</v>
      </c>
      <c r="E71" s="11">
        <v>0</v>
      </c>
      <c r="F71" s="11">
        <f t="shared" si="34"/>
        <v>213</v>
      </c>
      <c r="G71" s="11">
        <f t="shared" si="29"/>
        <v>27.69</v>
      </c>
      <c r="H71" s="11">
        <f t="shared" si="30"/>
        <v>34.107567994285709</v>
      </c>
      <c r="I71" s="11">
        <f t="shared" si="31"/>
        <v>151.20243200571429</v>
      </c>
      <c r="J71" s="11">
        <f t="shared" si="32"/>
        <v>213</v>
      </c>
      <c r="K71" s="11">
        <f t="shared" si="33"/>
        <v>1935.3320967502598</v>
      </c>
    </row>
    <row r="72" spans="1:11" x14ac:dyDescent="0.25">
      <c r="A72" s="5">
        <v>10</v>
      </c>
      <c r="B72" s="11">
        <f>213</f>
        <v>213</v>
      </c>
      <c r="C72" s="11"/>
      <c r="D72" s="11">
        <v>0</v>
      </c>
      <c r="E72" s="11">
        <v>0</v>
      </c>
      <c r="F72" s="11">
        <f t="shared" si="34"/>
        <v>213</v>
      </c>
      <c r="G72" s="11">
        <f t="shared" si="29"/>
        <v>27.69</v>
      </c>
      <c r="H72" s="11">
        <f t="shared" si="30"/>
        <v>46.327500000000001</v>
      </c>
      <c r="I72" s="11">
        <f t="shared" si="31"/>
        <v>138.98250000000002</v>
      </c>
      <c r="J72" s="11">
        <f t="shared" si="32"/>
        <v>213</v>
      </c>
      <c r="K72" s="11">
        <f t="shared" si="33"/>
        <v>2148.3320967502596</v>
      </c>
    </row>
    <row r="73" spans="1:11" x14ac:dyDescent="0.25">
      <c r="A73" s="5">
        <v>11</v>
      </c>
      <c r="B73" s="11">
        <f>213</f>
        <v>213</v>
      </c>
      <c r="C73" s="11"/>
      <c r="D73" s="11">
        <v>0</v>
      </c>
      <c r="E73" s="11">
        <v>0</v>
      </c>
      <c r="F73" s="11">
        <f t="shared" si="34"/>
        <v>213</v>
      </c>
      <c r="G73" s="11">
        <f t="shared" si="29"/>
        <v>27.69</v>
      </c>
      <c r="H73" s="11">
        <f t="shared" si="30"/>
        <v>46.327500000000001</v>
      </c>
      <c r="I73" s="11">
        <f t="shared" si="31"/>
        <v>138.98250000000002</v>
      </c>
      <c r="J73" s="11">
        <f t="shared" si="32"/>
        <v>213</v>
      </c>
      <c r="K73" s="11">
        <f t="shared" si="33"/>
        <v>2361.3320967502596</v>
      </c>
    </row>
    <row r="74" spans="1:11" x14ac:dyDescent="0.25">
      <c r="A74" s="5">
        <v>12</v>
      </c>
      <c r="B74" s="11">
        <f>213</f>
        <v>213</v>
      </c>
      <c r="C74" s="11"/>
      <c r="D74" s="11">
        <v>0</v>
      </c>
      <c r="E74" s="11">
        <v>0</v>
      </c>
      <c r="F74" s="11">
        <f t="shared" si="34"/>
        <v>213</v>
      </c>
      <c r="G74" s="11">
        <f t="shared" si="29"/>
        <v>27.69</v>
      </c>
      <c r="H74" s="11">
        <f t="shared" si="30"/>
        <v>46.327500000000001</v>
      </c>
      <c r="I74" s="11">
        <f t="shared" si="31"/>
        <v>138.98250000000002</v>
      </c>
      <c r="J74" s="11">
        <f t="shared" si="32"/>
        <v>213</v>
      </c>
      <c r="K74" s="11">
        <f t="shared" si="33"/>
        <v>2574.3320967502596</v>
      </c>
    </row>
    <row r="75" spans="1:11" x14ac:dyDescent="0.25">
      <c r="A75" s="5" t="s">
        <v>20</v>
      </c>
      <c r="B75" s="11">
        <f>SUM(B63:B74)</f>
        <v>2370.782608695652</v>
      </c>
      <c r="C75" s="11">
        <f t="shared" ref="C75:H75" si="35">SUM(C63:C74)</f>
        <v>203.54948805460751</v>
      </c>
      <c r="D75" s="11">
        <f t="shared" si="35"/>
        <v>0</v>
      </c>
      <c r="E75" s="11">
        <f t="shared" si="35"/>
        <v>0</v>
      </c>
      <c r="F75" s="11">
        <f t="shared" si="35"/>
        <v>2568.7320967502601</v>
      </c>
      <c r="G75" s="11">
        <f t="shared" si="35"/>
        <v>333.93517257753376</v>
      </c>
      <c r="H75" s="11">
        <f t="shared" si="35"/>
        <v>543.25208164616276</v>
      </c>
      <c r="I75" s="11">
        <f t="shared" ref="I75:J75" si="36">SUM(I63:I74)</f>
        <v>1697.1448425265635</v>
      </c>
      <c r="J75" s="11">
        <f t="shared" si="36"/>
        <v>2574.3320967502596</v>
      </c>
      <c r="K75" s="11" t="s">
        <v>10</v>
      </c>
    </row>
    <row r="78" spans="1:11" x14ac:dyDescent="0.25">
      <c r="A78" s="32" t="s">
        <v>16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</row>
    <row r="79" spans="1:11" x14ac:dyDescent="0.25">
      <c r="A79" t="s">
        <v>25</v>
      </c>
    </row>
    <row r="80" spans="1:11" x14ac:dyDescent="0.25">
      <c r="A80" s="23" t="s">
        <v>19</v>
      </c>
      <c r="B80" s="23" t="s">
        <v>21</v>
      </c>
      <c r="C80" s="23" t="s">
        <v>22</v>
      </c>
      <c r="D80" s="24" t="s">
        <v>6</v>
      </c>
      <c r="E80" s="26"/>
      <c r="F80" s="33" t="s">
        <v>27</v>
      </c>
      <c r="G80" s="23" t="s">
        <v>26</v>
      </c>
      <c r="H80" s="23" t="s">
        <v>28</v>
      </c>
      <c r="I80" s="33" t="s">
        <v>29</v>
      </c>
      <c r="J80" s="30" t="s">
        <v>30</v>
      </c>
      <c r="K80" s="30" t="s">
        <v>31</v>
      </c>
    </row>
    <row r="81" spans="1:11" x14ac:dyDescent="0.25">
      <c r="A81" s="23"/>
      <c r="B81" s="23"/>
      <c r="C81" s="23"/>
      <c r="D81" s="5" t="s">
        <v>23</v>
      </c>
      <c r="E81" s="5" t="s">
        <v>24</v>
      </c>
      <c r="F81" s="33"/>
      <c r="G81" s="23"/>
      <c r="H81" s="23"/>
      <c r="I81" s="33"/>
      <c r="J81" s="30"/>
      <c r="K81" s="30"/>
    </row>
    <row r="82" spans="1:11" x14ac:dyDescent="0.25">
      <c r="A82" s="5">
        <v>1</v>
      </c>
      <c r="B82" s="11">
        <f>513</f>
        <v>513</v>
      </c>
      <c r="C82" s="11"/>
      <c r="D82" s="11">
        <v>0</v>
      </c>
      <c r="E82" s="11">
        <v>0</v>
      </c>
      <c r="F82" s="11">
        <f>IF(K82&lt;350, SUM(B82:E82), SUM(B82:E82))</f>
        <v>513</v>
      </c>
      <c r="G82" s="11">
        <f>0.13*F82</f>
        <v>66.69</v>
      </c>
      <c r="H82" s="11">
        <f>(SUM(B82:E82)-G82)*0.33</f>
        <v>147.28230000000002</v>
      </c>
      <c r="I82" s="11">
        <f>SUM(B82:E82)-SUM(G82:H82)</f>
        <v>299.02769999999998</v>
      </c>
      <c r="J82" s="11">
        <f>SUM(B82:D82)</f>
        <v>513</v>
      </c>
      <c r="K82" s="11">
        <f>SUM(B82:E82)</f>
        <v>513</v>
      </c>
    </row>
    <row r="83" spans="1:11" x14ac:dyDescent="0.25">
      <c r="A83" s="5">
        <v>2</v>
      </c>
      <c r="B83" s="11">
        <f>513</f>
        <v>513</v>
      </c>
      <c r="C83" s="11"/>
      <c r="D83" s="11">
        <v>0</v>
      </c>
      <c r="E83" s="11">
        <v>0</v>
      </c>
      <c r="F83" s="11">
        <f>SUM(B83:E83)</f>
        <v>513</v>
      </c>
      <c r="G83" s="11">
        <f t="shared" ref="G83:G90" si="37">0.13*F83</f>
        <v>66.69</v>
      </c>
      <c r="H83" s="11">
        <f t="shared" ref="H83:H93" si="38">(SUM(B83:E83)-G83)*0.33</f>
        <v>147.28230000000002</v>
      </c>
      <c r="I83" s="11">
        <f t="shared" ref="I83:I93" si="39">SUM(B83:E83)-SUM(G83:H83)</f>
        <v>299.02769999999998</v>
      </c>
      <c r="J83" s="11">
        <f t="shared" ref="J83:J93" si="40">SUM(B83:D83)</f>
        <v>513</v>
      </c>
      <c r="K83" s="11">
        <f>SUM(B83:E83)+K82</f>
        <v>1026</v>
      </c>
    </row>
    <row r="84" spans="1:11" x14ac:dyDescent="0.25">
      <c r="A84" s="5">
        <v>3</v>
      </c>
      <c r="B84" s="11">
        <f>513</f>
        <v>513</v>
      </c>
      <c r="C84" s="11"/>
      <c r="D84" s="11">
        <v>0</v>
      </c>
      <c r="E84" s="11">
        <v>0</v>
      </c>
      <c r="F84" s="11">
        <f t="shared" ref="F84:F93" si="41">SUM(B84:E84)</f>
        <v>513</v>
      </c>
      <c r="G84" s="11">
        <f t="shared" si="37"/>
        <v>66.69</v>
      </c>
      <c r="H84" s="11">
        <f t="shared" si="38"/>
        <v>147.28230000000002</v>
      </c>
      <c r="I84" s="11">
        <f t="shared" si="39"/>
        <v>299.02769999999998</v>
      </c>
      <c r="J84" s="11">
        <f t="shared" si="40"/>
        <v>513</v>
      </c>
      <c r="K84" s="11">
        <f t="shared" ref="K84:K93" si="42">SUM(B84:E84)+K83</f>
        <v>1539</v>
      </c>
    </row>
    <row r="85" spans="1:11" x14ac:dyDescent="0.25">
      <c r="A85" s="5">
        <v>4</v>
      </c>
      <c r="B85" s="11">
        <f>513</f>
        <v>513</v>
      </c>
      <c r="C85" s="11"/>
      <c r="D85" s="11">
        <v>0</v>
      </c>
      <c r="E85" s="11">
        <v>0</v>
      </c>
      <c r="F85" s="11">
        <f t="shared" si="41"/>
        <v>513</v>
      </c>
      <c r="G85" s="11">
        <f t="shared" si="37"/>
        <v>66.69</v>
      </c>
      <c r="H85" s="11">
        <f t="shared" si="38"/>
        <v>147.28230000000002</v>
      </c>
      <c r="I85" s="11">
        <f t="shared" si="39"/>
        <v>299.02769999999998</v>
      </c>
      <c r="J85" s="11">
        <f t="shared" si="40"/>
        <v>513</v>
      </c>
      <c r="K85" s="11">
        <f t="shared" si="42"/>
        <v>2052</v>
      </c>
    </row>
    <row r="86" spans="1:11" x14ac:dyDescent="0.25">
      <c r="A86" s="5">
        <v>5</v>
      </c>
      <c r="B86" s="11">
        <f>513</f>
        <v>513</v>
      </c>
      <c r="C86" s="11"/>
      <c r="D86" s="11">
        <v>0</v>
      </c>
      <c r="E86" s="11">
        <v>0</v>
      </c>
      <c r="F86" s="11">
        <f t="shared" si="41"/>
        <v>513</v>
      </c>
      <c r="G86" s="11">
        <f t="shared" si="37"/>
        <v>66.69</v>
      </c>
      <c r="H86" s="11">
        <f t="shared" si="38"/>
        <v>147.28230000000002</v>
      </c>
      <c r="I86" s="11">
        <f t="shared" si="39"/>
        <v>299.02769999999998</v>
      </c>
      <c r="J86" s="11">
        <f t="shared" si="40"/>
        <v>513</v>
      </c>
      <c r="K86" s="11">
        <f t="shared" si="42"/>
        <v>2565</v>
      </c>
    </row>
    <row r="87" spans="1:11" x14ac:dyDescent="0.25">
      <c r="A87" s="5">
        <v>6</v>
      </c>
      <c r="B87" s="11">
        <f>513</f>
        <v>513</v>
      </c>
      <c r="C87" s="11">
        <f>(513*(1/29.3)*28)</f>
        <v>490.23890784982933</v>
      </c>
      <c r="D87" s="11">
        <v>0</v>
      </c>
      <c r="E87" s="11">
        <v>0</v>
      </c>
      <c r="F87" s="11">
        <f t="shared" si="41"/>
        <v>1003.2389078498293</v>
      </c>
      <c r="G87" s="11">
        <f t="shared" si="37"/>
        <v>130.4210580204778</v>
      </c>
      <c r="H87" s="11">
        <f t="shared" si="38"/>
        <v>288.02989044368599</v>
      </c>
      <c r="I87" s="11">
        <f t="shared" si="39"/>
        <v>584.78795938566554</v>
      </c>
      <c r="J87" s="11">
        <f t="shared" si="40"/>
        <v>1003.2389078498293</v>
      </c>
      <c r="K87" s="11">
        <f t="shared" si="42"/>
        <v>3568.238907849829</v>
      </c>
    </row>
    <row r="88" spans="1:11" x14ac:dyDescent="0.25">
      <c r="A88" s="5">
        <v>7</v>
      </c>
      <c r="B88" s="10">
        <f>513*(3/23)</f>
        <v>66.913043478260875</v>
      </c>
      <c r="C88" s="11"/>
      <c r="D88" s="11">
        <v>0</v>
      </c>
      <c r="E88" s="11">
        <v>0</v>
      </c>
      <c r="F88" s="11">
        <f t="shared" si="41"/>
        <v>66.913043478260875</v>
      </c>
      <c r="G88" s="11">
        <f t="shared" si="37"/>
        <v>8.6986956521739138</v>
      </c>
      <c r="H88" s="11">
        <f t="shared" si="38"/>
        <v>19.2107347826087</v>
      </c>
      <c r="I88" s="11">
        <f t="shared" si="39"/>
        <v>39.003613043478261</v>
      </c>
      <c r="J88" s="11">
        <f t="shared" si="40"/>
        <v>66.913043478260875</v>
      </c>
      <c r="K88" s="11">
        <f t="shared" si="42"/>
        <v>3635.15195132809</v>
      </c>
    </row>
    <row r="89" spans="1:11" x14ac:dyDescent="0.25">
      <c r="A89" s="5">
        <v>8</v>
      </c>
      <c r="B89" s="11">
        <f>513</f>
        <v>513</v>
      </c>
      <c r="C89" s="11"/>
      <c r="D89" s="11">
        <v>0</v>
      </c>
      <c r="E89" s="11">
        <v>0</v>
      </c>
      <c r="F89" s="11">
        <f t="shared" si="41"/>
        <v>513</v>
      </c>
      <c r="G89" s="11">
        <f t="shared" si="37"/>
        <v>66.69</v>
      </c>
      <c r="H89" s="11">
        <f t="shared" si="38"/>
        <v>147.28230000000002</v>
      </c>
      <c r="I89" s="11">
        <f t="shared" si="39"/>
        <v>299.02769999999998</v>
      </c>
      <c r="J89" s="11">
        <f t="shared" si="40"/>
        <v>513</v>
      </c>
      <c r="K89" s="11">
        <f t="shared" si="42"/>
        <v>4148.15195132809</v>
      </c>
    </row>
    <row r="90" spans="1:11" x14ac:dyDescent="0.25">
      <c r="A90" s="5">
        <v>9</v>
      </c>
      <c r="B90" s="11">
        <f>513</f>
        <v>513</v>
      </c>
      <c r="C90" s="11"/>
      <c r="D90" s="11">
        <v>0</v>
      </c>
      <c r="E90" s="11">
        <v>0</v>
      </c>
      <c r="F90" s="11">
        <f t="shared" si="41"/>
        <v>513</v>
      </c>
      <c r="G90" s="11">
        <f t="shared" si="37"/>
        <v>66.69</v>
      </c>
      <c r="H90" s="11">
        <f t="shared" si="38"/>
        <v>147.28230000000002</v>
      </c>
      <c r="I90" s="11">
        <f t="shared" si="39"/>
        <v>299.02769999999998</v>
      </c>
      <c r="J90" s="11">
        <f t="shared" si="40"/>
        <v>513</v>
      </c>
      <c r="K90" s="11">
        <f t="shared" si="42"/>
        <v>4661.15195132809</v>
      </c>
    </row>
    <row r="91" spans="1:11" x14ac:dyDescent="0.25">
      <c r="A91" s="5">
        <v>10</v>
      </c>
      <c r="B91" s="11">
        <f>513</f>
        <v>513</v>
      </c>
      <c r="C91" s="11"/>
      <c r="D91" s="11">
        <v>0</v>
      </c>
      <c r="E91" s="11">
        <v>0</v>
      </c>
      <c r="F91" s="11">
        <f t="shared" si="41"/>
        <v>513</v>
      </c>
      <c r="G91" s="11">
        <f>(5000-K91)*0.13+(K91-5000+SUM(B91:E91))*0.15</f>
        <v>80.433039026561801</v>
      </c>
      <c r="H91" s="11">
        <f t="shared" si="38"/>
        <v>142.74709712123462</v>
      </c>
      <c r="I91" s="11">
        <f t="shared" si="39"/>
        <v>289.81986385220358</v>
      </c>
      <c r="J91" s="11">
        <f t="shared" si="40"/>
        <v>513</v>
      </c>
      <c r="K91" s="11">
        <f t="shared" si="42"/>
        <v>5174.15195132809</v>
      </c>
    </row>
    <row r="92" spans="1:11" x14ac:dyDescent="0.25">
      <c r="A92" s="5">
        <v>11</v>
      </c>
      <c r="B92" s="11">
        <f>513</f>
        <v>513</v>
      </c>
      <c r="C92" s="11"/>
      <c r="D92" s="11">
        <v>0</v>
      </c>
      <c r="E92" s="11">
        <v>0</v>
      </c>
      <c r="F92" s="11">
        <f t="shared" si="41"/>
        <v>513</v>
      </c>
      <c r="G92" s="11">
        <f>0.15*F92</f>
        <v>76.95</v>
      </c>
      <c r="H92" s="11">
        <f t="shared" si="38"/>
        <v>143.8965</v>
      </c>
      <c r="I92" s="11">
        <f t="shared" si="39"/>
        <v>292.15350000000001</v>
      </c>
      <c r="J92" s="11">
        <f t="shared" si="40"/>
        <v>513</v>
      </c>
      <c r="K92" s="11">
        <f t="shared" si="42"/>
        <v>5687.15195132809</v>
      </c>
    </row>
    <row r="93" spans="1:11" x14ac:dyDescent="0.25">
      <c r="A93" s="5">
        <v>12</v>
      </c>
      <c r="B93" s="11">
        <f>513</f>
        <v>513</v>
      </c>
      <c r="C93" s="11"/>
      <c r="D93" s="11">
        <v>0</v>
      </c>
      <c r="E93" s="11">
        <v>0</v>
      </c>
      <c r="F93" s="11">
        <f t="shared" si="41"/>
        <v>513</v>
      </c>
      <c r="G93" s="11">
        <f>0.15*F93</f>
        <v>76.95</v>
      </c>
      <c r="H93" s="11">
        <f t="shared" si="38"/>
        <v>143.8965</v>
      </c>
      <c r="I93" s="11">
        <f t="shared" si="39"/>
        <v>292.15350000000001</v>
      </c>
      <c r="J93" s="11">
        <f t="shared" si="40"/>
        <v>513</v>
      </c>
      <c r="K93" s="11">
        <f t="shared" si="42"/>
        <v>6200.15195132809</v>
      </c>
    </row>
    <row r="94" spans="1:11" x14ac:dyDescent="0.25">
      <c r="A94" s="5" t="s">
        <v>20</v>
      </c>
      <c r="B94" s="11">
        <f>SUM(B82:B93)</f>
        <v>5709.913043478261</v>
      </c>
      <c r="C94" s="11">
        <f t="shared" ref="C94:H94" si="43">SUM(C82:C93)</f>
        <v>490.23890784982933</v>
      </c>
      <c r="D94" s="11">
        <f t="shared" si="43"/>
        <v>0</v>
      </c>
      <c r="E94" s="11">
        <f t="shared" si="43"/>
        <v>0</v>
      </c>
      <c r="F94" s="11">
        <f t="shared" si="43"/>
        <v>6200.15195132809</v>
      </c>
      <c r="G94" s="11">
        <f t="shared" si="43"/>
        <v>840.28279269921359</v>
      </c>
      <c r="H94" s="11">
        <f t="shared" si="43"/>
        <v>1768.7568223475296</v>
      </c>
      <c r="I94" s="11">
        <f t="shared" ref="I94:J94" si="44">SUM(I82:I93)</f>
        <v>3591.1123362813473</v>
      </c>
      <c r="J94" s="11">
        <f t="shared" si="44"/>
        <v>6200.15195132809</v>
      </c>
      <c r="K94" s="11" t="s">
        <v>10</v>
      </c>
    </row>
  </sheetData>
  <mergeCells count="69">
    <mergeCell ref="A78:K78"/>
    <mergeCell ref="A80:A81"/>
    <mergeCell ref="B80:B81"/>
    <mergeCell ref="C80:C81"/>
    <mergeCell ref="D80:E80"/>
    <mergeCell ref="F80:F81"/>
    <mergeCell ref="G80:G81"/>
    <mergeCell ref="H80:H81"/>
    <mergeCell ref="I80:I81"/>
    <mergeCell ref="J80:J81"/>
    <mergeCell ref="K80:K81"/>
    <mergeCell ref="G61:G62"/>
    <mergeCell ref="H61:H62"/>
    <mergeCell ref="I61:I62"/>
    <mergeCell ref="J61:J62"/>
    <mergeCell ref="K61:K62"/>
    <mergeCell ref="A61:A62"/>
    <mergeCell ref="B61:B62"/>
    <mergeCell ref="C61:C62"/>
    <mergeCell ref="D61:E61"/>
    <mergeCell ref="F61:F62"/>
    <mergeCell ref="M19:R19"/>
    <mergeCell ref="M20:R20"/>
    <mergeCell ref="M21:R21"/>
    <mergeCell ref="A59:K59"/>
    <mergeCell ref="A41:K41"/>
    <mergeCell ref="A43:A44"/>
    <mergeCell ref="B43:B44"/>
    <mergeCell ref="C43:C44"/>
    <mergeCell ref="D43:E43"/>
    <mergeCell ref="F43:F44"/>
    <mergeCell ref="G43:G44"/>
    <mergeCell ref="H43:H44"/>
    <mergeCell ref="I43:I44"/>
    <mergeCell ref="J43:J44"/>
    <mergeCell ref="K43:K44"/>
    <mergeCell ref="A1:W1"/>
    <mergeCell ref="A7:A8"/>
    <mergeCell ref="B7:B8"/>
    <mergeCell ref="C7:C8"/>
    <mergeCell ref="G7:G8"/>
    <mergeCell ref="F7:F8"/>
    <mergeCell ref="H7:H8"/>
    <mergeCell ref="I7:I8"/>
    <mergeCell ref="A5:K5"/>
    <mergeCell ref="M8:R8"/>
    <mergeCell ref="M11:R11"/>
    <mergeCell ref="M12:R13"/>
    <mergeCell ref="J7:J8"/>
    <mergeCell ref="K7:K8"/>
    <mergeCell ref="D7:E7"/>
    <mergeCell ref="M10:R10"/>
    <mergeCell ref="M9:R9"/>
    <mergeCell ref="J25:J26"/>
    <mergeCell ref="K25:K26"/>
    <mergeCell ref="M14:R14"/>
    <mergeCell ref="A23:K23"/>
    <mergeCell ref="A25:A26"/>
    <mergeCell ref="B25:B26"/>
    <mergeCell ref="C25:C26"/>
    <mergeCell ref="D25:E25"/>
    <mergeCell ref="F25:F26"/>
    <mergeCell ref="G25:G26"/>
    <mergeCell ref="H25:H26"/>
    <mergeCell ref="I25:I26"/>
    <mergeCell ref="M15:R15"/>
    <mergeCell ref="M16:R16"/>
    <mergeCell ref="M17:R17"/>
    <mergeCell ref="M18:R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K10" sqref="K10"/>
    </sheetView>
  </sheetViews>
  <sheetFormatPr defaultRowHeight="15" x14ac:dyDescent="0.25"/>
  <cols>
    <col min="2" max="2" width="12.28515625" customWidth="1"/>
  </cols>
  <sheetData>
    <row r="1" spans="1:17" ht="15.75" thickBot="1" x14ac:dyDescent="0.3">
      <c r="A1" s="57" t="s">
        <v>49</v>
      </c>
      <c r="B1" s="57"/>
      <c r="C1" s="57"/>
      <c r="D1" s="57"/>
      <c r="E1" s="57"/>
      <c r="F1" s="57"/>
      <c r="G1" s="57"/>
      <c r="H1" s="57"/>
      <c r="I1" s="57"/>
      <c r="J1" s="57"/>
      <c r="K1" s="56"/>
      <c r="L1" s="56"/>
      <c r="M1" s="56"/>
      <c r="N1" s="56"/>
      <c r="O1" s="56"/>
      <c r="P1" s="56"/>
      <c r="Q1" s="56"/>
    </row>
    <row r="2" spans="1:17" x14ac:dyDescent="0.25">
      <c r="A2" s="59" t="s">
        <v>50</v>
      </c>
      <c r="B2" s="60"/>
      <c r="C2" s="60"/>
      <c r="D2" s="60"/>
      <c r="E2" s="60"/>
      <c r="F2" s="60"/>
      <c r="G2" s="60"/>
      <c r="H2" s="60"/>
      <c r="I2" s="60"/>
      <c r="J2" s="61"/>
    </row>
    <row r="3" spans="1:17" x14ac:dyDescent="0.25">
      <c r="A3" s="62" t="s">
        <v>51</v>
      </c>
      <c r="B3" s="58"/>
      <c r="C3" s="58"/>
      <c r="D3" s="58"/>
      <c r="E3" s="58"/>
      <c r="F3" s="58"/>
      <c r="G3" s="58"/>
      <c r="H3" s="58"/>
      <c r="I3" s="58"/>
      <c r="J3" s="63"/>
    </row>
    <row r="4" spans="1:17" x14ac:dyDescent="0.25">
      <c r="A4" s="62" t="s">
        <v>56</v>
      </c>
      <c r="B4" s="58"/>
      <c r="C4" s="58"/>
      <c r="D4" s="58"/>
      <c r="E4" s="58"/>
      <c r="F4" s="58"/>
      <c r="G4" s="58"/>
      <c r="H4" s="58"/>
      <c r="I4" s="58"/>
      <c r="J4" s="63"/>
    </row>
    <row r="5" spans="1:17" ht="15.75" thickBot="1" x14ac:dyDescent="0.3">
      <c r="A5" s="64" t="s">
        <v>52</v>
      </c>
      <c r="B5" s="65"/>
      <c r="C5" s="65"/>
      <c r="D5" s="65"/>
      <c r="E5" s="65"/>
      <c r="F5" s="65"/>
      <c r="G5" s="65"/>
      <c r="H5" s="65"/>
      <c r="I5" s="65"/>
      <c r="J5" s="66"/>
    </row>
    <row r="6" spans="1:17" x14ac:dyDescent="0.25">
      <c r="A6" s="67" t="s">
        <v>53</v>
      </c>
      <c r="B6" s="68"/>
      <c r="C6" s="68"/>
      <c r="D6" s="69"/>
    </row>
    <row r="7" spans="1:17" x14ac:dyDescent="0.25">
      <c r="A7" s="62" t="s">
        <v>54</v>
      </c>
      <c r="B7" s="58"/>
      <c r="C7" s="58"/>
      <c r="D7" s="63"/>
    </row>
    <row r="8" spans="1:17" x14ac:dyDescent="0.25">
      <c r="A8" s="62" t="s">
        <v>55</v>
      </c>
      <c r="B8" s="58"/>
      <c r="C8" s="58"/>
      <c r="D8" s="63"/>
    </row>
    <row r="9" spans="1:17" x14ac:dyDescent="0.25">
      <c r="A9" s="62" t="s">
        <v>60</v>
      </c>
      <c r="B9" s="58"/>
      <c r="C9" s="58"/>
      <c r="D9" s="63"/>
    </row>
    <row r="10" spans="1:17" x14ac:dyDescent="0.25">
      <c r="A10" s="62" t="s">
        <v>57</v>
      </c>
      <c r="B10" s="58"/>
      <c r="C10" s="58"/>
      <c r="D10" s="63"/>
    </row>
    <row r="11" spans="1:17" x14ac:dyDescent="0.25">
      <c r="A11" s="62" t="s">
        <v>58</v>
      </c>
      <c r="B11" s="58"/>
      <c r="C11" s="58"/>
      <c r="D11" s="63"/>
    </row>
    <row r="12" spans="1:17" ht="15.75" thickBot="1" x14ac:dyDescent="0.3">
      <c r="A12" s="64" t="s">
        <v>59</v>
      </c>
      <c r="B12" s="65"/>
      <c r="C12" s="65"/>
      <c r="D12" s="66"/>
    </row>
    <row r="14" spans="1:17" x14ac:dyDescent="0.25">
      <c r="A14" s="55" t="s">
        <v>61</v>
      </c>
      <c r="B14" s="55"/>
      <c r="C14" s="13"/>
      <c r="D14" s="13"/>
      <c r="E14" s="13"/>
      <c r="F14" s="13"/>
      <c r="G14" s="13"/>
      <c r="H14" s="13"/>
    </row>
    <row r="15" spans="1:17" x14ac:dyDescent="0.25">
      <c r="A15" s="14" t="s">
        <v>62</v>
      </c>
      <c r="B15" s="15">
        <f>12+12+2</f>
        <v>26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7" x14ac:dyDescent="0.25">
      <c r="A16" s="14" t="s">
        <v>63</v>
      </c>
      <c r="B16" s="15">
        <f>(350*2*12)/B17</f>
        <v>5.15970515970516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5">
      <c r="A17" s="14" t="s">
        <v>64</v>
      </c>
      <c r="B17" s="15">
        <f>1980-256-96</f>
        <v>1628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4" t="s">
        <v>65</v>
      </c>
      <c r="B18" s="15">
        <f>B15*B16</f>
        <v>134.15233415233416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5">
      <c r="A19" s="14" t="s">
        <v>72</v>
      </c>
      <c r="B19" s="17">
        <f>2225*0.3+(C23-2225)*0.151</f>
        <v>713.53424948616885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18"/>
      <c r="B20" s="18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5">
      <c r="A21" s="53" t="s">
        <v>66</v>
      </c>
      <c r="B21" s="53"/>
      <c r="C21" s="54" t="s">
        <v>67</v>
      </c>
      <c r="D21" s="54"/>
      <c r="E21" s="53" t="s">
        <v>68</v>
      </c>
      <c r="F21" s="53"/>
      <c r="G21" s="53" t="s">
        <v>69</v>
      </c>
      <c r="H21" s="53"/>
      <c r="I21" s="53" t="s">
        <v>73</v>
      </c>
      <c r="J21" s="53"/>
      <c r="K21" s="54" t="s">
        <v>20</v>
      </c>
      <c r="L21" s="54"/>
    </row>
    <row r="22" spans="1:12" x14ac:dyDescent="0.25">
      <c r="A22" s="53"/>
      <c r="B22" s="53"/>
      <c r="C22" s="54"/>
      <c r="D22" s="54"/>
      <c r="E22" s="53"/>
      <c r="F22" s="53"/>
      <c r="G22" s="53"/>
      <c r="H22" s="53"/>
      <c r="I22" s="53"/>
      <c r="J22" s="53"/>
      <c r="K22" s="54"/>
      <c r="L22" s="54"/>
    </row>
    <row r="23" spans="1:12" x14ac:dyDescent="0.25">
      <c r="A23" s="52" t="s">
        <v>70</v>
      </c>
      <c r="B23" s="52"/>
      <c r="C23" s="52">
        <f>AVERAGE(Лист2!J21,Лист2!J39,Лист2!J57,Лист2!J75)</f>
        <v>2529.8625793786014</v>
      </c>
      <c r="D23" s="52"/>
      <c r="E23" s="52">
        <f>B18</f>
        <v>134.15233415233416</v>
      </c>
      <c r="F23" s="52"/>
      <c r="G23" s="52">
        <f>2225*0.3+(C23-2225)*0.151</f>
        <v>713.53424948616885</v>
      </c>
      <c r="H23" s="52"/>
      <c r="I23" s="52">
        <f>C23*0.037</f>
        <v>93.604915437008245</v>
      </c>
      <c r="J23" s="52"/>
      <c r="K23" s="52">
        <f>SUM(C23,G23,I23)*E23</f>
        <v>447666.57306849415</v>
      </c>
      <c r="L23" s="52"/>
    </row>
    <row r="24" spans="1:12" x14ac:dyDescent="0.25">
      <c r="A24" s="52" t="s">
        <v>71</v>
      </c>
      <c r="B24" s="52"/>
      <c r="C24" s="52">
        <f>C23*1.3</f>
        <v>3288.821353192182</v>
      </c>
      <c r="D24" s="52"/>
      <c r="E24" s="52">
        <f>E23*0.2</f>
        <v>26.830466830466833</v>
      </c>
      <c r="F24" s="52"/>
      <c r="G24" s="52">
        <f t="shared" ref="G24:G25" si="0">2225*0.3+(C24-2225)*0.151</f>
        <v>828.13702433201945</v>
      </c>
      <c r="H24" s="52"/>
      <c r="I24" s="52">
        <f>C24*0.015</f>
        <v>49.332320297882731</v>
      </c>
      <c r="J24" s="52"/>
      <c r="K24" s="52">
        <f t="shared" ref="K24:K25" si="1">SUM(C24,G24,I24)*E24</f>
        <v>111783.52437399795</v>
      </c>
      <c r="L24" s="52"/>
    </row>
    <row r="25" spans="1:12" x14ac:dyDescent="0.25">
      <c r="A25" s="52" t="s">
        <v>16</v>
      </c>
      <c r="B25" s="52"/>
      <c r="C25" s="52">
        <f>Лист2!J94</f>
        <v>6200.15195132809</v>
      </c>
      <c r="D25" s="52"/>
      <c r="E25" s="52">
        <f>10</f>
        <v>10</v>
      </c>
      <c r="F25" s="52"/>
      <c r="G25" s="52">
        <f t="shared" si="0"/>
        <v>1267.7479446505417</v>
      </c>
      <c r="H25" s="52"/>
      <c r="I25" s="70">
        <f>C25*0.002</f>
        <v>12.40030390265618</v>
      </c>
      <c r="J25" s="70"/>
      <c r="K25" s="70">
        <f t="shared" si="1"/>
        <v>74803.001998812877</v>
      </c>
      <c r="L25" s="70"/>
    </row>
    <row r="26" spans="1:12" x14ac:dyDescent="0.25">
      <c r="A26" s="51"/>
      <c r="B26" s="51"/>
      <c r="C26" s="51"/>
      <c r="D26" s="51"/>
      <c r="E26" s="51"/>
      <c r="F26" s="51"/>
      <c r="G26" s="51"/>
      <c r="H26" s="51"/>
      <c r="I26" s="71" t="s">
        <v>74</v>
      </c>
      <c r="J26" s="71"/>
      <c r="K26" s="72">
        <f>SUM(K23:K25)</f>
        <v>634253.09944130504</v>
      </c>
      <c r="L26" s="72"/>
    </row>
    <row r="27" spans="1:12" x14ac:dyDescent="0.2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</row>
    <row r="28" spans="1:12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</row>
  </sheetData>
  <mergeCells count="55">
    <mergeCell ref="A12:D12"/>
    <mergeCell ref="A6:D6"/>
    <mergeCell ref="A7:D7"/>
    <mergeCell ref="A8:D8"/>
    <mergeCell ref="A9:D9"/>
    <mergeCell ref="A10:D10"/>
    <mergeCell ref="A11:D11"/>
    <mergeCell ref="A3:J3"/>
    <mergeCell ref="A4:J4"/>
    <mergeCell ref="A5:J5"/>
    <mergeCell ref="A2:J2"/>
    <mergeCell ref="A1:J1"/>
    <mergeCell ref="A14:B14"/>
    <mergeCell ref="A21:B22"/>
    <mergeCell ref="C21:D22"/>
    <mergeCell ref="E21:F22"/>
    <mergeCell ref="G21:H22"/>
    <mergeCell ref="I21:J22"/>
    <mergeCell ref="K21:L22"/>
    <mergeCell ref="A23:B23"/>
    <mergeCell ref="A24:B24"/>
    <mergeCell ref="A25:B25"/>
    <mergeCell ref="G23:H23"/>
    <mergeCell ref="I23:J23"/>
    <mergeCell ref="K23:L23"/>
    <mergeCell ref="G24:H24"/>
    <mergeCell ref="K24:L24"/>
    <mergeCell ref="I24:J24"/>
    <mergeCell ref="G25:H25"/>
    <mergeCell ref="I25:J25"/>
    <mergeCell ref="K25:L25"/>
    <mergeCell ref="A26:B26"/>
    <mergeCell ref="A27:B27"/>
    <mergeCell ref="A28:B28"/>
    <mergeCell ref="C23:D23"/>
    <mergeCell ref="E23:F23"/>
    <mergeCell ref="C24:D24"/>
    <mergeCell ref="C25:D25"/>
    <mergeCell ref="C26:D26"/>
    <mergeCell ref="E24:F24"/>
    <mergeCell ref="E25:F25"/>
    <mergeCell ref="C27:D27"/>
    <mergeCell ref="C28:D28"/>
    <mergeCell ref="K26:L26"/>
    <mergeCell ref="K27:L27"/>
    <mergeCell ref="K28:L28"/>
    <mergeCell ref="I26:J26"/>
    <mergeCell ref="I27:J27"/>
    <mergeCell ref="I28:J28"/>
    <mergeCell ref="G26:H26"/>
    <mergeCell ref="G27:H27"/>
    <mergeCell ref="G28:H28"/>
    <mergeCell ref="E26:F26"/>
    <mergeCell ref="E27:F27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Тони Скрябнев</dc:creator>
  <cp:lastModifiedBy>Toni</cp:lastModifiedBy>
  <dcterms:created xsi:type="dcterms:W3CDTF">2015-06-05T18:19:34Z</dcterms:created>
  <dcterms:modified xsi:type="dcterms:W3CDTF">2024-12-01T18:09:41Z</dcterms:modified>
</cp:coreProperties>
</file>