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c\5 семак\Экономика предприятия\"/>
    </mc:Choice>
  </mc:AlternateContent>
  <bookViews>
    <workbookView xWindow="-105" yWindow="-105" windowWidth="23250" windowHeight="12450" activeTab="2"/>
  </bookViews>
  <sheets>
    <sheet name="Лист1" sheetId="1" r:id="rId1"/>
    <sheet name="Лист2" sheetId="2" r:id="rId2"/>
    <sheet name="Прочие затраты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9" i="2"/>
  <c r="C6" i="2"/>
  <c r="C3" i="2"/>
  <c r="C12" i="2"/>
  <c r="C11" i="2"/>
  <c r="I16" i="1"/>
  <c r="I20" i="1"/>
  <c r="H6" i="1"/>
  <c r="I25" i="1"/>
  <c r="D35" i="3"/>
  <c r="D33" i="3"/>
  <c r="D14" i="3"/>
  <c r="B4" i="3"/>
  <c r="D9" i="3" l="1"/>
  <c r="D8" i="3" s="1"/>
  <c r="B2" i="3" s="1"/>
  <c r="A46" i="2"/>
  <c r="A45" i="2"/>
  <c r="A44" i="2"/>
  <c r="C39" i="2"/>
  <c r="D39" i="2" s="1"/>
  <c r="C38" i="2"/>
  <c r="D38" i="2" s="1"/>
  <c r="B47" i="2" s="1"/>
  <c r="B39" i="2"/>
  <c r="B38" i="2"/>
  <c r="C25" i="2" l="1"/>
  <c r="C26" i="2"/>
  <c r="C20" i="2"/>
  <c r="H5" i="1"/>
  <c r="B43" i="2"/>
  <c r="H4" i="1"/>
  <c r="B42" i="2" s="1"/>
  <c r="B44" i="2" l="1"/>
  <c r="B48" i="2" s="1"/>
  <c r="C24" i="2"/>
  <c r="B46" i="2" s="1"/>
  <c r="D29" i="3"/>
  <c r="C10" i="2"/>
  <c r="B45" i="2" s="1"/>
  <c r="D22" i="3" l="1"/>
  <c r="D23" i="3"/>
  <c r="D21" i="3" l="1"/>
  <c r="B3" i="3" s="1"/>
</calcChain>
</file>

<file path=xl/sharedStrings.xml><?xml version="1.0" encoding="utf-8"?>
<sst xmlns="http://schemas.openxmlformats.org/spreadsheetml/2006/main" count="183" uniqueCount="148">
  <si>
    <t>Расчёт материальных затрат</t>
  </si>
  <si>
    <t>Зэл = СУММ(Rэл) *Ц кВт</t>
  </si>
  <si>
    <t>Ц кВт = 4 +0,1*Nв (Руб/кВт)</t>
  </si>
  <si>
    <t>Потребляемая энергия</t>
  </si>
  <si>
    <t xml:space="preserve">Цена </t>
  </si>
  <si>
    <t>Nоб - кол-во оборудования</t>
  </si>
  <si>
    <t xml:space="preserve">Mоб - Мощность </t>
  </si>
  <si>
    <t>Nэ*Мэ = 6*500 кВт/ч</t>
  </si>
  <si>
    <t>Nпр*Мпр = 100*1 кВт/ч</t>
  </si>
  <si>
    <t>Nб/р*Мб/р = 2*320 кВт/ч</t>
  </si>
  <si>
    <t>Rэл = СУММ(Nоб*Mоб)*Tоб*nсм*Тсм*Ким</t>
  </si>
  <si>
    <t>количество смен</t>
  </si>
  <si>
    <t>nсм = 2</t>
  </si>
  <si>
    <t>Тсм = 12</t>
  </si>
  <si>
    <t>время смен</t>
  </si>
  <si>
    <t>2. Затраты на топливо и смазочные материалы</t>
  </si>
  <si>
    <t>Формулы</t>
  </si>
  <si>
    <t>Пояснения</t>
  </si>
  <si>
    <t>Значения</t>
  </si>
  <si>
    <t>Цт = 50 + Nв</t>
  </si>
  <si>
    <t>Згсм = 15% от 3 т.</t>
  </si>
  <si>
    <t>Nr - нормативный расход топлипа для тех.</t>
  </si>
  <si>
    <t>Зт = СУММ(Rт) Цт + Згсм</t>
  </si>
  <si>
    <t>Кв</t>
  </si>
  <si>
    <t>Коэф. Вскрыши</t>
  </si>
  <si>
    <t>Vк</t>
  </si>
  <si>
    <t>Lтр</t>
  </si>
  <si>
    <t>Lгод = (Ап.и. (Кв+1)*2*Lтр)/Vr</t>
  </si>
  <si>
    <t>Пробег в год</t>
  </si>
  <si>
    <t>Поправочный коэф</t>
  </si>
  <si>
    <t>Кп</t>
  </si>
  <si>
    <t>Сумм Rт = 0,01 *Nr*Lгод *Kп</t>
  </si>
  <si>
    <t>длина трасы</t>
  </si>
  <si>
    <t>Объём кузова</t>
  </si>
  <si>
    <t>Затраты на шины</t>
  </si>
  <si>
    <t xml:space="preserve">Формула </t>
  </si>
  <si>
    <t>Значение</t>
  </si>
  <si>
    <t>Nш</t>
  </si>
  <si>
    <t>нормативный пробег шины</t>
  </si>
  <si>
    <t>nш</t>
  </si>
  <si>
    <t>Количество шин на одном самосвале</t>
  </si>
  <si>
    <t>Цш</t>
  </si>
  <si>
    <t>Цена шины</t>
  </si>
  <si>
    <t>Зш= (Lгод/Nш)*nш*Цш</t>
  </si>
  <si>
    <t>руб/год</t>
  </si>
  <si>
    <t>Затраты на бурение</t>
  </si>
  <si>
    <t>Затраты на долоты</t>
  </si>
  <si>
    <t>Затраты на штанг</t>
  </si>
  <si>
    <t>Rдол</t>
  </si>
  <si>
    <t>Rшт</t>
  </si>
  <si>
    <t>расход долоты</t>
  </si>
  <si>
    <t>расходы штанг</t>
  </si>
  <si>
    <t>Збур = Здол+Зшт = Rдол*Цдол+Rшт*Цшт</t>
  </si>
  <si>
    <t>f</t>
  </si>
  <si>
    <t xml:space="preserve">f </t>
  </si>
  <si>
    <t>Коэф. Крепости</t>
  </si>
  <si>
    <t>Цдол</t>
  </si>
  <si>
    <t>Цшт</t>
  </si>
  <si>
    <t>Регион для бурения (Коэф. Перевода)</t>
  </si>
  <si>
    <t>Цена долота</t>
  </si>
  <si>
    <t>Цена штанги</t>
  </si>
  <si>
    <t>Новгородская</t>
  </si>
  <si>
    <t>Rшт(2024)</t>
  </si>
  <si>
    <t>Rдол(2024)</t>
  </si>
  <si>
    <t>Затраты на взрывчатые вещества</t>
  </si>
  <si>
    <t>Звв = Qв.в. Год *Ц в.в.</t>
  </si>
  <si>
    <t>годовой расход взрывчатого вещества</t>
  </si>
  <si>
    <t>Цена в.в.</t>
  </si>
  <si>
    <t>Цв.в.</t>
  </si>
  <si>
    <t>Qвв=Апи(Кв+1)*qвв</t>
  </si>
  <si>
    <t xml:space="preserve">удельный расход </t>
  </si>
  <si>
    <t>qв.в.</t>
  </si>
  <si>
    <t>Эл. Детонаторы</t>
  </si>
  <si>
    <t>Провод для взрвных работ</t>
  </si>
  <si>
    <t>Показатель</t>
  </si>
  <si>
    <t>4 руб/шт</t>
  </si>
  <si>
    <t>0,45 руб/м</t>
  </si>
  <si>
    <t>r(дел), шт</t>
  </si>
  <si>
    <t>Цена (2000г), руб</t>
  </si>
  <si>
    <t>r(пр), шт</t>
  </si>
  <si>
    <t>Ц=Ц(2000г)*Кпер.</t>
  </si>
  <si>
    <t>Эл. Дет</t>
  </si>
  <si>
    <t>R(дет)=(Апи*(Кв+1)*r(дел))/100</t>
  </si>
  <si>
    <t>З(дет) = R(дет)*Ц(дет)</t>
  </si>
  <si>
    <t>Мат затраты</t>
  </si>
  <si>
    <t>Эл. Энергия</t>
  </si>
  <si>
    <t>Топливо и смазочные материалы</t>
  </si>
  <si>
    <t>Средства инциирования</t>
  </si>
  <si>
    <t>Средства иницирования</t>
  </si>
  <si>
    <t>Значение, млн руб</t>
  </si>
  <si>
    <t>Итого</t>
  </si>
  <si>
    <t>Прочие затраты:</t>
  </si>
  <si>
    <t>Налоги:</t>
  </si>
  <si>
    <t>Штрафы:</t>
  </si>
  <si>
    <t>Аутсорсинг:</t>
  </si>
  <si>
    <t>Налог На Имущество (Не движимое)</t>
  </si>
  <si>
    <t>Формула</t>
  </si>
  <si>
    <t>Пояснение</t>
  </si>
  <si>
    <t xml:space="preserve">Значение </t>
  </si>
  <si>
    <t>Переменная</t>
  </si>
  <si>
    <t>НИ (нед)</t>
  </si>
  <si>
    <t>Sзд</t>
  </si>
  <si>
    <t>Стоимость здания</t>
  </si>
  <si>
    <t>Ставка налога на имущество</t>
  </si>
  <si>
    <t>НИ (нед) = (Sзд*С(ни))/100</t>
  </si>
  <si>
    <t>Налог на Транспорт</t>
  </si>
  <si>
    <t>Н (тр)</t>
  </si>
  <si>
    <t>С(ни)</t>
  </si>
  <si>
    <t>N(тр)</t>
  </si>
  <si>
    <t>Снтр</t>
  </si>
  <si>
    <t>Мощность</t>
  </si>
  <si>
    <t>Ставка налога на транспорт</t>
  </si>
  <si>
    <t>НБ</t>
  </si>
  <si>
    <t>Налоговая база</t>
  </si>
  <si>
    <t>-</t>
  </si>
  <si>
    <t>Зависит от региона</t>
  </si>
  <si>
    <t>na.log.gov.ru/…/calc_transport</t>
  </si>
  <si>
    <t>Сайт сразу посчитал все произведение на 1 эл</t>
  </si>
  <si>
    <t>Н (тр) = Н (тр) (автосам) = НБ (тр) *С (нтр) *N(тр)*n(а/с)</t>
  </si>
  <si>
    <t>Штрафы = Затраты на выбросы</t>
  </si>
  <si>
    <t>З(выбросы)</t>
  </si>
  <si>
    <t>З(выбросы) = М(з)*С(з)</t>
  </si>
  <si>
    <t>Масса выбрасывающих загрязняющих веществ</t>
  </si>
  <si>
    <t>М(з)</t>
  </si>
  <si>
    <t>С(з)</t>
  </si>
  <si>
    <t>М(з)(СО2) = Гамма(СО2)*Q(вв.год)</t>
  </si>
  <si>
    <t>М(з)(NO) = Гамма(NO)*Q(вв.год)</t>
  </si>
  <si>
    <t>C(в)(СО2)</t>
  </si>
  <si>
    <t>Ставка за выброс СО2</t>
  </si>
  <si>
    <t>Ставка за выброс NO</t>
  </si>
  <si>
    <t>С(в)(NO)</t>
  </si>
  <si>
    <t xml:space="preserve">Удельное выделение вредных веществ при 1 тонне </t>
  </si>
  <si>
    <t>Гамма (СО2)</t>
  </si>
  <si>
    <t>Гамма (NO)</t>
  </si>
  <si>
    <t>руб/т</t>
  </si>
  <si>
    <t>Q(вв. год)</t>
  </si>
  <si>
    <t>Ставка на выброс</t>
  </si>
  <si>
    <t>З(рем)</t>
  </si>
  <si>
    <t>З(рем) = А(о. обор) * К(ТО и Р)</t>
  </si>
  <si>
    <t>К(ТО и Р)</t>
  </si>
  <si>
    <t>Коэф. На ремонт и тех. Обслуживание</t>
  </si>
  <si>
    <t>А(о. обор)</t>
  </si>
  <si>
    <t>Аморзационные отчисления (а/о,э,б/с)</t>
  </si>
  <si>
    <t>А(о. обор)=((S(a/c)*N(a/c))/T(исп. а/с)) +(S(экс)*N(экс))/T(исп. экс) + (S(б/с)*N(б/с))/T(исп. б/с)</t>
  </si>
  <si>
    <t>1. Затраты на электроэнергию</t>
  </si>
  <si>
    <t>Здол = Цдол * Rдол(2024)</t>
  </si>
  <si>
    <t>Зшт = Цшт * Rшт(2024)</t>
  </si>
  <si>
    <t>Затраты на аутсорсинг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</si>
</sst>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4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050"/>
      <color rgb="FFFFFF66"/>
      <color rgb="FFCCCCFF"/>
      <color rgb="FF9966FF"/>
      <color rgb="FF33CC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I17" sqref="I17"/>
    </sheetView>
  </sheetViews>
  <sheetFormatPr defaultRowHeight="18.75" x14ac:dyDescent="0.25"/>
  <cols>
    <col min="1" max="1" width="12.7109375" style="1" customWidth="1"/>
    <col min="2" max="2" width="9.140625" style="1"/>
    <col min="3" max="3" width="17.140625" style="1" customWidth="1"/>
    <col min="4" max="4" width="18.7109375" style="1" customWidth="1"/>
    <col min="5" max="6" width="9.140625" style="1"/>
    <col min="7" max="7" width="8.85546875" style="1" customWidth="1"/>
    <col min="8" max="8" width="11.5703125" style="1" bestFit="1" customWidth="1"/>
    <col min="9" max="9" width="15.5703125" style="1" bestFit="1" customWidth="1"/>
    <col min="10" max="16384" width="9.140625" style="1"/>
  </cols>
  <sheetData>
    <row r="1" spans="1:23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25">
      <c r="A2" s="21" t="s">
        <v>144</v>
      </c>
      <c r="B2" s="21"/>
      <c r="C2" s="21"/>
      <c r="D2" s="21"/>
      <c r="E2" s="21"/>
      <c r="F2" s="21"/>
      <c r="G2" s="21"/>
      <c r="H2" s="21"/>
    </row>
    <row r="3" spans="1:23" x14ac:dyDescent="0.25">
      <c r="A3" s="23" t="s">
        <v>96</v>
      </c>
      <c r="B3" s="23"/>
      <c r="C3" s="23"/>
      <c r="D3" s="23"/>
      <c r="E3" s="23" t="s">
        <v>17</v>
      </c>
      <c r="F3" s="23"/>
      <c r="G3" s="23"/>
      <c r="H3" s="24" t="s">
        <v>36</v>
      </c>
    </row>
    <row r="4" spans="1:23" x14ac:dyDescent="0.25">
      <c r="A4" s="13" t="s">
        <v>1</v>
      </c>
      <c r="B4" s="13"/>
      <c r="C4" s="13"/>
      <c r="D4" s="13"/>
      <c r="E4" s="13"/>
      <c r="F4" s="13"/>
      <c r="G4" s="13"/>
      <c r="H4" s="12">
        <f>H6*H5</f>
        <v>84823200</v>
      </c>
    </row>
    <row r="5" spans="1:23" x14ac:dyDescent="0.25">
      <c r="A5" s="13" t="s">
        <v>2</v>
      </c>
      <c r="B5" s="13"/>
      <c r="C5" s="13"/>
      <c r="D5" s="13"/>
      <c r="E5" s="13" t="s">
        <v>4</v>
      </c>
      <c r="F5" s="13"/>
      <c r="G5" s="13"/>
      <c r="H5" s="12">
        <f>4+0.1*14</f>
        <v>5.4</v>
      </c>
    </row>
    <row r="6" spans="1:23" x14ac:dyDescent="0.25">
      <c r="A6" s="13" t="s">
        <v>10</v>
      </c>
      <c r="B6" s="13"/>
      <c r="C6" s="13"/>
      <c r="D6" s="13"/>
      <c r="E6" s="13" t="s">
        <v>3</v>
      </c>
      <c r="F6" s="13"/>
      <c r="G6" s="13"/>
      <c r="H6" s="12">
        <f>SUM(6*500,2*320,100)*350*2*12*0.5</f>
        <v>15708000</v>
      </c>
    </row>
    <row r="7" spans="1:23" x14ac:dyDescent="0.25">
      <c r="A7" s="13" t="s">
        <v>5</v>
      </c>
      <c r="B7" s="13"/>
      <c r="C7" s="13"/>
      <c r="D7" s="13"/>
      <c r="E7" s="13"/>
      <c r="F7" s="13"/>
      <c r="G7" s="13"/>
      <c r="H7" s="12"/>
    </row>
    <row r="8" spans="1:23" x14ac:dyDescent="0.25">
      <c r="A8" s="13" t="s">
        <v>6</v>
      </c>
      <c r="B8" s="13"/>
      <c r="C8" s="13"/>
      <c r="D8" s="13"/>
      <c r="E8" s="13"/>
      <c r="F8" s="13"/>
      <c r="G8" s="13"/>
      <c r="H8" s="12"/>
    </row>
    <row r="9" spans="1:23" x14ac:dyDescent="0.25">
      <c r="A9" s="13" t="s">
        <v>7</v>
      </c>
      <c r="B9" s="13"/>
      <c r="C9" s="13"/>
      <c r="D9" s="13"/>
      <c r="E9" s="13"/>
      <c r="F9" s="13"/>
      <c r="G9" s="13"/>
      <c r="H9" s="12"/>
    </row>
    <row r="10" spans="1:23" x14ac:dyDescent="0.25">
      <c r="A10" s="13" t="s">
        <v>9</v>
      </c>
      <c r="B10" s="13"/>
      <c r="C10" s="13"/>
      <c r="D10" s="13"/>
      <c r="E10" s="13"/>
      <c r="F10" s="13"/>
      <c r="G10" s="13"/>
      <c r="H10" s="12"/>
    </row>
    <row r="11" spans="1:23" x14ac:dyDescent="0.25">
      <c r="A11" s="13" t="s">
        <v>8</v>
      </c>
      <c r="B11" s="13"/>
      <c r="C11" s="13"/>
      <c r="D11" s="13"/>
      <c r="E11" s="13"/>
      <c r="F11" s="13"/>
      <c r="G11" s="13"/>
      <c r="H11" s="12"/>
    </row>
    <row r="12" spans="1:23" x14ac:dyDescent="0.25">
      <c r="A12" s="13" t="s">
        <v>12</v>
      </c>
      <c r="B12" s="13"/>
      <c r="C12" s="13"/>
      <c r="D12" s="13"/>
      <c r="E12" s="13" t="s">
        <v>11</v>
      </c>
      <c r="F12" s="13"/>
      <c r="G12" s="13"/>
      <c r="H12" s="12"/>
    </row>
    <row r="13" spans="1:23" x14ac:dyDescent="0.25">
      <c r="A13" s="13" t="s">
        <v>13</v>
      </c>
      <c r="B13" s="13"/>
      <c r="C13" s="13"/>
      <c r="D13" s="13"/>
      <c r="E13" s="13" t="s">
        <v>14</v>
      </c>
      <c r="F13" s="13"/>
      <c r="G13" s="13"/>
      <c r="H13" s="12"/>
    </row>
    <row r="14" spans="1:23" x14ac:dyDescent="0.25">
      <c r="A14" s="25" t="s">
        <v>15</v>
      </c>
      <c r="B14" s="25"/>
      <c r="C14" s="25"/>
      <c r="D14" s="25"/>
      <c r="E14" s="25"/>
      <c r="F14" s="25"/>
      <c r="G14" s="25"/>
      <c r="H14" s="25"/>
      <c r="I14" s="25"/>
    </row>
    <row r="15" spans="1:23" x14ac:dyDescent="0.25">
      <c r="A15" s="23" t="s">
        <v>16</v>
      </c>
      <c r="B15" s="23"/>
      <c r="C15" s="23"/>
      <c r="D15" s="23"/>
      <c r="E15" s="23" t="s">
        <v>17</v>
      </c>
      <c r="F15" s="23"/>
      <c r="G15" s="23"/>
      <c r="H15" s="23"/>
      <c r="I15" s="24" t="s">
        <v>18</v>
      </c>
    </row>
    <row r="16" spans="1:23" x14ac:dyDescent="0.25">
      <c r="A16" s="13" t="s">
        <v>22</v>
      </c>
      <c r="B16" s="13"/>
      <c r="C16" s="13"/>
      <c r="D16" s="13"/>
      <c r="E16" s="13"/>
      <c r="F16" s="13"/>
      <c r="G16" s="13"/>
      <c r="H16" s="13"/>
      <c r="I16" s="12">
        <f>I20*I17*1.15</f>
        <v>447057347.18100888</v>
      </c>
    </row>
    <row r="17" spans="1:9" x14ac:dyDescent="0.25">
      <c r="A17" s="13" t="s">
        <v>19</v>
      </c>
      <c r="B17" s="13"/>
      <c r="C17" s="13"/>
      <c r="D17" s="13"/>
      <c r="E17" s="13"/>
      <c r="F17" s="13"/>
      <c r="G17" s="13"/>
      <c r="H17" s="13"/>
      <c r="I17" s="12">
        <v>63</v>
      </c>
    </row>
    <row r="18" spans="1:9" x14ac:dyDescent="0.25">
      <c r="A18" s="13" t="s">
        <v>20</v>
      </c>
      <c r="B18" s="13"/>
      <c r="C18" s="13"/>
      <c r="D18" s="13"/>
      <c r="E18" s="13"/>
      <c r="F18" s="13"/>
      <c r="G18" s="13"/>
      <c r="H18" s="13"/>
      <c r="I18" s="12"/>
    </row>
    <row r="19" spans="1:9" x14ac:dyDescent="0.25">
      <c r="A19" s="13" t="s">
        <v>21</v>
      </c>
      <c r="B19" s="13"/>
      <c r="C19" s="13"/>
      <c r="D19" s="13"/>
      <c r="E19" s="13"/>
      <c r="F19" s="13"/>
      <c r="G19" s="13"/>
      <c r="H19" s="13"/>
      <c r="I19" s="12">
        <v>215</v>
      </c>
    </row>
    <row r="20" spans="1:9" x14ac:dyDescent="0.25">
      <c r="A20" s="13" t="s">
        <v>31</v>
      </c>
      <c r="B20" s="13"/>
      <c r="C20" s="13"/>
      <c r="D20" s="13"/>
      <c r="E20" s="13"/>
      <c r="F20" s="13"/>
      <c r="G20" s="13"/>
      <c r="H20" s="13"/>
      <c r="I20" s="12">
        <f>0.01*215*I25*I21</f>
        <v>6170563.7982195839</v>
      </c>
    </row>
    <row r="21" spans="1:9" x14ac:dyDescent="0.25">
      <c r="A21" s="13" t="s">
        <v>30</v>
      </c>
      <c r="B21" s="13"/>
      <c r="C21" s="13"/>
      <c r="D21" s="13"/>
      <c r="E21" s="13" t="s">
        <v>29</v>
      </c>
      <c r="F21" s="13"/>
      <c r="G21" s="13"/>
      <c r="H21" s="13"/>
      <c r="I21" s="12">
        <v>1.3</v>
      </c>
    </row>
    <row r="22" spans="1:9" x14ac:dyDescent="0.25">
      <c r="A22" s="13" t="s">
        <v>23</v>
      </c>
      <c r="B22" s="13"/>
      <c r="C22" s="13"/>
      <c r="D22" s="13"/>
      <c r="E22" s="17" t="s">
        <v>24</v>
      </c>
      <c r="F22" s="18"/>
      <c r="G22" s="18"/>
      <c r="H22" s="19"/>
      <c r="I22" s="12">
        <v>1</v>
      </c>
    </row>
    <row r="23" spans="1:9" x14ac:dyDescent="0.25">
      <c r="A23" s="13" t="s">
        <v>25</v>
      </c>
      <c r="B23" s="13"/>
      <c r="C23" s="13"/>
      <c r="D23" s="13"/>
      <c r="E23" s="13" t="s">
        <v>33</v>
      </c>
      <c r="F23" s="13"/>
      <c r="G23" s="13"/>
      <c r="H23" s="13"/>
      <c r="I23" s="12">
        <v>33.700000000000003</v>
      </c>
    </row>
    <row r="24" spans="1:9" x14ac:dyDescent="0.25">
      <c r="A24" s="13" t="s">
        <v>26</v>
      </c>
      <c r="B24" s="13"/>
      <c r="C24" s="13"/>
      <c r="D24" s="13"/>
      <c r="E24" s="13" t="s">
        <v>32</v>
      </c>
      <c r="F24" s="13"/>
      <c r="G24" s="13"/>
      <c r="H24" s="13"/>
      <c r="I24" s="12">
        <v>3</v>
      </c>
    </row>
    <row r="25" spans="1:9" x14ac:dyDescent="0.25">
      <c r="A25" s="13" t="s">
        <v>27</v>
      </c>
      <c r="B25" s="13"/>
      <c r="C25" s="13"/>
      <c r="D25" s="13"/>
      <c r="E25" s="13" t="s">
        <v>28</v>
      </c>
      <c r="F25" s="13"/>
      <c r="G25" s="13"/>
      <c r="H25" s="13"/>
      <c r="I25" s="12">
        <f>(6.2*2*2*I24)/I23 *10^6</f>
        <v>2207715.1335311569</v>
      </c>
    </row>
  </sheetData>
  <mergeCells count="47">
    <mergeCell ref="A14:I14"/>
    <mergeCell ref="E7:G7"/>
    <mergeCell ref="E8:G8"/>
    <mergeCell ref="E9:G9"/>
    <mergeCell ref="E10:G10"/>
    <mergeCell ref="E13:G13"/>
    <mergeCell ref="A12:D12"/>
    <mergeCell ref="A6:D6"/>
    <mergeCell ref="E5:G5"/>
    <mergeCell ref="E4:G4"/>
    <mergeCell ref="E11:G11"/>
    <mergeCell ref="E12:G12"/>
    <mergeCell ref="A7:D7"/>
    <mergeCell ref="A8:D8"/>
    <mergeCell ref="A9:D9"/>
    <mergeCell ref="A10:D10"/>
    <mergeCell ref="A11:D11"/>
    <mergeCell ref="A5:D5"/>
    <mergeCell ref="A13:D13"/>
    <mergeCell ref="E6:G6"/>
    <mergeCell ref="A1:W1"/>
    <mergeCell ref="A4:D4"/>
    <mergeCell ref="A3:D3"/>
    <mergeCell ref="E3:G3"/>
    <mergeCell ref="A2:H2"/>
    <mergeCell ref="A15:D15"/>
    <mergeCell ref="A16:D16"/>
    <mergeCell ref="A17:D17"/>
    <mergeCell ref="A18:D18"/>
    <mergeCell ref="E16:H16"/>
    <mergeCell ref="E17:H17"/>
    <mergeCell ref="E18:H18"/>
    <mergeCell ref="E15:H15"/>
    <mergeCell ref="A19:D19"/>
    <mergeCell ref="A20:D20"/>
    <mergeCell ref="A21:D21"/>
    <mergeCell ref="E19:H19"/>
    <mergeCell ref="E20:H20"/>
    <mergeCell ref="E21:H21"/>
    <mergeCell ref="A22:D22"/>
    <mergeCell ref="A23:D23"/>
    <mergeCell ref="A24:D24"/>
    <mergeCell ref="A25:D25"/>
    <mergeCell ref="E22:H22"/>
    <mergeCell ref="E23:H23"/>
    <mergeCell ref="E24:H24"/>
    <mergeCell ref="E25:H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22" zoomScaleNormal="100" workbookViewId="0">
      <selection activeCell="D43" sqref="D43:D44"/>
    </sheetView>
  </sheetViews>
  <sheetFormatPr defaultColWidth="8.85546875" defaultRowHeight="18.75" x14ac:dyDescent="0.25"/>
  <cols>
    <col min="1" max="1" width="57.28515625" style="1" customWidth="1"/>
    <col min="2" max="2" width="47" style="1" customWidth="1"/>
    <col min="3" max="3" width="37.28515625" style="1" customWidth="1"/>
    <col min="4" max="4" width="26.7109375" style="1" customWidth="1"/>
    <col min="5" max="16384" width="8.85546875" style="1"/>
  </cols>
  <sheetData>
    <row r="1" spans="1:12" x14ac:dyDescent="0.25">
      <c r="A1" s="25" t="s">
        <v>34</v>
      </c>
      <c r="B1" s="25"/>
      <c r="C1" s="25"/>
    </row>
    <row r="2" spans="1:12" x14ac:dyDescent="0.25">
      <c r="A2" s="22" t="s">
        <v>35</v>
      </c>
      <c r="B2" s="22" t="s">
        <v>17</v>
      </c>
      <c r="C2" s="22" t="s">
        <v>36</v>
      </c>
    </row>
    <row r="3" spans="1:12" x14ac:dyDescent="0.25">
      <c r="A3" s="2" t="s">
        <v>43</v>
      </c>
      <c r="B3" s="2" t="s">
        <v>44</v>
      </c>
      <c r="C3" s="2">
        <f>(Лист1!I25/Лист2!C4)*Лист2!C5*Лист2!C6</f>
        <v>143059940.65281898</v>
      </c>
    </row>
    <row r="4" spans="1:12" x14ac:dyDescent="0.25">
      <c r="A4" s="2" t="s">
        <v>37</v>
      </c>
      <c r="B4" s="2" t="s">
        <v>38</v>
      </c>
      <c r="C4" s="2">
        <v>50000</v>
      </c>
    </row>
    <row r="5" spans="1:12" x14ac:dyDescent="0.25">
      <c r="A5" s="2" t="s">
        <v>39</v>
      </c>
      <c r="B5" s="2" t="s">
        <v>40</v>
      </c>
      <c r="C5" s="2">
        <v>6</v>
      </c>
    </row>
    <row r="6" spans="1:12" x14ac:dyDescent="0.25">
      <c r="A6" s="2" t="s">
        <v>41</v>
      </c>
      <c r="B6" s="2" t="s">
        <v>42</v>
      </c>
      <c r="C6" s="2">
        <f>(400+10*14)*1000</f>
        <v>540000</v>
      </c>
    </row>
    <row r="7" spans="1:12" x14ac:dyDescent="0.25">
      <c r="A7" s="3"/>
      <c r="B7" s="3"/>
      <c r="C7" s="3"/>
    </row>
    <row r="8" spans="1:12" x14ac:dyDescent="0.25">
      <c r="A8" s="25" t="s">
        <v>45</v>
      </c>
      <c r="B8" s="25"/>
      <c r="C8" s="25"/>
    </row>
    <row r="9" spans="1:12" x14ac:dyDescent="0.25">
      <c r="A9" s="22" t="s">
        <v>35</v>
      </c>
      <c r="B9" s="22" t="s">
        <v>17</v>
      </c>
      <c r="C9" s="22" t="s">
        <v>36</v>
      </c>
    </row>
    <row r="10" spans="1:12" x14ac:dyDescent="0.25">
      <c r="A10" s="2" t="s">
        <v>52</v>
      </c>
      <c r="B10" s="2" t="s">
        <v>44</v>
      </c>
      <c r="C10" s="2">
        <f>C11+C12</f>
        <v>67108800.000000015</v>
      </c>
    </row>
    <row r="11" spans="1:12" x14ac:dyDescent="0.25">
      <c r="A11" s="2" t="s">
        <v>145</v>
      </c>
      <c r="B11" s="2" t="s">
        <v>46</v>
      </c>
      <c r="C11" s="2">
        <f>C19*C16</f>
        <v>33132800.000000007</v>
      </c>
    </row>
    <row r="12" spans="1:12" x14ac:dyDescent="0.25">
      <c r="A12" s="2" t="s">
        <v>146</v>
      </c>
      <c r="B12" s="2" t="s">
        <v>47</v>
      </c>
      <c r="C12" s="2">
        <f>C20*C17</f>
        <v>33976000.000000007</v>
      </c>
    </row>
    <row r="13" spans="1:12" x14ac:dyDescent="0.25">
      <c r="A13" s="2" t="s">
        <v>48</v>
      </c>
      <c r="B13" s="2" t="s">
        <v>50</v>
      </c>
      <c r="C13" s="2">
        <v>0.04</v>
      </c>
      <c r="E13" s="2" t="s">
        <v>53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</row>
    <row r="14" spans="1:12" x14ac:dyDescent="0.25">
      <c r="A14" s="2" t="s">
        <v>49</v>
      </c>
      <c r="B14" s="2" t="s">
        <v>51</v>
      </c>
      <c r="C14" s="2">
        <v>0.05</v>
      </c>
      <c r="E14" s="2" t="s">
        <v>48</v>
      </c>
      <c r="F14" s="2">
        <v>2E-3</v>
      </c>
      <c r="G14" s="2">
        <v>3.0000000000000001E-3</v>
      </c>
      <c r="H14" s="2">
        <v>7.0000000000000001E-3</v>
      </c>
      <c r="I14" s="2">
        <v>0.01</v>
      </c>
      <c r="J14" s="2">
        <v>0.02</v>
      </c>
      <c r="K14" s="2">
        <v>0.04</v>
      </c>
      <c r="L14" s="2">
        <v>0.09</v>
      </c>
    </row>
    <row r="15" spans="1:12" x14ac:dyDescent="0.25">
      <c r="A15" s="2" t="s">
        <v>54</v>
      </c>
      <c r="B15" s="2" t="s">
        <v>55</v>
      </c>
      <c r="C15" s="2">
        <v>10</v>
      </c>
      <c r="E15" s="2" t="s">
        <v>49</v>
      </c>
      <c r="F15" s="2">
        <v>2E-3</v>
      </c>
      <c r="G15" s="2">
        <v>3.0000000000000001E-3</v>
      </c>
      <c r="H15" s="2">
        <v>6.0000000000000001E-3</v>
      </c>
      <c r="I15" s="2">
        <v>0.01</v>
      </c>
      <c r="J15" s="2">
        <v>0.03</v>
      </c>
      <c r="K15" s="2">
        <v>0.05</v>
      </c>
      <c r="L15" s="2">
        <v>0.11</v>
      </c>
    </row>
    <row r="16" spans="1:12" x14ac:dyDescent="0.25">
      <c r="A16" s="2" t="s">
        <v>56</v>
      </c>
      <c r="B16" s="2" t="s">
        <v>59</v>
      </c>
      <c r="C16" s="2">
        <v>6680</v>
      </c>
    </row>
    <row r="17" spans="1:9" x14ac:dyDescent="0.25">
      <c r="A17" s="2" t="s">
        <v>57</v>
      </c>
      <c r="B17" s="2" t="s">
        <v>60</v>
      </c>
      <c r="C17" s="2">
        <v>5480</v>
      </c>
    </row>
    <row r="18" spans="1:9" x14ac:dyDescent="0.25">
      <c r="A18" s="2" t="s">
        <v>58</v>
      </c>
      <c r="B18" s="2" t="s">
        <v>61</v>
      </c>
      <c r="C18" s="2">
        <v>7.97</v>
      </c>
    </row>
    <row r="19" spans="1:9" x14ac:dyDescent="0.25">
      <c r="A19" s="2" t="s">
        <v>63</v>
      </c>
      <c r="B19" s="2" t="s">
        <v>59</v>
      </c>
      <c r="C19" s="2">
        <f>((6.2*(1+1)*C13)/100)*10^6</f>
        <v>4960.0000000000009</v>
      </c>
    </row>
    <row r="20" spans="1:9" x14ac:dyDescent="0.25">
      <c r="A20" s="2" t="s">
        <v>62</v>
      </c>
      <c r="B20" s="2" t="s">
        <v>60</v>
      </c>
      <c r="C20" s="2">
        <f>((6.2*(1+1)*C14)/100)*10^6</f>
        <v>6200.0000000000009</v>
      </c>
    </row>
    <row r="22" spans="1:9" x14ac:dyDescent="0.25">
      <c r="A22" s="25" t="s">
        <v>64</v>
      </c>
      <c r="B22" s="25"/>
      <c r="C22" s="25"/>
    </row>
    <row r="23" spans="1:9" x14ac:dyDescent="0.25">
      <c r="A23" s="22" t="s">
        <v>35</v>
      </c>
      <c r="B23" s="22" t="s">
        <v>17</v>
      </c>
      <c r="C23" s="22" t="s">
        <v>36</v>
      </c>
    </row>
    <row r="24" spans="1:9" x14ac:dyDescent="0.25">
      <c r="A24" s="2" t="s">
        <v>65</v>
      </c>
      <c r="B24" s="2"/>
      <c r="C24" s="2">
        <f>C25*C26</f>
        <v>1816055640</v>
      </c>
    </row>
    <row r="25" spans="1:9" x14ac:dyDescent="0.25">
      <c r="A25" s="2" t="s">
        <v>69</v>
      </c>
      <c r="B25" s="2" t="s">
        <v>66</v>
      </c>
      <c r="C25" s="2">
        <f>6.2*2*C27*1.05 *1000</f>
        <v>10676.4</v>
      </c>
    </row>
    <row r="26" spans="1:9" x14ac:dyDescent="0.25">
      <c r="A26" s="2" t="s">
        <v>68</v>
      </c>
      <c r="B26" s="2" t="s">
        <v>67</v>
      </c>
      <c r="C26" s="2">
        <f>270*630</f>
        <v>170100</v>
      </c>
    </row>
    <row r="27" spans="1:9" x14ac:dyDescent="0.25">
      <c r="A27" s="2" t="s">
        <v>71</v>
      </c>
      <c r="B27" s="2" t="s">
        <v>70</v>
      </c>
      <c r="C27" s="2">
        <v>0.82</v>
      </c>
    </row>
    <row r="28" spans="1:9" x14ac:dyDescent="0.25">
      <c r="A28" s="3"/>
      <c r="B28" s="3"/>
      <c r="C28" s="3"/>
    </row>
    <row r="29" spans="1:9" x14ac:dyDescent="0.25">
      <c r="A29" s="3"/>
      <c r="B29" s="3"/>
      <c r="C29" s="3"/>
    </row>
    <row r="30" spans="1:9" x14ac:dyDescent="0.25">
      <c r="A30" s="25" t="s">
        <v>88</v>
      </c>
      <c r="B30" s="25"/>
      <c r="C30" s="25"/>
      <c r="D30" s="25"/>
      <c r="E30" s="25"/>
      <c r="F30" s="25"/>
      <c r="G30" s="25"/>
      <c r="H30" s="25"/>
      <c r="I30" s="25"/>
    </row>
    <row r="31" spans="1:9" x14ac:dyDescent="0.25">
      <c r="A31" s="22" t="s">
        <v>53</v>
      </c>
      <c r="B31" s="22" t="s">
        <v>74</v>
      </c>
      <c r="C31" s="22">
        <v>5</v>
      </c>
      <c r="D31" s="22">
        <v>6</v>
      </c>
      <c r="E31" s="22">
        <v>7</v>
      </c>
      <c r="F31" s="22">
        <v>8</v>
      </c>
      <c r="G31" s="22">
        <v>9</v>
      </c>
      <c r="H31" s="5">
        <v>10</v>
      </c>
      <c r="I31" s="22">
        <v>11</v>
      </c>
    </row>
    <row r="32" spans="1:9" x14ac:dyDescent="0.25">
      <c r="A32" s="13" t="s">
        <v>72</v>
      </c>
      <c r="B32" s="2" t="s">
        <v>77</v>
      </c>
      <c r="C32" s="2">
        <v>0.4</v>
      </c>
      <c r="D32" s="2">
        <v>0.4</v>
      </c>
      <c r="E32" s="2">
        <v>0.5</v>
      </c>
      <c r="F32" s="2">
        <v>0.7</v>
      </c>
      <c r="G32" s="2">
        <v>0.7</v>
      </c>
      <c r="H32" s="2">
        <v>0.7</v>
      </c>
      <c r="I32" s="2">
        <v>0.8</v>
      </c>
    </row>
    <row r="33" spans="1:9" x14ac:dyDescent="0.25">
      <c r="A33" s="13"/>
      <c r="B33" s="2" t="s">
        <v>78</v>
      </c>
      <c r="C33" s="14" t="s">
        <v>75</v>
      </c>
      <c r="D33" s="15"/>
      <c r="E33" s="15"/>
      <c r="F33" s="15"/>
      <c r="G33" s="15"/>
      <c r="H33" s="15"/>
      <c r="I33" s="16"/>
    </row>
    <row r="34" spans="1:9" x14ac:dyDescent="0.25">
      <c r="A34" s="13" t="s">
        <v>73</v>
      </c>
      <c r="B34" s="2" t="s">
        <v>79</v>
      </c>
      <c r="C34" s="2">
        <v>16</v>
      </c>
      <c r="D34" s="2">
        <v>19</v>
      </c>
      <c r="E34" s="2">
        <v>23</v>
      </c>
      <c r="F34" s="2">
        <v>26</v>
      </c>
      <c r="G34" s="2">
        <v>32</v>
      </c>
      <c r="H34" s="2">
        <v>39</v>
      </c>
      <c r="I34" s="2">
        <v>46</v>
      </c>
    </row>
    <row r="35" spans="1:9" x14ac:dyDescent="0.25">
      <c r="A35" s="13"/>
      <c r="B35" s="2" t="s">
        <v>78</v>
      </c>
      <c r="C35" s="14" t="s">
        <v>76</v>
      </c>
      <c r="D35" s="15"/>
      <c r="E35" s="15"/>
      <c r="F35" s="15"/>
      <c r="G35" s="15"/>
      <c r="H35" s="15"/>
      <c r="I35" s="16"/>
    </row>
    <row r="37" spans="1:9" x14ac:dyDescent="0.25">
      <c r="A37" s="4"/>
      <c r="B37" s="4" t="s">
        <v>80</v>
      </c>
      <c r="C37" s="4" t="s">
        <v>82</v>
      </c>
      <c r="D37" s="2" t="s">
        <v>83</v>
      </c>
    </row>
    <row r="38" spans="1:9" x14ac:dyDescent="0.25">
      <c r="A38" s="4" t="s">
        <v>81</v>
      </c>
      <c r="B38" s="4">
        <f>4*C18</f>
        <v>31.88</v>
      </c>
      <c r="C38" s="4">
        <f>6.2*H32*2/100*1000000</f>
        <v>86800</v>
      </c>
      <c r="D38" s="2">
        <f>C38*B38</f>
        <v>2767184</v>
      </c>
    </row>
    <row r="39" spans="1:9" x14ac:dyDescent="0.25">
      <c r="A39" s="4" t="s">
        <v>73</v>
      </c>
      <c r="B39" s="4">
        <f>0.45*C18</f>
        <v>3.5865</v>
      </c>
      <c r="C39" s="4">
        <f>6.2*H34*2/100*1000000</f>
        <v>4836000</v>
      </c>
      <c r="D39" s="2">
        <f>C39*B39</f>
        <v>17344314</v>
      </c>
    </row>
    <row r="41" spans="1:9" x14ac:dyDescent="0.25">
      <c r="A41" s="26" t="s">
        <v>84</v>
      </c>
      <c r="B41" s="26" t="s">
        <v>89</v>
      </c>
    </row>
    <row r="42" spans="1:9" x14ac:dyDescent="0.25">
      <c r="A42" s="26" t="s">
        <v>85</v>
      </c>
      <c r="B42" s="2">
        <f>Лист1!H4</f>
        <v>84823200</v>
      </c>
    </row>
    <row r="43" spans="1:9" x14ac:dyDescent="0.25">
      <c r="A43" s="26" t="s">
        <v>86</v>
      </c>
      <c r="B43" s="2">
        <f>Лист1!I16</f>
        <v>447057347.18100888</v>
      </c>
    </row>
    <row r="44" spans="1:9" x14ac:dyDescent="0.25">
      <c r="A44" s="26" t="str">
        <f>A1</f>
        <v>Затраты на шины</v>
      </c>
      <c r="B44" s="2">
        <f>C3</f>
        <v>143059940.65281898</v>
      </c>
    </row>
    <row r="45" spans="1:9" x14ac:dyDescent="0.25">
      <c r="A45" s="26" t="str">
        <f>A8</f>
        <v>Затраты на бурение</v>
      </c>
      <c r="B45" s="2">
        <f>C10</f>
        <v>67108800.000000015</v>
      </c>
    </row>
    <row r="46" spans="1:9" x14ac:dyDescent="0.25">
      <c r="A46" s="26" t="str">
        <f>A22</f>
        <v>Затраты на взрывчатые вещества</v>
      </c>
      <c r="B46" s="2">
        <f>C24</f>
        <v>1816055640</v>
      </c>
    </row>
    <row r="47" spans="1:9" x14ac:dyDescent="0.25">
      <c r="A47" s="26" t="s">
        <v>87</v>
      </c>
      <c r="B47" s="2">
        <f>D38+D39</f>
        <v>20111498</v>
      </c>
    </row>
    <row r="48" spans="1:9" x14ac:dyDescent="0.25">
      <c r="A48" s="27" t="s">
        <v>90</v>
      </c>
      <c r="B48" s="2">
        <f>SUM(B42:B47)</f>
        <v>2578216425.833828</v>
      </c>
    </row>
  </sheetData>
  <mergeCells count="8">
    <mergeCell ref="A34:A35"/>
    <mergeCell ref="A32:A33"/>
    <mergeCell ref="C33:I33"/>
    <mergeCell ref="C35:I35"/>
    <mergeCell ref="A1:C1"/>
    <mergeCell ref="A8:C8"/>
    <mergeCell ref="A22:C22"/>
    <mergeCell ref="A30:I30"/>
  </mergeCells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C6" sqref="C6"/>
    </sheetView>
  </sheetViews>
  <sheetFormatPr defaultRowHeight="18.75" x14ac:dyDescent="0.25"/>
  <cols>
    <col min="1" max="1" width="46.85546875" style="1" customWidth="1"/>
    <col min="2" max="2" width="67.85546875" style="1" customWidth="1"/>
    <col min="3" max="3" width="61.28515625" style="1" customWidth="1"/>
    <col min="4" max="4" width="16.42578125" style="1" customWidth="1"/>
    <col min="5" max="7" width="9.140625" style="1"/>
    <col min="8" max="8" width="26" style="1" customWidth="1"/>
    <col min="9" max="16384" width="9.140625" style="1"/>
  </cols>
  <sheetData>
    <row r="1" spans="1:4" x14ac:dyDescent="0.25">
      <c r="A1" s="28" t="s">
        <v>91</v>
      </c>
      <c r="B1" s="12">
        <f>SUM(B2:B4)</f>
        <v>20496592.9102</v>
      </c>
    </row>
    <row r="2" spans="1:4" x14ac:dyDescent="0.25">
      <c r="A2" s="29" t="s">
        <v>92</v>
      </c>
      <c r="B2" s="12">
        <f>D8+D14</f>
        <v>2770750</v>
      </c>
    </row>
    <row r="3" spans="1:4" x14ac:dyDescent="0.25">
      <c r="A3" s="29" t="s">
        <v>93</v>
      </c>
      <c r="B3" s="12">
        <f>D21</f>
        <v>55842.910199999998</v>
      </c>
    </row>
    <row r="4" spans="1:4" x14ac:dyDescent="0.25">
      <c r="A4" s="29" t="s">
        <v>94</v>
      </c>
      <c r="B4" s="12">
        <f>D33</f>
        <v>17670000</v>
      </c>
    </row>
    <row r="6" spans="1:4" x14ac:dyDescent="0.25">
      <c r="A6" s="6" t="s">
        <v>95</v>
      </c>
    </row>
    <row r="7" spans="1:4" x14ac:dyDescent="0.25">
      <c r="A7" s="7" t="s">
        <v>99</v>
      </c>
      <c r="B7" s="7" t="s">
        <v>96</v>
      </c>
      <c r="C7" s="7" t="s">
        <v>97</v>
      </c>
      <c r="D7" s="7" t="s">
        <v>98</v>
      </c>
    </row>
    <row r="8" spans="1:4" x14ac:dyDescent="0.25">
      <c r="A8" s="2" t="s">
        <v>100</v>
      </c>
      <c r="B8" s="2" t="s">
        <v>104</v>
      </c>
      <c r="C8" s="2"/>
      <c r="D8" s="2">
        <f>D9*D10/100*1000000</f>
        <v>102600</v>
      </c>
    </row>
    <row r="9" spans="1:4" x14ac:dyDescent="0.25">
      <c r="A9" s="2" t="s">
        <v>101</v>
      </c>
      <c r="B9" s="2"/>
      <c r="C9" s="2" t="s">
        <v>102</v>
      </c>
      <c r="D9" s="2">
        <f>500+13</f>
        <v>513</v>
      </c>
    </row>
    <row r="10" spans="1:4" x14ac:dyDescent="0.25">
      <c r="A10" s="2" t="s">
        <v>107</v>
      </c>
      <c r="B10" s="2"/>
      <c r="C10" s="2" t="s">
        <v>103</v>
      </c>
      <c r="D10" s="2">
        <v>0.02</v>
      </c>
    </row>
    <row r="12" spans="1:4" x14ac:dyDescent="0.25">
      <c r="A12" s="6" t="s">
        <v>105</v>
      </c>
    </row>
    <row r="13" spans="1:4" x14ac:dyDescent="0.25">
      <c r="A13" s="7" t="s">
        <v>99</v>
      </c>
      <c r="B13" s="7" t="s">
        <v>96</v>
      </c>
      <c r="C13" s="7" t="s">
        <v>97</v>
      </c>
      <c r="D13" s="7" t="s">
        <v>98</v>
      </c>
    </row>
    <row r="14" spans="1:4" x14ac:dyDescent="0.25">
      <c r="A14" s="2" t="s">
        <v>106</v>
      </c>
      <c r="B14" s="2" t="s">
        <v>118</v>
      </c>
      <c r="C14" s="2"/>
      <c r="D14" s="2">
        <f>62050*43</f>
        <v>2668150</v>
      </c>
    </row>
    <row r="15" spans="1:4" x14ac:dyDescent="0.25">
      <c r="A15" s="2" t="s">
        <v>108</v>
      </c>
      <c r="B15" s="2"/>
      <c r="C15" s="2" t="s">
        <v>110</v>
      </c>
      <c r="D15" s="2">
        <v>730</v>
      </c>
    </row>
    <row r="16" spans="1:4" x14ac:dyDescent="0.25">
      <c r="A16" s="2" t="s">
        <v>109</v>
      </c>
      <c r="B16" s="2" t="s">
        <v>116</v>
      </c>
      <c r="C16" s="8" t="s">
        <v>111</v>
      </c>
      <c r="D16" s="8">
        <v>0.02</v>
      </c>
    </row>
    <row r="17" spans="1:4" x14ac:dyDescent="0.25">
      <c r="A17" s="2" t="s">
        <v>112</v>
      </c>
      <c r="B17" s="2" t="s">
        <v>117</v>
      </c>
      <c r="C17" s="8" t="s">
        <v>113</v>
      </c>
      <c r="D17" s="8"/>
    </row>
    <row r="18" spans="1:4" x14ac:dyDescent="0.25">
      <c r="A18" s="9"/>
      <c r="B18" s="1" t="s">
        <v>114</v>
      </c>
      <c r="C18" s="1" t="s">
        <v>115</v>
      </c>
    </row>
    <row r="19" spans="1:4" x14ac:dyDescent="0.25">
      <c r="A19" s="10" t="s">
        <v>119</v>
      </c>
    </row>
    <row r="20" spans="1:4" x14ac:dyDescent="0.25">
      <c r="A20" s="7" t="s">
        <v>99</v>
      </c>
      <c r="B20" s="7" t="s">
        <v>96</v>
      </c>
      <c r="C20" s="7" t="s">
        <v>97</v>
      </c>
      <c r="D20" s="7" t="s">
        <v>98</v>
      </c>
    </row>
    <row r="21" spans="1:4" x14ac:dyDescent="0.25">
      <c r="A21" s="2" t="s">
        <v>120</v>
      </c>
      <c r="B21" s="2" t="s">
        <v>121</v>
      </c>
      <c r="C21" s="2"/>
      <c r="D21" s="2">
        <f>SUM(D22:D23)*SUM(D24:D25)</f>
        <v>55842.910199999998</v>
      </c>
    </row>
    <row r="22" spans="1:4" x14ac:dyDescent="0.25">
      <c r="A22" s="2" t="s">
        <v>123</v>
      </c>
      <c r="B22" s="2" t="s">
        <v>125</v>
      </c>
      <c r="C22" s="2" t="s">
        <v>122</v>
      </c>
      <c r="D22" s="2">
        <f>D29*D26</f>
        <v>373.67400000000004</v>
      </c>
    </row>
    <row r="23" spans="1:4" x14ac:dyDescent="0.25">
      <c r="A23" s="2" t="s">
        <v>123</v>
      </c>
      <c r="B23" s="2" t="s">
        <v>126</v>
      </c>
      <c r="C23" s="2" t="s">
        <v>122</v>
      </c>
      <c r="D23" s="2">
        <f>D29*D27</f>
        <v>213.52799999999999</v>
      </c>
    </row>
    <row r="24" spans="1:4" x14ac:dyDescent="0.25">
      <c r="A24" s="2" t="s">
        <v>127</v>
      </c>
      <c r="B24" s="2" t="s">
        <v>134</v>
      </c>
      <c r="C24" s="2" t="s">
        <v>128</v>
      </c>
      <c r="D24" s="2">
        <v>1.6</v>
      </c>
    </row>
    <row r="25" spans="1:4" x14ac:dyDescent="0.25">
      <c r="A25" s="2" t="s">
        <v>130</v>
      </c>
      <c r="B25" s="2" t="s">
        <v>134</v>
      </c>
      <c r="C25" s="2" t="s">
        <v>129</v>
      </c>
      <c r="D25" s="2">
        <v>93.5</v>
      </c>
    </row>
    <row r="26" spans="1:4" x14ac:dyDescent="0.25">
      <c r="A26" s="2" t="s">
        <v>132</v>
      </c>
      <c r="C26" s="2" t="s">
        <v>131</v>
      </c>
      <c r="D26" s="2">
        <v>3.5000000000000003E-2</v>
      </c>
    </row>
    <row r="27" spans="1:4" x14ac:dyDescent="0.25">
      <c r="A27" s="2" t="s">
        <v>133</v>
      </c>
      <c r="C27" s="2" t="s">
        <v>131</v>
      </c>
      <c r="D27" s="2">
        <v>0.02</v>
      </c>
    </row>
    <row r="28" spans="1:4" x14ac:dyDescent="0.25">
      <c r="A28" s="2" t="s">
        <v>124</v>
      </c>
      <c r="B28" s="2"/>
      <c r="C28" s="2" t="s">
        <v>136</v>
      </c>
      <c r="D28" s="2"/>
    </row>
    <row r="29" spans="1:4" x14ac:dyDescent="0.25">
      <c r="A29" s="2" t="s">
        <v>135</v>
      </c>
      <c r="B29" s="2" t="s">
        <v>66</v>
      </c>
      <c r="C29" s="2"/>
      <c r="D29" s="2">
        <f>Лист2!C25</f>
        <v>10676.4</v>
      </c>
    </row>
    <row r="31" spans="1:4" x14ac:dyDescent="0.25">
      <c r="A31" s="10" t="s">
        <v>147</v>
      </c>
    </row>
    <row r="32" spans="1:4" x14ac:dyDescent="0.25">
      <c r="A32" s="7" t="s">
        <v>99</v>
      </c>
      <c r="B32" s="7" t="s">
        <v>96</v>
      </c>
      <c r="C32" s="7" t="s">
        <v>97</v>
      </c>
      <c r="D32" s="7" t="s">
        <v>98</v>
      </c>
    </row>
    <row r="33" spans="1:4" x14ac:dyDescent="0.25">
      <c r="A33" s="2" t="s">
        <v>137</v>
      </c>
      <c r="B33" s="2" t="s">
        <v>138</v>
      </c>
      <c r="C33" s="2"/>
      <c r="D33" s="2">
        <f>D34*D35*1000000</f>
        <v>17670000</v>
      </c>
    </row>
    <row r="34" spans="1:4" x14ac:dyDescent="0.25">
      <c r="A34" s="2" t="s">
        <v>139</v>
      </c>
      <c r="B34" s="2"/>
      <c r="C34" s="2" t="s">
        <v>140</v>
      </c>
      <c r="D34" s="2">
        <v>0.15</v>
      </c>
    </row>
    <row r="35" spans="1:4" ht="35.25" customHeight="1" x14ac:dyDescent="0.25">
      <c r="A35" s="2" t="s">
        <v>141</v>
      </c>
      <c r="B35" s="11" t="s">
        <v>143</v>
      </c>
      <c r="C35" s="2" t="s">
        <v>142</v>
      </c>
      <c r="D35" s="2">
        <f>(434/10)+(372/6)+(124/10)</f>
        <v>117.80000000000001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Прочие затраты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Тони Скрябнев</dc:creator>
  <cp:lastModifiedBy>Toni</cp:lastModifiedBy>
  <dcterms:created xsi:type="dcterms:W3CDTF">2015-06-05T18:19:34Z</dcterms:created>
  <dcterms:modified xsi:type="dcterms:W3CDTF">2024-12-01T18:49:08Z</dcterms:modified>
</cp:coreProperties>
</file>