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c\5 семак\Экономика предприятия\"/>
    </mc:Choice>
  </mc:AlternateContent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6" i="1" l="1"/>
  <c r="L45" i="1"/>
  <c r="C44" i="1"/>
  <c r="B44" i="1"/>
  <c r="F44" i="1"/>
  <c r="E44" i="1"/>
  <c r="D44" i="1"/>
  <c r="B50" i="1"/>
  <c r="B49" i="1"/>
  <c r="C45" i="1"/>
  <c r="E45" i="1"/>
  <c r="F45" i="1"/>
  <c r="G45" i="1"/>
  <c r="H45" i="1"/>
  <c r="I45" i="1"/>
  <c r="J45" i="1"/>
  <c r="K45" i="1"/>
  <c r="M45" i="1"/>
  <c r="N45" i="1"/>
  <c r="O45" i="1"/>
  <c r="P45" i="1"/>
  <c r="Q45" i="1"/>
  <c r="R45" i="1"/>
  <c r="R49" i="1" s="1"/>
  <c r="S45" i="1"/>
  <c r="S49" i="1" s="1"/>
  <c r="T45" i="1"/>
  <c r="U45" i="1"/>
  <c r="V4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C56" i="1"/>
  <c r="D45" i="1"/>
  <c r="C49" i="1" l="1"/>
  <c r="L49" i="1"/>
  <c r="D49" i="1"/>
  <c r="C50" i="1"/>
  <c r="G21" i="1" l="1"/>
  <c r="H21" i="1" s="1"/>
  <c r="F21" i="1"/>
  <c r="E21" i="1" s="1"/>
  <c r="C21" i="1"/>
  <c r="F20" i="1"/>
  <c r="C20" i="1" s="1"/>
  <c r="C22" i="1"/>
  <c r="F22" i="1"/>
  <c r="D22" i="1"/>
  <c r="E22" i="1"/>
  <c r="D20" i="1" l="1"/>
  <c r="D21" i="1"/>
  <c r="R22" i="1" l="1"/>
  <c r="I21" i="1"/>
  <c r="J21" i="1" s="1"/>
  <c r="F19" i="1"/>
  <c r="E19" i="1"/>
  <c r="D19" i="1"/>
  <c r="D23" i="1" s="1"/>
  <c r="C19" i="1" l="1"/>
  <c r="C23" i="1" s="1"/>
  <c r="F23" i="1"/>
  <c r="G19" i="1"/>
  <c r="B6" i="3"/>
  <c r="B3" i="3"/>
  <c r="B4" i="3"/>
  <c r="H19" i="1" l="1"/>
  <c r="I19" i="1" s="1"/>
  <c r="J19" i="1" s="1"/>
  <c r="K19" i="1" s="1"/>
  <c r="L19" i="1" s="1"/>
  <c r="M19" i="1" s="1"/>
  <c r="N19" i="1" s="1"/>
  <c r="O19" i="1" s="1"/>
  <c r="P19" i="1" s="1"/>
  <c r="Q19" i="1" s="1"/>
  <c r="K22" i="1"/>
  <c r="L22" i="1"/>
  <c r="M22" i="1"/>
  <c r="N22" i="1"/>
  <c r="O22" i="1"/>
  <c r="P22" i="1"/>
  <c r="Q22" i="1"/>
  <c r="S22" i="1"/>
  <c r="T22" i="1"/>
  <c r="U22" i="1"/>
  <c r="V22" i="1"/>
  <c r="G33" i="1"/>
  <c r="C28" i="1"/>
  <c r="R19" i="1" l="1"/>
  <c r="G22" i="1"/>
  <c r="J22" i="1"/>
  <c r="I22" i="1"/>
  <c r="H22" i="1"/>
  <c r="K21" i="1"/>
  <c r="L21" i="1" s="1"/>
  <c r="M21" i="1" s="1"/>
  <c r="N21" i="1" s="1"/>
  <c r="O21" i="1" s="1"/>
  <c r="P21" i="1" s="1"/>
  <c r="Q21" i="1" s="1"/>
  <c r="B18" i="1"/>
  <c r="B17" i="1"/>
  <c r="B16" i="1"/>
  <c r="C15" i="1"/>
  <c r="C24" i="1" l="1"/>
  <c r="C25" i="1" s="1"/>
  <c r="F24" i="1"/>
  <c r="R21" i="1"/>
  <c r="S21" i="1" s="1"/>
  <c r="S19" i="1"/>
  <c r="E20" i="1"/>
  <c r="E23" i="1" s="1"/>
  <c r="H24" i="1"/>
  <c r="I24" i="1"/>
  <c r="L24" i="1"/>
  <c r="T24" i="1"/>
  <c r="D24" i="1"/>
  <c r="G24" i="1"/>
  <c r="J24" i="1"/>
  <c r="K24" i="1"/>
  <c r="M24" i="1"/>
  <c r="O24" i="1"/>
  <c r="R24" i="1"/>
  <c r="E24" i="1"/>
  <c r="N24" i="1"/>
  <c r="P24" i="1"/>
  <c r="Q24" i="1"/>
  <c r="S24" i="1"/>
  <c r="V24" i="1"/>
  <c r="U24" i="1"/>
  <c r="L26" i="1"/>
  <c r="E26" i="1"/>
  <c r="G26" i="1"/>
  <c r="H26" i="1"/>
  <c r="J26" i="1"/>
  <c r="C26" i="1"/>
  <c r="D26" i="1"/>
  <c r="F26" i="1"/>
  <c r="I26" i="1"/>
  <c r="K26" i="1"/>
  <c r="H33" i="1"/>
  <c r="I33" i="1"/>
  <c r="G20" i="1"/>
  <c r="G23" i="1" s="1"/>
  <c r="B51" i="1"/>
  <c r="F35" i="1"/>
  <c r="F33" i="1"/>
  <c r="D15" i="1"/>
  <c r="U21" i="1" l="1"/>
  <c r="V21" i="1"/>
  <c r="T21" i="1"/>
  <c r="U19" i="1"/>
  <c r="V19" i="1"/>
  <c r="T19" i="1"/>
  <c r="F42" i="1"/>
  <c r="F25" i="1"/>
  <c r="F38" i="1" s="1"/>
  <c r="G25" i="1"/>
  <c r="G35" i="1"/>
  <c r="G42" i="1"/>
  <c r="H20" i="1"/>
  <c r="I20" i="1" s="1"/>
  <c r="J20" i="1" s="1"/>
  <c r="D35" i="1"/>
  <c r="D33" i="1"/>
  <c r="D42" i="1" s="1"/>
  <c r="E25" i="1"/>
  <c r="E33" i="1"/>
  <c r="E42" i="1" s="1"/>
  <c r="E35" i="1"/>
  <c r="F30" i="1"/>
  <c r="F32" i="1" s="1"/>
  <c r="F31" i="1" s="1"/>
  <c r="E15" i="1"/>
  <c r="C33" i="1"/>
  <c r="C42" i="1" s="1"/>
  <c r="C35" i="1"/>
  <c r="D25" i="1"/>
  <c r="F37" i="1" l="1"/>
  <c r="F15" i="1"/>
  <c r="D30" i="1"/>
  <c r="D38" i="1"/>
  <c r="E30" i="1"/>
  <c r="E32" i="1" s="1"/>
  <c r="E31" i="1" s="1"/>
  <c r="E38" i="1"/>
  <c r="H42" i="1"/>
  <c r="H23" i="1"/>
  <c r="H25" i="1" s="1"/>
  <c r="H35" i="1"/>
  <c r="G30" i="1"/>
  <c r="G38" i="1"/>
  <c r="C30" i="1"/>
  <c r="C32" i="1" s="1"/>
  <c r="C31" i="1" s="1"/>
  <c r="C38" i="1"/>
  <c r="D32" i="1"/>
  <c r="D31" i="1" s="1"/>
  <c r="D37" i="1" l="1"/>
  <c r="H30" i="1"/>
  <c r="H32" i="1" s="1"/>
  <c r="H31" i="1" s="1"/>
  <c r="H38" i="1"/>
  <c r="C37" i="1"/>
  <c r="G32" i="1"/>
  <c r="G31" i="1" s="1"/>
  <c r="G44" i="1" s="1"/>
  <c r="I42" i="1"/>
  <c r="I35" i="1"/>
  <c r="I23" i="1"/>
  <c r="I25" i="1" s="1"/>
  <c r="E37" i="1"/>
  <c r="G15" i="1"/>
  <c r="F49" i="1"/>
  <c r="F41" i="1"/>
  <c r="F39" i="1"/>
  <c r="F40" i="1"/>
  <c r="G37" i="1" l="1"/>
  <c r="E50" i="1"/>
  <c r="I30" i="1"/>
  <c r="I32" i="1" s="1"/>
  <c r="I31" i="1" s="1"/>
  <c r="I38" i="1"/>
  <c r="H15" i="1"/>
  <c r="G49" i="1"/>
  <c r="E49" i="1"/>
  <c r="E41" i="1"/>
  <c r="E39" i="1"/>
  <c r="E40" i="1"/>
  <c r="K20" i="1"/>
  <c r="G40" i="1"/>
  <c r="G41" i="1"/>
  <c r="G39" i="1"/>
  <c r="G50" i="1"/>
  <c r="C40" i="1"/>
  <c r="C41" i="1"/>
  <c r="C39" i="1"/>
  <c r="H37" i="1"/>
  <c r="H44" i="1"/>
  <c r="D41" i="1"/>
  <c r="D39" i="1"/>
  <c r="D40" i="1"/>
  <c r="F50" i="1" l="1"/>
  <c r="C51" i="1"/>
  <c r="D50" i="1"/>
  <c r="L20" i="1"/>
  <c r="I15" i="1"/>
  <c r="H49" i="1"/>
  <c r="D51" i="1"/>
  <c r="H50" i="1"/>
  <c r="I37" i="1"/>
  <c r="I44" i="1"/>
  <c r="I50" i="1" s="1"/>
  <c r="H41" i="1"/>
  <c r="H40" i="1"/>
  <c r="H39" i="1"/>
  <c r="E51" i="1" l="1"/>
  <c r="F51" i="1" s="1"/>
  <c r="G51" i="1" s="1"/>
  <c r="H51" i="1" s="1"/>
  <c r="I39" i="1"/>
  <c r="I40" i="1"/>
  <c r="I41" i="1"/>
  <c r="J15" i="1"/>
  <c r="I49" i="1"/>
  <c r="M20" i="1"/>
  <c r="N20" i="1" l="1"/>
  <c r="K15" i="1"/>
  <c r="I51" i="1"/>
  <c r="J23" i="1" l="1"/>
  <c r="J25" i="1" s="1"/>
  <c r="J33" i="1"/>
  <c r="J42" i="1" s="1"/>
  <c r="J35" i="1"/>
  <c r="L15" i="1"/>
  <c r="O20" i="1"/>
  <c r="P20" i="1" l="1"/>
  <c r="K23" i="1"/>
  <c r="K25" i="1" s="1"/>
  <c r="K35" i="1"/>
  <c r="K33" i="1"/>
  <c r="K42" i="1" s="1"/>
  <c r="M15" i="1"/>
  <c r="J30" i="1"/>
  <c r="J32" i="1" s="1"/>
  <c r="J31" i="1" s="1"/>
  <c r="J38" i="1"/>
  <c r="J37" i="1" l="1"/>
  <c r="J44" i="1"/>
  <c r="L23" i="1"/>
  <c r="L25" i="1" s="1"/>
  <c r="L35" i="1"/>
  <c r="L33" i="1"/>
  <c r="L42" i="1" s="1"/>
  <c r="N15" i="1"/>
  <c r="K30" i="1"/>
  <c r="K32" i="1" s="1"/>
  <c r="K31" i="1" s="1"/>
  <c r="K38" i="1"/>
  <c r="Q20" i="1"/>
  <c r="R20" i="1" l="1"/>
  <c r="R23" i="1" s="1"/>
  <c r="Q23" i="1"/>
  <c r="O15" i="1"/>
  <c r="K37" i="1"/>
  <c r="K44" i="1"/>
  <c r="M23" i="1"/>
  <c r="M25" i="1" s="1"/>
  <c r="M33" i="1"/>
  <c r="M42" i="1" s="1"/>
  <c r="M35" i="1"/>
  <c r="L30" i="1"/>
  <c r="L32" i="1" s="1"/>
  <c r="L31" i="1" s="1"/>
  <c r="L38" i="1"/>
  <c r="J50" i="1"/>
  <c r="J49" i="1"/>
  <c r="J41" i="1"/>
  <c r="J40" i="1"/>
  <c r="J39" i="1"/>
  <c r="J51" i="1" l="1"/>
  <c r="M30" i="1"/>
  <c r="M38" i="1"/>
  <c r="K39" i="1"/>
  <c r="K40" i="1"/>
  <c r="K41" i="1"/>
  <c r="L37" i="1"/>
  <c r="L44" i="1"/>
  <c r="K50" i="1"/>
  <c r="K49" i="1"/>
  <c r="P15" i="1"/>
  <c r="N23" i="1"/>
  <c r="N25" i="1" s="1"/>
  <c r="N33" i="1"/>
  <c r="N42" i="1" s="1"/>
  <c r="N35" i="1"/>
  <c r="S20" i="1"/>
  <c r="T20" i="1" l="1"/>
  <c r="T23" i="1" s="1"/>
  <c r="S23" i="1"/>
  <c r="N30" i="1"/>
  <c r="N38" i="1"/>
  <c r="Q15" i="1"/>
  <c r="O23" i="1"/>
  <c r="O25" i="1" s="1"/>
  <c r="O33" i="1"/>
  <c r="O42" i="1" s="1"/>
  <c r="O35" i="1"/>
  <c r="L50" i="1"/>
  <c r="L40" i="1"/>
  <c r="L39" i="1"/>
  <c r="L41" i="1"/>
  <c r="M32" i="1"/>
  <c r="M31" i="1" s="1"/>
  <c r="M44" i="1" s="1"/>
  <c r="K51" i="1"/>
  <c r="L51" i="1" s="1"/>
  <c r="M37" i="1" l="1"/>
  <c r="O30" i="1"/>
  <c r="O38" i="1"/>
  <c r="N32" i="1"/>
  <c r="N31" i="1" s="1"/>
  <c r="N44" i="1" s="1"/>
  <c r="M50" i="1"/>
  <c r="M49" i="1"/>
  <c r="M51" i="1" s="1"/>
  <c r="P23" i="1"/>
  <c r="P25" i="1" s="1"/>
  <c r="P33" i="1"/>
  <c r="P42" i="1" s="1"/>
  <c r="P35" i="1"/>
  <c r="R15" i="1"/>
  <c r="U20" i="1"/>
  <c r="V20" i="1" s="1"/>
  <c r="V23" i="1" s="1"/>
  <c r="N37" i="1" l="1"/>
  <c r="Q25" i="1"/>
  <c r="Q35" i="1"/>
  <c r="Q33" i="1"/>
  <c r="Q42" i="1" s="1"/>
  <c r="S15" i="1"/>
  <c r="P30" i="1"/>
  <c r="P38" i="1"/>
  <c r="N39" i="1"/>
  <c r="N41" i="1"/>
  <c r="N40" i="1"/>
  <c r="N50" i="1"/>
  <c r="N49" i="1"/>
  <c r="N51" i="1" s="1"/>
  <c r="O32" i="1"/>
  <c r="O31" i="1" s="1"/>
  <c r="O44" i="1" s="1"/>
  <c r="M41" i="1"/>
  <c r="M39" i="1"/>
  <c r="M40" i="1"/>
  <c r="O37" i="1" l="1"/>
  <c r="P32" i="1"/>
  <c r="P31" i="1" s="1"/>
  <c r="P44" i="1" s="1"/>
  <c r="P37" i="1"/>
  <c r="O50" i="1"/>
  <c r="O49" i="1"/>
  <c r="O51" i="1" s="1"/>
  <c r="T15" i="1"/>
  <c r="R25" i="1"/>
  <c r="R33" i="1"/>
  <c r="R42" i="1" s="1"/>
  <c r="R35" i="1"/>
  <c r="Q30" i="1"/>
  <c r="Q32" i="1" s="1"/>
  <c r="Q38" i="1"/>
  <c r="Q31" i="1" l="1"/>
  <c r="Q44" i="1" s="1"/>
  <c r="R30" i="1"/>
  <c r="R32" i="1" s="1"/>
  <c r="R31" i="1" s="1"/>
  <c r="R38" i="1"/>
  <c r="U15" i="1"/>
  <c r="S33" i="1"/>
  <c r="S42" i="1" s="1"/>
  <c r="S35" i="1"/>
  <c r="S25" i="1"/>
  <c r="P39" i="1"/>
  <c r="P40" i="1"/>
  <c r="P41" i="1"/>
  <c r="P50" i="1"/>
  <c r="P49" i="1"/>
  <c r="P51" i="1" s="1"/>
  <c r="O41" i="1"/>
  <c r="O40" i="1"/>
  <c r="O39" i="1"/>
  <c r="Q37" i="1" l="1"/>
  <c r="Q40" i="1" s="1"/>
  <c r="T25" i="1"/>
  <c r="T33" i="1"/>
  <c r="T42" i="1" s="1"/>
  <c r="T35" i="1"/>
  <c r="U23" i="1"/>
  <c r="U25" i="1" s="1"/>
  <c r="U33" i="1"/>
  <c r="U42" i="1" s="1"/>
  <c r="U35" i="1"/>
  <c r="S30" i="1"/>
  <c r="S32" i="1" s="1"/>
  <c r="S31" i="1" s="1"/>
  <c r="S38" i="1"/>
  <c r="V33" i="1"/>
  <c r="V42" i="1" s="1"/>
  <c r="V35" i="1"/>
  <c r="V25" i="1"/>
  <c r="V15" i="1"/>
  <c r="R37" i="1"/>
  <c r="R44" i="1"/>
  <c r="Q50" i="1"/>
  <c r="Q49" i="1"/>
  <c r="Q51" i="1" s="1"/>
  <c r="Q39" i="1" l="1"/>
  <c r="Q41" i="1"/>
  <c r="R39" i="1"/>
  <c r="R41" i="1"/>
  <c r="R40" i="1"/>
  <c r="V30" i="1"/>
  <c r="V32" i="1" s="1"/>
  <c r="V31" i="1" s="1"/>
  <c r="V38" i="1"/>
  <c r="R50" i="1"/>
  <c r="R51" i="1"/>
  <c r="S37" i="1"/>
  <c r="S44" i="1"/>
  <c r="U30" i="1"/>
  <c r="U38" i="1"/>
  <c r="T30" i="1"/>
  <c r="T32" i="1" s="1"/>
  <c r="T31" i="1" s="1"/>
  <c r="T38" i="1"/>
  <c r="U32" i="1" l="1"/>
  <c r="U31" i="1" s="1"/>
  <c r="U44" i="1" s="1"/>
  <c r="T37" i="1"/>
  <c r="T44" i="1"/>
  <c r="S50" i="1"/>
  <c r="S51" i="1"/>
  <c r="S41" i="1"/>
  <c r="S40" i="1"/>
  <c r="S39" i="1"/>
  <c r="V37" i="1"/>
  <c r="V44" i="1"/>
  <c r="V49" i="1" l="1"/>
  <c r="V39" i="1"/>
  <c r="V41" i="1"/>
  <c r="V40" i="1"/>
  <c r="T50" i="1"/>
  <c r="T49" i="1"/>
  <c r="T51" i="1" s="1"/>
  <c r="T40" i="1"/>
  <c r="T41" i="1"/>
  <c r="T39" i="1"/>
  <c r="U50" i="1"/>
  <c r="U49" i="1"/>
  <c r="V50" i="1" s="1"/>
  <c r="U37" i="1"/>
  <c r="B43" i="1" l="1"/>
  <c r="U51" i="1"/>
  <c r="V51" i="1" s="1"/>
  <c r="U41" i="1"/>
  <c r="U40" i="1"/>
  <c r="U39" i="1"/>
  <c r="B5" i="3"/>
</calcChain>
</file>

<file path=xl/sharedStrings.xml><?xml version="1.0" encoding="utf-8"?>
<sst xmlns="http://schemas.openxmlformats.org/spreadsheetml/2006/main" count="92" uniqueCount="78">
  <si>
    <t>расчет показателей эффективности проекта</t>
  </si>
  <si>
    <t>исходные данные:</t>
  </si>
  <si>
    <t>показатель</t>
  </si>
  <si>
    <t>значение</t>
  </si>
  <si>
    <t>кап. Вложения</t>
  </si>
  <si>
    <t>займы</t>
  </si>
  <si>
    <t>выручка</t>
  </si>
  <si>
    <t>мат затраты</t>
  </si>
  <si>
    <t>затраты на ФОТ</t>
  </si>
  <si>
    <t>прочие затраты</t>
  </si>
  <si>
    <t>год</t>
  </si>
  <si>
    <t>Е = кап вл - займы больше 0</t>
  </si>
  <si>
    <t>IC, млн. руб</t>
  </si>
  <si>
    <t>TL, млн.руб</t>
  </si>
  <si>
    <t>Е, млн.руб</t>
  </si>
  <si>
    <t>Инфляция 7%</t>
  </si>
  <si>
    <t>Rev, млн.руб</t>
  </si>
  <si>
    <t>С мат, млн руб</t>
  </si>
  <si>
    <t>С фот, млн.руб</t>
  </si>
  <si>
    <t>С прочие, млн руб</t>
  </si>
  <si>
    <t>EBITDA</t>
  </si>
  <si>
    <t>прибыль до вычета налога, кредита, амортизации</t>
  </si>
  <si>
    <t>Амортизация</t>
  </si>
  <si>
    <t>С ПР_1</t>
  </si>
  <si>
    <t>EBIT</t>
  </si>
  <si>
    <t>I (Отчисления по процентной ставке)</t>
  </si>
  <si>
    <t>I=TL*Ki</t>
  </si>
  <si>
    <t>Ki - коэф аннуитета</t>
  </si>
  <si>
    <t>Ki</t>
  </si>
  <si>
    <t>Ki = (i(1+i)^m)/((1+i)^m-1)</t>
  </si>
  <si>
    <t>m - срок кредитного договора</t>
  </si>
  <si>
    <t>m (Срок кредитного договора), лет</t>
  </si>
  <si>
    <t>i (Ставка)</t>
  </si>
  <si>
    <t>EBT (Прибыль до вычита налогов)</t>
  </si>
  <si>
    <t>EBT = EBIT - I</t>
  </si>
  <si>
    <t>TAX</t>
  </si>
  <si>
    <t>TAX = HП + НДС + НДПИ</t>
  </si>
  <si>
    <t>НП (Налог на прибыль)</t>
  </si>
  <si>
    <t>НДПИ (Налог на добычу полезных иск)</t>
  </si>
  <si>
    <t>4% от REV</t>
  </si>
  <si>
    <t>СН (Ставка налога на прибыль)</t>
  </si>
  <si>
    <t>НП = СН*(EBT-НДПИ)</t>
  </si>
  <si>
    <t>НДС</t>
  </si>
  <si>
    <t>СН[НДС] (Ставка налога НДС)</t>
  </si>
  <si>
    <t>НДС = СН[НДС]*(Rev-Cмат)</t>
  </si>
  <si>
    <t>Nin</t>
  </si>
  <si>
    <t>Nin = EBT - TAX</t>
  </si>
  <si>
    <t>ROS = EBIT/Rev *100%</t>
  </si>
  <si>
    <t>ROS (Рентабельность продаж)</t>
  </si>
  <si>
    <t>ROE ( Рентабельность собственного капитала)</t>
  </si>
  <si>
    <t>ROE = (Nin/E)*100%</t>
  </si>
  <si>
    <t>ROL (Рентабельность персонала)</t>
  </si>
  <si>
    <t>ROL=(Nin/Cфот)*100%</t>
  </si>
  <si>
    <t>ROM=(Nin/C0)*100%</t>
  </si>
  <si>
    <t>C0 = Cмат + Сфот +Спр+А0+НДФЛ</t>
  </si>
  <si>
    <t>С0</t>
  </si>
  <si>
    <t>ROM(Рентабельность продукции)</t>
  </si>
  <si>
    <t>NPV</t>
  </si>
  <si>
    <t>CF(Cache_Float)</t>
  </si>
  <si>
    <t>q^(-n)</t>
  </si>
  <si>
    <t>q^(-n)=1/(1+r)^n</t>
  </si>
  <si>
    <t xml:space="preserve">r </t>
  </si>
  <si>
    <t>r = i+dr+a(u)</t>
  </si>
  <si>
    <t>dr (Риски)</t>
  </si>
  <si>
    <t>4-8%</t>
  </si>
  <si>
    <t>a(u) (Инфляция)</t>
  </si>
  <si>
    <t>CF*q^(-n)</t>
  </si>
  <si>
    <t>PP(Pay Back Period)</t>
  </si>
  <si>
    <t>DPP(Дисконтируемый период окупаемости)</t>
  </si>
  <si>
    <t>r</t>
  </si>
  <si>
    <t>Итоги</t>
  </si>
  <si>
    <t xml:space="preserve">Показатель </t>
  </si>
  <si>
    <t xml:space="preserve">Значение </t>
  </si>
  <si>
    <t>Кап. Влож.</t>
  </si>
  <si>
    <t>Ставка дисконт</t>
  </si>
  <si>
    <t>PP</t>
  </si>
  <si>
    <t>IRR</t>
  </si>
  <si>
    <t>DPP,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</si>
</sst>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IRR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Лист1!$B$74:$D$74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</c:numCache>
            </c:numRef>
          </c:xVal>
          <c:yVal>
            <c:numRef>
              <c:f>Лист1!$B$75:$D$75</c:f>
              <c:numCache>
                <c:formatCode>General</c:formatCode>
                <c:ptCount val="3"/>
                <c:pt idx="0">
                  <c:v>2662</c:v>
                </c:pt>
                <c:pt idx="1">
                  <c:v>1419</c:v>
                </c:pt>
                <c:pt idx="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C-4CA7-BAA8-7944AE2B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8544"/>
        <c:axId val="54967296"/>
      </c:scatterChart>
      <c:valAx>
        <c:axId val="812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7296"/>
        <c:crosses val="autoZero"/>
        <c:crossBetween val="midCat"/>
      </c:valAx>
      <c:valAx>
        <c:axId val="549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2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143274</xdr:colOff>
      <xdr:row>66</xdr:row>
      <xdr:rowOff>142475</xdr:rowOff>
    </xdr:from>
    <xdr:to>
      <xdr:col>18</xdr:col>
      <xdr:colOff>660345</xdr:colOff>
      <xdr:row>87</xdr:row>
      <xdr:rowOff>210511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abSelected="1" topLeftCell="A40" zoomScale="85" zoomScaleNormal="85" workbookViewId="0">
      <selection activeCell="D76" sqref="D76"/>
    </sheetView>
  </sheetViews>
  <sheetFormatPr defaultColWidth="11.7109375" defaultRowHeight="18.75" x14ac:dyDescent="0.25"/>
  <cols>
    <col min="1" max="1" width="58.42578125" style="1" customWidth="1"/>
    <col min="2" max="2" width="33.7109375" style="1" customWidth="1"/>
    <col min="3" max="3" width="18.42578125" style="1" customWidth="1"/>
    <col min="4" max="18" width="11.7109375" style="1"/>
    <col min="19" max="19" width="18" style="1" customWidth="1"/>
    <col min="20" max="20" width="16.28515625" style="1" customWidth="1"/>
    <col min="21" max="16384" width="11.7109375" style="1"/>
  </cols>
  <sheetData>
    <row r="1" spans="1:24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5" spans="1:24" x14ac:dyDescent="0.25">
      <c r="A5" s="15" t="s">
        <v>1</v>
      </c>
      <c r="B5" s="15"/>
    </row>
    <row r="6" spans="1:24" x14ac:dyDescent="0.25">
      <c r="A6" s="14" t="s">
        <v>2</v>
      </c>
      <c r="B6" s="14" t="s">
        <v>3</v>
      </c>
    </row>
    <row r="7" spans="1:24" x14ac:dyDescent="0.25">
      <c r="A7" s="4" t="s">
        <v>4</v>
      </c>
      <c r="B7" s="2">
        <v>1798</v>
      </c>
    </row>
    <row r="8" spans="1:24" x14ac:dyDescent="0.25">
      <c r="A8" s="4" t="s">
        <v>5</v>
      </c>
      <c r="B8" s="2">
        <v>359.6</v>
      </c>
    </row>
    <row r="9" spans="1:24" x14ac:dyDescent="0.25">
      <c r="A9" s="4" t="s">
        <v>6</v>
      </c>
      <c r="B9" s="2">
        <v>6714.6</v>
      </c>
    </row>
    <row r="10" spans="1:24" x14ac:dyDescent="0.25">
      <c r="A10" s="4" t="s">
        <v>7</v>
      </c>
      <c r="B10" s="2">
        <v>2578.1999999999998</v>
      </c>
    </row>
    <row r="11" spans="1:24" x14ac:dyDescent="0.25">
      <c r="A11" s="4" t="s">
        <v>8</v>
      </c>
      <c r="B11" s="2">
        <v>634.25</v>
      </c>
    </row>
    <row r="12" spans="1:24" x14ac:dyDescent="0.25">
      <c r="A12" s="4" t="s">
        <v>9</v>
      </c>
      <c r="B12" s="2">
        <v>20.49</v>
      </c>
    </row>
    <row r="14" spans="1:24" x14ac:dyDescent="0.25">
      <c r="A14" s="11"/>
      <c r="B14" s="11"/>
      <c r="C14" s="11">
        <v>0.25</v>
      </c>
      <c r="D14" s="11">
        <v>0.5</v>
      </c>
      <c r="E14" s="11">
        <v>0.75</v>
      </c>
      <c r="F14" s="11">
        <v>2024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0.75</v>
      </c>
      <c r="U14" s="11">
        <v>0.5</v>
      </c>
      <c r="V14" s="11">
        <v>0.25</v>
      </c>
    </row>
    <row r="15" spans="1:24" x14ac:dyDescent="0.25">
      <c r="A15" s="4" t="s">
        <v>10</v>
      </c>
      <c r="B15" s="4">
        <v>0</v>
      </c>
      <c r="C15" s="4">
        <f>B15+1</f>
        <v>1</v>
      </c>
      <c r="D15" s="4">
        <f t="shared" ref="D15:U15" si="0">C15+1</f>
        <v>2</v>
      </c>
      <c r="E15" s="4">
        <f t="shared" si="0"/>
        <v>3</v>
      </c>
      <c r="F15" s="4">
        <f t="shared" si="0"/>
        <v>4</v>
      </c>
      <c r="G15" s="4">
        <f t="shared" si="0"/>
        <v>5</v>
      </c>
      <c r="H15" s="4">
        <f t="shared" si="0"/>
        <v>6</v>
      </c>
      <c r="I15" s="4">
        <f t="shared" si="0"/>
        <v>7</v>
      </c>
      <c r="J15" s="4">
        <f t="shared" si="0"/>
        <v>8</v>
      </c>
      <c r="K15" s="4">
        <f t="shared" si="0"/>
        <v>9</v>
      </c>
      <c r="L15" s="4">
        <f t="shared" si="0"/>
        <v>10</v>
      </c>
      <c r="M15" s="4">
        <f t="shared" si="0"/>
        <v>11</v>
      </c>
      <c r="N15" s="4">
        <f t="shared" si="0"/>
        <v>12</v>
      </c>
      <c r="O15" s="4">
        <f t="shared" si="0"/>
        <v>13</v>
      </c>
      <c r="P15" s="4">
        <f t="shared" si="0"/>
        <v>14</v>
      </c>
      <c r="Q15" s="4">
        <f t="shared" si="0"/>
        <v>15</v>
      </c>
      <c r="R15" s="4">
        <f t="shared" si="0"/>
        <v>16</v>
      </c>
      <c r="S15" s="4">
        <f t="shared" si="0"/>
        <v>17</v>
      </c>
      <c r="T15" s="4">
        <f>S15+1</f>
        <v>18</v>
      </c>
      <c r="U15" s="4">
        <f t="shared" si="0"/>
        <v>19</v>
      </c>
      <c r="V15" s="4">
        <f>U15+1</f>
        <v>20</v>
      </c>
      <c r="X15" s="1" t="s">
        <v>11</v>
      </c>
    </row>
    <row r="16" spans="1:24" x14ac:dyDescent="0.25">
      <c r="A16" s="4" t="s">
        <v>12</v>
      </c>
      <c r="B16" s="2">
        <f>-B7</f>
        <v>-1798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5" x14ac:dyDescent="0.25">
      <c r="A17" s="4" t="s">
        <v>13</v>
      </c>
      <c r="B17" s="2">
        <f>B8</f>
        <v>359.6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5" x14ac:dyDescent="0.25">
      <c r="A18" s="4" t="s">
        <v>14</v>
      </c>
      <c r="B18" s="2">
        <f>B7-B8</f>
        <v>1438.4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X18" s="1" t="s">
        <v>15</v>
      </c>
    </row>
    <row r="19" spans="1:25" x14ac:dyDescent="0.25">
      <c r="A19" s="4" t="s">
        <v>16</v>
      </c>
      <c r="B19" s="2"/>
      <c r="C19" s="2">
        <f>F19*0.25</f>
        <v>1678.65</v>
      </c>
      <c r="D19" s="2">
        <f>0.5*F19</f>
        <v>3357.3</v>
      </c>
      <c r="E19" s="2">
        <f>0.75*F19</f>
        <v>5035.9500000000007</v>
      </c>
      <c r="F19" s="2">
        <f>B9</f>
        <v>6714.6</v>
      </c>
      <c r="G19" s="2">
        <f>F19</f>
        <v>6714.6</v>
      </c>
      <c r="H19" s="2">
        <f t="shared" ref="H19:S19" si="1">G19</f>
        <v>6714.6</v>
      </c>
      <c r="I19" s="2">
        <f t="shared" si="1"/>
        <v>6714.6</v>
      </c>
      <c r="J19" s="2">
        <f t="shared" si="1"/>
        <v>6714.6</v>
      </c>
      <c r="K19" s="2">
        <f t="shared" si="1"/>
        <v>6714.6</v>
      </c>
      <c r="L19" s="2">
        <f t="shared" si="1"/>
        <v>6714.6</v>
      </c>
      <c r="M19" s="2">
        <f t="shared" si="1"/>
        <v>6714.6</v>
      </c>
      <c r="N19" s="2">
        <f t="shared" si="1"/>
        <v>6714.6</v>
      </c>
      <c r="O19" s="2">
        <f t="shared" si="1"/>
        <v>6714.6</v>
      </c>
      <c r="P19" s="2">
        <f t="shared" si="1"/>
        <v>6714.6</v>
      </c>
      <c r="Q19" s="2">
        <f t="shared" si="1"/>
        <v>6714.6</v>
      </c>
      <c r="R19" s="2">
        <f t="shared" si="1"/>
        <v>6714.6</v>
      </c>
      <c r="S19" s="2">
        <f t="shared" si="1"/>
        <v>6714.6</v>
      </c>
      <c r="T19" s="2">
        <f>0.75*S19</f>
        <v>5035.9500000000007</v>
      </c>
      <c r="U19" s="2">
        <f>0.5*S19</f>
        <v>3357.3</v>
      </c>
      <c r="V19" s="2">
        <f>0.25*S19</f>
        <v>1678.65</v>
      </c>
    </row>
    <row r="20" spans="1:25" x14ac:dyDescent="0.25">
      <c r="A20" s="4" t="s">
        <v>17</v>
      </c>
      <c r="B20" s="2"/>
      <c r="C20" s="2">
        <f>0.25*F20</f>
        <v>644.54999999999995</v>
      </c>
      <c r="D20" s="2">
        <f>0.5*F20</f>
        <v>1289.0999999999999</v>
      </c>
      <c r="E20" s="2">
        <f>0.75*F20</f>
        <v>1933.6499999999999</v>
      </c>
      <c r="F20" s="2">
        <f>B10</f>
        <v>2578.1999999999998</v>
      </c>
      <c r="G20" s="2">
        <f>F20*1.07</f>
        <v>2758.674</v>
      </c>
      <c r="H20" s="2">
        <f t="shared" ref="H20:S20" si="2">G20*1.07</f>
        <v>2951.7811799999999</v>
      </c>
      <c r="I20" s="2">
        <f>H20*1.07</f>
        <v>3158.4058626000001</v>
      </c>
      <c r="J20" s="2">
        <f>I20*1.07</f>
        <v>3379.4942729820004</v>
      </c>
      <c r="K20" s="2">
        <f t="shared" si="2"/>
        <v>3616.0588720907408</v>
      </c>
      <c r="L20" s="2">
        <f t="shared" si="2"/>
        <v>3869.182993137093</v>
      </c>
      <c r="M20" s="2">
        <f t="shared" si="2"/>
        <v>4140.0258026566898</v>
      </c>
      <c r="N20" s="2">
        <f t="shared" si="2"/>
        <v>4429.8276088426583</v>
      </c>
      <c r="O20" s="2">
        <f t="shared" si="2"/>
        <v>4739.9155414616444</v>
      </c>
      <c r="P20" s="2">
        <f t="shared" si="2"/>
        <v>5071.7096293639597</v>
      </c>
      <c r="Q20" s="2">
        <f t="shared" si="2"/>
        <v>5426.7293034194372</v>
      </c>
      <c r="R20" s="2">
        <f>Q20*1.07</f>
        <v>5806.6003546587981</v>
      </c>
      <c r="S20" s="2">
        <f t="shared" si="2"/>
        <v>6213.0623794849143</v>
      </c>
      <c r="T20" s="2">
        <f>S20*1.07*0.75</f>
        <v>4985.9825595366437</v>
      </c>
      <c r="U20" s="2">
        <f>T20*1.07*0.5</f>
        <v>2667.5006693521045</v>
      </c>
      <c r="V20" s="2">
        <f>U20*1.07*0.25</f>
        <v>713.55642905168804</v>
      </c>
    </row>
    <row r="21" spans="1:25" x14ac:dyDescent="0.25">
      <c r="A21" s="4" t="s">
        <v>18</v>
      </c>
      <c r="B21" s="2"/>
      <c r="C21" s="2">
        <f>0.25*F21</f>
        <v>158.5625</v>
      </c>
      <c r="D21" s="2">
        <f>0.5*F21</f>
        <v>317.125</v>
      </c>
      <c r="E21" s="2">
        <f>0.75*F21</f>
        <v>475.6875</v>
      </c>
      <c r="F21" s="2">
        <f>B11</f>
        <v>634.25</v>
      </c>
      <c r="G21" s="2">
        <f>B11</f>
        <v>634.25</v>
      </c>
      <c r="H21" s="2">
        <f>G21*1.1</f>
        <v>697.67500000000007</v>
      </c>
      <c r="I21" s="2">
        <f>H21</f>
        <v>697.67500000000007</v>
      </c>
      <c r="J21" s="2">
        <f>I21*1.1</f>
        <v>767.44250000000011</v>
      </c>
      <c r="K21" s="2">
        <f>J21</f>
        <v>767.44250000000011</v>
      </c>
      <c r="L21" s="2">
        <f>K21*1.1</f>
        <v>844.18675000000019</v>
      </c>
      <c r="M21" s="2">
        <f>L21</f>
        <v>844.18675000000019</v>
      </c>
      <c r="N21" s="2">
        <f>M21*1.1</f>
        <v>928.60542500000031</v>
      </c>
      <c r="O21" s="2">
        <f>N21</f>
        <v>928.60542500000031</v>
      </c>
      <c r="P21" s="2">
        <f>O21*1.1</f>
        <v>1021.4659675000004</v>
      </c>
      <c r="Q21" s="2">
        <f>P21</f>
        <v>1021.4659675000004</v>
      </c>
      <c r="R21" s="2">
        <f>Q21*1.1</f>
        <v>1123.6125642500006</v>
      </c>
      <c r="S21" s="2">
        <f>R21</f>
        <v>1123.6125642500006</v>
      </c>
      <c r="T21" s="2">
        <f>0.75*S21</f>
        <v>842.70942318750042</v>
      </c>
      <c r="U21" s="2">
        <f>0.5*S21</f>
        <v>561.80628212500028</v>
      </c>
      <c r="V21" s="2">
        <f>0.25*S21</f>
        <v>280.90314106250014</v>
      </c>
    </row>
    <row r="22" spans="1:25" x14ac:dyDescent="0.25">
      <c r="A22" s="4" t="s">
        <v>19</v>
      </c>
      <c r="B22" s="2"/>
      <c r="C22" s="2">
        <f>$B$12</f>
        <v>20.49</v>
      </c>
      <c r="D22" s="2">
        <f t="shared" ref="D22:V22" si="3">$B$12</f>
        <v>20.49</v>
      </c>
      <c r="E22" s="2">
        <f t="shared" si="3"/>
        <v>20.49</v>
      </c>
      <c r="F22" s="2">
        <f>$B$12</f>
        <v>20.49</v>
      </c>
      <c r="G22" s="2">
        <f t="shared" si="3"/>
        <v>20.49</v>
      </c>
      <c r="H22" s="2">
        <f t="shared" si="3"/>
        <v>20.49</v>
      </c>
      <c r="I22" s="2">
        <f t="shared" si="3"/>
        <v>20.49</v>
      </c>
      <c r="J22" s="2">
        <f t="shared" si="3"/>
        <v>20.49</v>
      </c>
      <c r="K22" s="2">
        <f t="shared" si="3"/>
        <v>20.49</v>
      </c>
      <c r="L22" s="2">
        <f t="shared" si="3"/>
        <v>20.49</v>
      </c>
      <c r="M22" s="2">
        <f t="shared" si="3"/>
        <v>20.49</v>
      </c>
      <c r="N22" s="2">
        <f t="shared" si="3"/>
        <v>20.49</v>
      </c>
      <c r="O22" s="2">
        <f t="shared" si="3"/>
        <v>20.49</v>
      </c>
      <c r="P22" s="2">
        <f t="shared" si="3"/>
        <v>20.49</v>
      </c>
      <c r="Q22" s="2">
        <f t="shared" si="3"/>
        <v>20.49</v>
      </c>
      <c r="R22" s="2">
        <f>$B$12</f>
        <v>20.49</v>
      </c>
      <c r="S22" s="2">
        <f t="shared" si="3"/>
        <v>20.49</v>
      </c>
      <c r="T22" s="2">
        <f t="shared" si="3"/>
        <v>20.49</v>
      </c>
      <c r="U22" s="2">
        <f t="shared" si="3"/>
        <v>20.49</v>
      </c>
      <c r="V22" s="2">
        <f t="shared" si="3"/>
        <v>20.49</v>
      </c>
    </row>
    <row r="23" spans="1:25" x14ac:dyDescent="0.25">
      <c r="A23" s="4" t="s">
        <v>20</v>
      </c>
      <c r="B23" s="2"/>
      <c r="C23" s="2">
        <f>C19-C20-C21-C22</f>
        <v>855.04750000000013</v>
      </c>
      <c r="D23" s="2">
        <f>D19-D20-D21-D22</f>
        <v>1730.5850000000003</v>
      </c>
      <c r="E23" s="2">
        <f>E19-E20-E21-E22</f>
        <v>2606.1225000000013</v>
      </c>
      <c r="F23" s="2">
        <f>F19-F20-F21-F22</f>
        <v>3481.6600000000008</v>
      </c>
      <c r="G23" s="2">
        <f>G19-G20-G21-G22</f>
        <v>3301.1860000000006</v>
      </c>
      <c r="H23" s="2">
        <f t="shared" ref="H23:U23" si="4">H19-H20-H21-H22</f>
        <v>3044.6538200000005</v>
      </c>
      <c r="I23" s="2">
        <f t="shared" si="4"/>
        <v>2838.0291374000003</v>
      </c>
      <c r="J23" s="2">
        <f t="shared" si="4"/>
        <v>2547.173227018</v>
      </c>
      <c r="K23" s="2">
        <f t="shared" si="4"/>
        <v>2310.6086279092597</v>
      </c>
      <c r="L23" s="2">
        <f t="shared" si="4"/>
        <v>1980.740256862907</v>
      </c>
      <c r="M23" s="2">
        <f t="shared" si="4"/>
        <v>1709.8974473433102</v>
      </c>
      <c r="N23" s="2">
        <f t="shared" si="4"/>
        <v>1335.6769661573419</v>
      </c>
      <c r="O23" s="2">
        <f t="shared" si="4"/>
        <v>1025.5890335383558</v>
      </c>
      <c r="P23" s="2">
        <f t="shared" si="4"/>
        <v>600.93440313604026</v>
      </c>
      <c r="Q23" s="2">
        <f>Q19-Q20-Q21-Q22</f>
        <v>245.91472908056278</v>
      </c>
      <c r="R23" s="2">
        <f t="shared" si="4"/>
        <v>-236.1029189087983</v>
      </c>
      <c r="S23" s="2">
        <f t="shared" si="4"/>
        <v>-642.56494373491455</v>
      </c>
      <c r="T23" s="2">
        <f>T19-T20-T21-T22</f>
        <v>-813.23198272414345</v>
      </c>
      <c r="U23" s="2">
        <f t="shared" si="4"/>
        <v>107.50304852289538</v>
      </c>
      <c r="V23" s="2">
        <f>V19-V20-V21-V22</f>
        <v>663.7004298858119</v>
      </c>
      <c r="Y23" s="1" t="s">
        <v>21</v>
      </c>
    </row>
    <row r="24" spans="1:25" x14ac:dyDescent="0.25">
      <c r="A24" s="4" t="s">
        <v>22</v>
      </c>
      <c r="B24" s="2" t="s">
        <v>23</v>
      </c>
      <c r="C24" s="2">
        <f>-$B$16/20</f>
        <v>89.9</v>
      </c>
      <c r="D24" s="2">
        <f t="shared" ref="D24:V24" si="5">-$B$16/20</f>
        <v>89.9</v>
      </c>
      <c r="E24" s="2">
        <f t="shared" si="5"/>
        <v>89.9</v>
      </c>
      <c r="F24" s="2">
        <f>-$B$16/20</f>
        <v>89.9</v>
      </c>
      <c r="G24" s="2">
        <f t="shared" si="5"/>
        <v>89.9</v>
      </c>
      <c r="H24" s="2">
        <f t="shared" si="5"/>
        <v>89.9</v>
      </c>
      <c r="I24" s="2">
        <f t="shared" si="5"/>
        <v>89.9</v>
      </c>
      <c r="J24" s="2">
        <f t="shared" si="5"/>
        <v>89.9</v>
      </c>
      <c r="K24" s="2">
        <f t="shared" si="5"/>
        <v>89.9</v>
      </c>
      <c r="L24" s="2">
        <f t="shared" si="5"/>
        <v>89.9</v>
      </c>
      <c r="M24" s="2">
        <f t="shared" si="5"/>
        <v>89.9</v>
      </c>
      <c r="N24" s="2">
        <f t="shared" si="5"/>
        <v>89.9</v>
      </c>
      <c r="O24" s="2">
        <f t="shared" si="5"/>
        <v>89.9</v>
      </c>
      <c r="P24" s="2">
        <f t="shared" si="5"/>
        <v>89.9</v>
      </c>
      <c r="Q24" s="2">
        <f t="shared" si="5"/>
        <v>89.9</v>
      </c>
      <c r="R24" s="2">
        <f t="shared" si="5"/>
        <v>89.9</v>
      </c>
      <c r="S24" s="2">
        <f t="shared" si="5"/>
        <v>89.9</v>
      </c>
      <c r="T24" s="2">
        <f t="shared" si="5"/>
        <v>89.9</v>
      </c>
      <c r="U24" s="2">
        <f t="shared" si="5"/>
        <v>89.9</v>
      </c>
      <c r="V24" s="2">
        <f t="shared" si="5"/>
        <v>89.9</v>
      </c>
    </row>
    <row r="25" spans="1:25" x14ac:dyDescent="0.25">
      <c r="A25" s="5" t="s">
        <v>24</v>
      </c>
      <c r="B25" s="6"/>
      <c r="C25" s="6">
        <f>C23-C24</f>
        <v>765.14750000000015</v>
      </c>
      <c r="D25" s="6">
        <f t="shared" ref="D25:V25" si="6">D23-D24</f>
        <v>1640.6850000000002</v>
      </c>
      <c r="E25" s="6">
        <f t="shared" si="6"/>
        <v>2516.2225000000012</v>
      </c>
      <c r="F25" s="6">
        <f t="shared" si="6"/>
        <v>3391.7600000000007</v>
      </c>
      <c r="G25" s="6">
        <f t="shared" si="6"/>
        <v>3211.2860000000005</v>
      </c>
      <c r="H25" s="6">
        <f t="shared" si="6"/>
        <v>2954.7538200000004</v>
      </c>
      <c r="I25" s="6">
        <f t="shared" si="6"/>
        <v>2748.1291374000002</v>
      </c>
      <c r="J25" s="6">
        <f t="shared" si="6"/>
        <v>2457.2732270179999</v>
      </c>
      <c r="K25" s="6">
        <f t="shared" si="6"/>
        <v>2220.7086279092596</v>
      </c>
      <c r="L25" s="6">
        <f t="shared" si="6"/>
        <v>1890.8402568629069</v>
      </c>
      <c r="M25" s="6">
        <f t="shared" si="6"/>
        <v>1619.9974473433101</v>
      </c>
      <c r="N25" s="6">
        <f t="shared" si="6"/>
        <v>1245.7769661573418</v>
      </c>
      <c r="O25" s="6">
        <f t="shared" si="6"/>
        <v>935.68903353835583</v>
      </c>
      <c r="P25" s="6">
        <f t="shared" si="6"/>
        <v>511.03440313604028</v>
      </c>
      <c r="Q25" s="6">
        <f t="shared" si="6"/>
        <v>156.01472908056277</v>
      </c>
      <c r="R25" s="6">
        <f t="shared" si="6"/>
        <v>-326.00291890879828</v>
      </c>
      <c r="S25" s="6">
        <f t="shared" si="6"/>
        <v>-732.46494373491453</v>
      </c>
      <c r="T25" s="6">
        <f t="shared" si="6"/>
        <v>-903.13198272414343</v>
      </c>
      <c r="U25" s="6">
        <f t="shared" si="6"/>
        <v>17.603048522895378</v>
      </c>
      <c r="V25" s="6">
        <f t="shared" si="6"/>
        <v>573.80042988581192</v>
      </c>
    </row>
    <row r="26" spans="1:25" x14ac:dyDescent="0.25">
      <c r="A26" s="4" t="s">
        <v>25</v>
      </c>
      <c r="B26" s="2" t="s">
        <v>26</v>
      </c>
      <c r="C26" s="2">
        <f>$B$17*$C$28</f>
        <v>63.643505431879923</v>
      </c>
      <c r="D26" s="2">
        <f t="shared" ref="D26:L26" si="7">$B$17*$C$28</f>
        <v>63.643505431879923</v>
      </c>
      <c r="E26" s="2">
        <f t="shared" si="7"/>
        <v>63.643505431879923</v>
      </c>
      <c r="F26" s="2">
        <f t="shared" si="7"/>
        <v>63.643505431879923</v>
      </c>
      <c r="G26" s="2">
        <f t="shared" si="7"/>
        <v>63.643505431879923</v>
      </c>
      <c r="H26" s="2">
        <f t="shared" si="7"/>
        <v>63.643505431879923</v>
      </c>
      <c r="I26" s="2">
        <f t="shared" si="7"/>
        <v>63.643505431879923</v>
      </c>
      <c r="J26" s="2">
        <f t="shared" si="7"/>
        <v>63.643505431879923</v>
      </c>
      <c r="K26" s="2">
        <f t="shared" si="7"/>
        <v>63.643505431879923</v>
      </c>
      <c r="L26" s="2">
        <f t="shared" si="7"/>
        <v>63.643505431879923</v>
      </c>
      <c r="M26" s="3"/>
      <c r="N26" s="3"/>
      <c r="O26" s="3"/>
      <c r="P26" s="3"/>
      <c r="Q26" s="3"/>
      <c r="R26" s="3"/>
      <c r="S26" s="3"/>
      <c r="T26" s="3"/>
      <c r="U26" s="3"/>
      <c r="V26" s="3"/>
      <c r="X26" s="1" t="s">
        <v>27</v>
      </c>
    </row>
    <row r="27" spans="1:25" x14ac:dyDescent="0.25">
      <c r="A27" s="4" t="s">
        <v>32</v>
      </c>
      <c r="B27" s="7">
        <v>0.12</v>
      </c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5" x14ac:dyDescent="0.25">
      <c r="A28" s="4" t="s">
        <v>28</v>
      </c>
      <c r="B28" s="2" t="s">
        <v>29</v>
      </c>
      <c r="C28" s="2">
        <f>(B27*(1+B27)^B29)/((1+B27)^B29-1)</f>
        <v>0.17698416415984405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X28" s="1" t="s">
        <v>30</v>
      </c>
    </row>
    <row r="29" spans="1:25" x14ac:dyDescent="0.25">
      <c r="A29" s="4" t="s">
        <v>31</v>
      </c>
      <c r="B29" s="2">
        <v>10</v>
      </c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5" x14ac:dyDescent="0.25">
      <c r="A30" s="4" t="s">
        <v>33</v>
      </c>
      <c r="B30" s="2" t="s">
        <v>34</v>
      </c>
      <c r="C30" s="2">
        <f>C25-C26</f>
        <v>701.50399456812022</v>
      </c>
      <c r="D30" s="2">
        <f t="shared" ref="D30:V30" si="8">D25-D26</f>
        <v>1577.0414945681202</v>
      </c>
      <c r="E30" s="2">
        <f t="shared" si="8"/>
        <v>2452.5789945681213</v>
      </c>
      <c r="F30" s="2">
        <f t="shared" si="8"/>
        <v>3328.1164945681207</v>
      </c>
      <c r="G30" s="2">
        <f t="shared" si="8"/>
        <v>3147.6424945681206</v>
      </c>
      <c r="H30" s="2">
        <f t="shared" si="8"/>
        <v>2891.1103145681204</v>
      </c>
      <c r="I30" s="2">
        <f t="shared" si="8"/>
        <v>2684.4856319681203</v>
      </c>
      <c r="J30" s="2">
        <f t="shared" si="8"/>
        <v>2393.62972158612</v>
      </c>
      <c r="K30" s="2">
        <f t="shared" si="8"/>
        <v>2157.0651224773796</v>
      </c>
      <c r="L30" s="2">
        <f t="shared" si="8"/>
        <v>1827.196751431027</v>
      </c>
      <c r="M30" s="2">
        <f t="shared" si="8"/>
        <v>1619.9974473433101</v>
      </c>
      <c r="N30" s="2">
        <f t="shared" si="8"/>
        <v>1245.7769661573418</v>
      </c>
      <c r="O30" s="2">
        <f t="shared" si="8"/>
        <v>935.68903353835583</v>
      </c>
      <c r="P30" s="2">
        <f t="shared" si="8"/>
        <v>511.03440313604028</v>
      </c>
      <c r="Q30" s="2">
        <f t="shared" si="8"/>
        <v>156.01472908056277</v>
      </c>
      <c r="R30" s="2">
        <f t="shared" si="8"/>
        <v>-326.00291890879828</v>
      </c>
      <c r="S30" s="2">
        <f t="shared" si="8"/>
        <v>-732.46494373491453</v>
      </c>
      <c r="T30" s="2">
        <f t="shared" si="8"/>
        <v>-903.13198272414343</v>
      </c>
      <c r="U30" s="2">
        <f t="shared" si="8"/>
        <v>17.603048522895378</v>
      </c>
      <c r="V30" s="2">
        <f t="shared" si="8"/>
        <v>573.80042988581192</v>
      </c>
    </row>
    <row r="31" spans="1:25" x14ac:dyDescent="0.25">
      <c r="A31" s="4" t="s">
        <v>35</v>
      </c>
      <c r="B31" s="2" t="s">
        <v>36</v>
      </c>
      <c r="C31" s="8">
        <f>C32+C35+C33</f>
        <v>400.83759891362411</v>
      </c>
      <c r="D31" s="8">
        <f t="shared" ref="D31:V31" si="9">D32+D35+D33</f>
        <v>836.48189891362415</v>
      </c>
      <c r="E31" s="8">
        <f t="shared" si="9"/>
        <v>1272.1261989136246</v>
      </c>
      <c r="F31" s="8">
        <f t="shared" si="9"/>
        <v>1707.7704989136244</v>
      </c>
      <c r="G31" s="8">
        <f t="shared" si="9"/>
        <v>1635.5808989136242</v>
      </c>
      <c r="H31" s="8">
        <f t="shared" si="9"/>
        <v>1545.6530269136244</v>
      </c>
      <c r="I31" s="8">
        <f t="shared" si="9"/>
        <v>1463.0031538736241</v>
      </c>
      <c r="J31" s="8">
        <f t="shared" si="9"/>
        <v>1360.6142897208242</v>
      </c>
      <c r="K31" s="8">
        <f t="shared" si="9"/>
        <v>1265.9884500773278</v>
      </c>
      <c r="L31" s="8">
        <f t="shared" si="9"/>
        <v>1149.3899516587869</v>
      </c>
      <c r="M31" s="8">
        <f t="shared" si="9"/>
        <v>1053.7815289373241</v>
      </c>
      <c r="N31" s="8">
        <f t="shared" si="9"/>
        <v>920.97707146293692</v>
      </c>
      <c r="O31" s="8">
        <f t="shared" si="9"/>
        <v>796.94189841534239</v>
      </c>
      <c r="P31" s="8">
        <f t="shared" si="9"/>
        <v>645.65215475441619</v>
      </c>
      <c r="Q31" s="8">
        <f t="shared" si="9"/>
        <v>526.15813931611262</v>
      </c>
      <c r="R31" s="8">
        <f t="shared" si="9"/>
        <v>450.18392906824045</v>
      </c>
      <c r="S31" s="8">
        <f t="shared" si="9"/>
        <v>368.89152410301722</v>
      </c>
      <c r="T31" s="8">
        <f t="shared" si="9"/>
        <v>211.43148809267143</v>
      </c>
      <c r="U31" s="8">
        <f t="shared" si="9"/>
        <v>272.25186612957913</v>
      </c>
      <c r="V31" s="8">
        <f t="shared" si="9"/>
        <v>361.49560016682483</v>
      </c>
    </row>
    <row r="32" spans="1:25" x14ac:dyDescent="0.25">
      <c r="A32" s="4" t="s">
        <v>37</v>
      </c>
      <c r="B32" s="2" t="s">
        <v>41</v>
      </c>
      <c r="C32" s="8">
        <f>IF($B$34*(C30-C33) &lt; 0, 0, $B$34*(C30-C33))</f>
        <v>126.87159891362406</v>
      </c>
      <c r="D32" s="8">
        <f t="shared" ref="D32" si="10">IF($B$34*(D30-D33) &lt; 0, 0, $B$34*(D30-D33))</f>
        <v>288.54989891362408</v>
      </c>
      <c r="E32" s="8">
        <f>IF($B$34*(E30-E33) &lt; 0, 0, $B$34*(E30-E33))</f>
        <v>450.22819891362428</v>
      </c>
      <c r="F32" s="8">
        <f t="shared" ref="F32" si="11">IF($B$34*(F30-F33) &lt; 0, 0, $B$34*(F30-F33))</f>
        <v>611.9064989136242</v>
      </c>
      <c r="G32" s="8">
        <f t="shared" ref="G32" si="12">IF($B$34*(G30-G33) &lt; 0, 0, $B$34*(G30-G33))</f>
        <v>575.81169891362413</v>
      </c>
      <c r="H32" s="8">
        <f t="shared" ref="H32" si="13">IF($B$34*(H30-H33) &lt; 0, 0, $B$34*(H30-H33))</f>
        <v>524.50526291362416</v>
      </c>
      <c r="I32" s="8">
        <f t="shared" ref="I32" si="14">IF($B$34*(I30-I33) &lt; 0, 0, $B$34*(I30-I33))</f>
        <v>483.18032639362411</v>
      </c>
      <c r="J32" s="8">
        <f t="shared" ref="J32" si="15">IF($B$34*(J30-J33) &lt; 0, 0, $B$34*(J30-J33))</f>
        <v>425.00914431722407</v>
      </c>
      <c r="K32" s="8">
        <f t="shared" ref="K32" si="16">IF($B$34*(K30-K33) &lt; 0, 0, $B$34*(K30-K33))</f>
        <v>377.69622449547592</v>
      </c>
      <c r="L32" s="8">
        <f t="shared" ref="L32" si="17">IF($B$34*(L30-L33) &lt; 0, 0, $B$34*(L30-L33))</f>
        <v>311.72255028620543</v>
      </c>
      <c r="M32" s="8">
        <f t="shared" ref="M32" si="18">IF($B$34*(M30-M33) &lt; 0, 0, $B$34*(M30-M33))</f>
        <v>270.282689468662</v>
      </c>
      <c r="N32" s="8">
        <f t="shared" ref="N32" si="19">IF($B$34*(N30-N33) &lt; 0, 0, $B$34*(N30-N33))</f>
        <v>195.43859323146836</v>
      </c>
      <c r="O32" s="8">
        <f t="shared" ref="O32" si="20">IF($B$34*(O30-O33) &lt; 0, 0, $B$34*(O30-O33))</f>
        <v>133.42100670767118</v>
      </c>
      <c r="P32" s="8">
        <f t="shared" ref="P32" si="21">IF($B$34*(P30-P33) &lt; 0, 0, $B$34*(P30-P33))</f>
        <v>48.490080627208059</v>
      </c>
      <c r="Q32" s="8">
        <f>IF($B$34*(Q30-Q33) &lt; 0, 0, $B$34*(Q30-Q33))</f>
        <v>0</v>
      </c>
      <c r="R32" s="8">
        <f t="shared" ref="R32" si="22">IF($B$34*(R30-R33) &lt; 0, 0, $B$34*(R30-R33))</f>
        <v>0</v>
      </c>
      <c r="S32" s="8">
        <f t="shared" ref="S32" si="23">IF($B$34*(S30-S33) &lt; 0, 0, $B$34*(S30-S33))</f>
        <v>0</v>
      </c>
      <c r="T32" s="8">
        <f t="shared" ref="T32" si="24">IF($B$34*(T30-T33) &lt; 0, 0, $B$34*(T30-T33))</f>
        <v>0</v>
      </c>
      <c r="U32" s="8">
        <f t="shared" ref="U32" si="25">IF($B$34*(U30-U33) &lt; 0, 0, $B$34*(U30-U33))</f>
        <v>0</v>
      </c>
      <c r="V32" s="8">
        <f t="shared" ref="V32" si="26">IF($B$34*(V30-V33) &lt; 0, 0, $B$34*(V30-V33))</f>
        <v>101.33088597716238</v>
      </c>
    </row>
    <row r="33" spans="1:22" x14ac:dyDescent="0.25">
      <c r="A33" s="4" t="s">
        <v>38</v>
      </c>
      <c r="B33" s="2" t="s">
        <v>39</v>
      </c>
      <c r="C33" s="2">
        <f>C19*0.04</f>
        <v>67.146000000000001</v>
      </c>
      <c r="D33" s="2">
        <f t="shared" ref="D33:V33" si="27">D19*0.04</f>
        <v>134.292</v>
      </c>
      <c r="E33" s="2">
        <f t="shared" si="27"/>
        <v>201.43800000000005</v>
      </c>
      <c r="F33" s="2">
        <f t="shared" si="27"/>
        <v>268.584</v>
      </c>
      <c r="G33" s="2">
        <f t="shared" si="27"/>
        <v>268.584</v>
      </c>
      <c r="H33" s="2">
        <f t="shared" si="27"/>
        <v>268.584</v>
      </c>
      <c r="I33" s="2">
        <f t="shared" si="27"/>
        <v>268.584</v>
      </c>
      <c r="J33" s="2">
        <f t="shared" si="27"/>
        <v>268.584</v>
      </c>
      <c r="K33" s="2">
        <f t="shared" si="27"/>
        <v>268.584</v>
      </c>
      <c r="L33" s="2">
        <f t="shared" si="27"/>
        <v>268.584</v>
      </c>
      <c r="M33" s="2">
        <f t="shared" si="27"/>
        <v>268.584</v>
      </c>
      <c r="N33" s="2">
        <f t="shared" si="27"/>
        <v>268.584</v>
      </c>
      <c r="O33" s="2">
        <f t="shared" si="27"/>
        <v>268.584</v>
      </c>
      <c r="P33" s="2">
        <f t="shared" si="27"/>
        <v>268.584</v>
      </c>
      <c r="Q33" s="2">
        <f t="shared" si="27"/>
        <v>268.584</v>
      </c>
      <c r="R33" s="2">
        <f t="shared" si="27"/>
        <v>268.584</v>
      </c>
      <c r="S33" s="2">
        <f t="shared" si="27"/>
        <v>268.584</v>
      </c>
      <c r="T33" s="2">
        <f t="shared" si="27"/>
        <v>201.43800000000005</v>
      </c>
      <c r="U33" s="2">
        <f t="shared" si="27"/>
        <v>134.292</v>
      </c>
      <c r="V33" s="2">
        <f t="shared" si="27"/>
        <v>67.146000000000001</v>
      </c>
    </row>
    <row r="34" spans="1:22" x14ac:dyDescent="0.25">
      <c r="A34" s="4" t="s">
        <v>40</v>
      </c>
      <c r="B34" s="7">
        <v>0.2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5">
      <c r="A35" s="4" t="s">
        <v>42</v>
      </c>
      <c r="B35" s="2" t="s">
        <v>44</v>
      </c>
      <c r="C35" s="2">
        <f>$B$36*(C19-C20)</f>
        <v>206.82000000000005</v>
      </c>
      <c r="D35" s="2">
        <f t="shared" ref="D35:V35" si="28">$B$36*(D19-D20)</f>
        <v>413.6400000000001</v>
      </c>
      <c r="E35" s="2">
        <f t="shared" si="28"/>
        <v>620.46000000000026</v>
      </c>
      <c r="F35" s="2">
        <f t="shared" si="28"/>
        <v>827.2800000000002</v>
      </c>
      <c r="G35" s="2">
        <f t="shared" si="28"/>
        <v>791.18520000000012</v>
      </c>
      <c r="H35" s="2">
        <f t="shared" si="28"/>
        <v>752.56376400000011</v>
      </c>
      <c r="I35" s="2">
        <f t="shared" si="28"/>
        <v>711.23882748000005</v>
      </c>
      <c r="J35" s="2">
        <f t="shared" si="28"/>
        <v>667.02114540360003</v>
      </c>
      <c r="K35" s="2">
        <f t="shared" si="28"/>
        <v>619.70822558185193</v>
      </c>
      <c r="L35" s="2">
        <f t="shared" si="28"/>
        <v>569.08340137258153</v>
      </c>
      <c r="M35" s="2">
        <f t="shared" si="28"/>
        <v>514.91483946866208</v>
      </c>
      <c r="N35" s="2">
        <f t="shared" si="28"/>
        <v>456.95447823146844</v>
      </c>
      <c r="O35" s="2">
        <f t="shared" si="28"/>
        <v>394.93689170767124</v>
      </c>
      <c r="P35" s="2">
        <f t="shared" si="28"/>
        <v>328.57807412720814</v>
      </c>
      <c r="Q35" s="2">
        <f t="shared" si="28"/>
        <v>257.57413931611262</v>
      </c>
      <c r="R35" s="2">
        <f t="shared" si="28"/>
        <v>181.59992906824047</v>
      </c>
      <c r="S35" s="2">
        <f t="shared" si="28"/>
        <v>100.30752410301722</v>
      </c>
      <c r="T35" s="2">
        <f t="shared" si="28"/>
        <v>9.9934880926713969</v>
      </c>
      <c r="U35" s="2">
        <f t="shared" si="28"/>
        <v>137.95986612957913</v>
      </c>
      <c r="V35" s="2">
        <f t="shared" si="28"/>
        <v>193.01871418966243</v>
      </c>
    </row>
    <row r="36" spans="1:22" x14ac:dyDescent="0.25">
      <c r="A36" s="4" t="s">
        <v>43</v>
      </c>
      <c r="B36" s="2">
        <v>0.2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5">
      <c r="A37" s="4" t="s">
        <v>45</v>
      </c>
      <c r="B37" s="2" t="s">
        <v>46</v>
      </c>
      <c r="C37" s="8">
        <f>C30-C31</f>
        <v>300.66639565449611</v>
      </c>
      <c r="D37" s="8">
        <f t="shared" ref="D37:V37" si="29">D30-D31</f>
        <v>740.55959565449609</v>
      </c>
      <c r="E37" s="8">
        <f t="shared" si="29"/>
        <v>1180.4527956544966</v>
      </c>
      <c r="F37" s="8">
        <f t="shared" si="29"/>
        <v>1620.3459956544964</v>
      </c>
      <c r="G37" s="8">
        <f t="shared" si="29"/>
        <v>1512.0615956544964</v>
      </c>
      <c r="H37" s="8">
        <f t="shared" si="29"/>
        <v>1345.457287654496</v>
      </c>
      <c r="I37" s="8">
        <f t="shared" si="29"/>
        <v>1221.4824780944962</v>
      </c>
      <c r="J37" s="8">
        <f t="shared" si="29"/>
        <v>1033.0154318652958</v>
      </c>
      <c r="K37" s="8">
        <f t="shared" si="29"/>
        <v>891.07667240005185</v>
      </c>
      <c r="L37" s="8">
        <f t="shared" si="29"/>
        <v>677.80679977224008</v>
      </c>
      <c r="M37" s="8">
        <f t="shared" si="29"/>
        <v>566.21591840598603</v>
      </c>
      <c r="N37" s="8">
        <f t="shared" si="29"/>
        <v>324.79989469440488</v>
      </c>
      <c r="O37" s="8">
        <f t="shared" si="29"/>
        <v>138.74713512301344</v>
      </c>
      <c r="P37" s="8">
        <f t="shared" si="29"/>
        <v>-134.61775161837591</v>
      </c>
      <c r="Q37" s="8">
        <f t="shared" si="29"/>
        <v>-370.14341023554982</v>
      </c>
      <c r="R37" s="8">
        <f t="shared" si="29"/>
        <v>-776.18684797703872</v>
      </c>
      <c r="S37" s="8">
        <f t="shared" si="29"/>
        <v>-1101.3564678379316</v>
      </c>
      <c r="T37" s="8">
        <f t="shared" si="29"/>
        <v>-1114.563470816815</v>
      </c>
      <c r="U37" s="8">
        <f t="shared" si="29"/>
        <v>-254.64881760668374</v>
      </c>
      <c r="V37" s="8">
        <f t="shared" si="29"/>
        <v>212.30482971898709</v>
      </c>
    </row>
    <row r="38" spans="1:22" x14ac:dyDescent="0.25">
      <c r="A38" s="4" t="s">
        <v>48</v>
      </c>
      <c r="B38" s="2" t="s">
        <v>47</v>
      </c>
      <c r="C38" s="2">
        <f>(C25/C19)*100</f>
        <v>45.581121734727311</v>
      </c>
      <c r="D38" s="2">
        <f t="shared" ref="D38:V38" si="30">(D25/D19)*100</f>
        <v>48.86918059154678</v>
      </c>
      <c r="E38" s="2">
        <f t="shared" si="30"/>
        <v>49.965200210486621</v>
      </c>
      <c r="F38" s="2">
        <f t="shared" si="30"/>
        <v>50.513210019956524</v>
      </c>
      <c r="G38" s="2">
        <f t="shared" si="30"/>
        <v>47.825425192863321</v>
      </c>
      <c r="H38" s="2">
        <f t="shared" si="30"/>
        <v>44.00491198284336</v>
      </c>
      <c r="I38" s="2">
        <f t="shared" si="30"/>
        <v>40.92766713430435</v>
      </c>
      <c r="J38" s="2">
        <f t="shared" si="30"/>
        <v>36.595973356834364</v>
      </c>
      <c r="K38" s="2">
        <f t="shared" si="30"/>
        <v>33.072835729742046</v>
      </c>
      <c r="L38" s="2">
        <f t="shared" si="30"/>
        <v>28.160132500266684</v>
      </c>
      <c r="M38" s="2">
        <f t="shared" si="30"/>
        <v>24.126492231008697</v>
      </c>
      <c r="N38" s="2">
        <f t="shared" si="30"/>
        <v>18.553256577567417</v>
      </c>
      <c r="O38" s="2">
        <f t="shared" si="30"/>
        <v>13.935141833293955</v>
      </c>
      <c r="P38" s="2">
        <f t="shared" si="30"/>
        <v>7.6107944350525756</v>
      </c>
      <c r="Q38" s="2">
        <f t="shared" si="30"/>
        <v>2.3235148643338812</v>
      </c>
      <c r="R38" s="2">
        <f t="shared" si="30"/>
        <v>-4.8551353603907641</v>
      </c>
      <c r="S38" s="2">
        <f t="shared" si="30"/>
        <v>-10.9085417409066</v>
      </c>
      <c r="T38" s="2">
        <f t="shared" si="30"/>
        <v>-17.933696377528435</v>
      </c>
      <c r="U38" s="2">
        <f t="shared" si="30"/>
        <v>0.52432158350148561</v>
      </c>
      <c r="V38" s="2">
        <f t="shared" si="30"/>
        <v>34.182255376988167</v>
      </c>
    </row>
    <row r="39" spans="1:22" x14ac:dyDescent="0.25">
      <c r="A39" s="9" t="s">
        <v>49</v>
      </c>
      <c r="B39" s="2" t="s">
        <v>50</v>
      </c>
      <c r="C39" s="2">
        <f>(C37/$B$18)*100</f>
        <v>20.902836182876534</v>
      </c>
      <c r="D39" s="2">
        <f t="shared" ref="D39:V39" si="31">(D37/$B$18)*100</f>
        <v>51.484955204011129</v>
      </c>
      <c r="E39" s="2">
        <f t="shared" si="31"/>
        <v>82.06707422514576</v>
      </c>
      <c r="F39" s="2">
        <f t="shared" si="31"/>
        <v>112.64919324628033</v>
      </c>
      <c r="G39" s="2">
        <f t="shared" si="31"/>
        <v>105.12107867453395</v>
      </c>
      <c r="H39" s="2">
        <f t="shared" si="31"/>
        <v>93.538465493221352</v>
      </c>
      <c r="I39" s="2">
        <f t="shared" si="31"/>
        <v>84.919527120028931</v>
      </c>
      <c r="J39" s="2">
        <f t="shared" si="31"/>
        <v>71.816979412214664</v>
      </c>
      <c r="K39" s="2">
        <f t="shared" si="31"/>
        <v>61.949156868746648</v>
      </c>
      <c r="L39" s="2">
        <f t="shared" si="31"/>
        <v>47.12227473388765</v>
      </c>
      <c r="M39" s="2">
        <f t="shared" si="31"/>
        <v>39.364287987067989</v>
      </c>
      <c r="N39" s="2">
        <f t="shared" si="31"/>
        <v>22.5806378402673</v>
      </c>
      <c r="O39" s="2">
        <f t="shared" si="31"/>
        <v>9.6459354229013776</v>
      </c>
      <c r="P39" s="2">
        <f t="shared" si="31"/>
        <v>-9.3588536998314726</v>
      </c>
      <c r="Q39" s="2">
        <f t="shared" si="31"/>
        <v>-25.732995706030991</v>
      </c>
      <c r="R39" s="2">
        <f t="shared" si="31"/>
        <v>-53.961822022875324</v>
      </c>
      <c r="S39" s="2">
        <f t="shared" si="31"/>
        <v>-76.568163781836176</v>
      </c>
      <c r="T39" s="2">
        <f t="shared" si="31"/>
        <v>-77.486336958899813</v>
      </c>
      <c r="U39" s="2">
        <f t="shared" si="31"/>
        <v>-17.703616351966332</v>
      </c>
      <c r="V39" s="2">
        <f t="shared" si="31"/>
        <v>14.759790720174296</v>
      </c>
    </row>
    <row r="40" spans="1:22" x14ac:dyDescent="0.25">
      <c r="A40" s="4" t="s">
        <v>51</v>
      </c>
      <c r="B40" s="2" t="s">
        <v>52</v>
      </c>
      <c r="C40" s="2">
        <f>(C37/C21)*100</f>
        <v>189.62011550933929</v>
      </c>
      <c r="D40" s="2">
        <f t="shared" ref="D40:V40" si="32">(D37/D21)*100</f>
        <v>233.52293122727508</v>
      </c>
      <c r="E40" s="2">
        <f t="shared" si="32"/>
        <v>248.15720313325377</v>
      </c>
      <c r="F40" s="2">
        <f t="shared" si="32"/>
        <v>255.47433908624302</v>
      </c>
      <c r="G40" s="2">
        <f t="shared" si="32"/>
        <v>238.40151291359817</v>
      </c>
      <c r="H40" s="2">
        <f t="shared" si="32"/>
        <v>192.84871718988009</v>
      </c>
      <c r="I40" s="2">
        <f t="shared" si="32"/>
        <v>175.07900929437002</v>
      </c>
      <c r="J40" s="2">
        <f t="shared" si="32"/>
        <v>134.60492895106745</v>
      </c>
      <c r="K40" s="2">
        <f t="shared" si="32"/>
        <v>116.10989388782245</v>
      </c>
      <c r="L40" s="2">
        <f t="shared" si="32"/>
        <v>80.291096700136549</v>
      </c>
      <c r="M40" s="2">
        <f t="shared" si="32"/>
        <v>67.072353173748098</v>
      </c>
      <c r="N40" s="2">
        <f t="shared" si="32"/>
        <v>34.977169629867795</v>
      </c>
      <c r="O40" s="2">
        <f t="shared" si="32"/>
        <v>14.941452137544145</v>
      </c>
      <c r="P40" s="2">
        <f t="shared" si="32"/>
        <v>-13.178877799311101</v>
      </c>
      <c r="Q40" s="2">
        <f t="shared" si="32"/>
        <v>-36.23648971306033</v>
      </c>
      <c r="R40" s="2">
        <f t="shared" si="32"/>
        <v>-69.079580691155343</v>
      </c>
      <c r="S40" s="2">
        <f t="shared" si="32"/>
        <v>-98.019237491623755</v>
      </c>
      <c r="T40" s="2">
        <f t="shared" si="32"/>
        <v>-132.25952388203302</v>
      </c>
      <c r="U40" s="2">
        <f t="shared" si="32"/>
        <v>-45.32680137421908</v>
      </c>
      <c r="V40" s="2">
        <f t="shared" si="32"/>
        <v>75.579371920141639</v>
      </c>
    </row>
    <row r="41" spans="1:22" x14ac:dyDescent="0.25">
      <c r="A41" s="4" t="s">
        <v>56</v>
      </c>
      <c r="B41" s="2" t="s">
        <v>53</v>
      </c>
      <c r="C41" s="2">
        <f>(C37/C42)*100</f>
        <v>30.659955698142216</v>
      </c>
      <c r="D41" s="2">
        <f t="shared" ref="D41:V41" si="33">(D37/D42)*100</f>
        <v>40.010632390200918</v>
      </c>
      <c r="E41" s="2">
        <f t="shared" si="33"/>
        <v>43.380411652819234</v>
      </c>
      <c r="F41" s="2">
        <f t="shared" si="33"/>
        <v>45.117089924623123</v>
      </c>
      <c r="G41" s="2">
        <f t="shared" si="33"/>
        <v>40.087552623493437</v>
      </c>
      <c r="H41" s="2">
        <f t="shared" si="33"/>
        <v>33.399046962122</v>
      </c>
      <c r="I41" s="2">
        <f t="shared" si="33"/>
        <v>28.842187828107598</v>
      </c>
      <c r="J41" s="2">
        <f t="shared" si="33"/>
        <v>22.824476302803244</v>
      </c>
      <c r="K41" s="2">
        <f t="shared" si="33"/>
        <v>18.710368091811606</v>
      </c>
      <c r="L41" s="2">
        <f t="shared" si="33"/>
        <v>13.310311203671482</v>
      </c>
      <c r="M41" s="2">
        <f t="shared" si="33"/>
        <v>10.557453350667195</v>
      </c>
      <c r="N41" s="2">
        <f t="shared" si="33"/>
        <v>5.6610920713580342</v>
      </c>
      <c r="O41" s="2">
        <f t="shared" si="33"/>
        <v>2.2942910393887206</v>
      </c>
      <c r="P41" s="2">
        <f t="shared" si="33"/>
        <v>-2.0799542656369394</v>
      </c>
      <c r="Q41" s="2">
        <f t="shared" si="33"/>
        <v>-5.421623451057358</v>
      </c>
      <c r="R41" s="2">
        <f t="shared" si="33"/>
        <v>-10.619332308619041</v>
      </c>
      <c r="S41" s="2">
        <f t="shared" si="33"/>
        <v>-14.274320616054336</v>
      </c>
      <c r="T41" s="2">
        <f t="shared" si="33"/>
        <v>-18.150962360721064</v>
      </c>
      <c r="U41" s="2">
        <f t="shared" si="33"/>
        <v>-7.330156231452885</v>
      </c>
      <c r="V41" s="2">
        <f t="shared" si="33"/>
        <v>18.114815032816388</v>
      </c>
    </row>
    <row r="42" spans="1:22" ht="37.5" x14ac:dyDescent="0.25">
      <c r="A42" s="4" t="s">
        <v>55</v>
      </c>
      <c r="B42" s="10" t="s">
        <v>54</v>
      </c>
      <c r="C42" s="2">
        <f>C20+C21+C22+C24+C33</f>
        <v>980.6484999999999</v>
      </c>
      <c r="D42" s="2">
        <f t="shared" ref="D42:V42" si="34">D20+D21+D22+D24+D33</f>
        <v>1850.9069999999999</v>
      </c>
      <c r="E42" s="2">
        <f t="shared" si="34"/>
        <v>2721.1654999999996</v>
      </c>
      <c r="F42" s="2">
        <f t="shared" si="34"/>
        <v>3591.4239999999995</v>
      </c>
      <c r="G42" s="2">
        <f t="shared" si="34"/>
        <v>3771.8979999999997</v>
      </c>
      <c r="H42" s="2">
        <f t="shared" si="34"/>
        <v>4028.4301799999998</v>
      </c>
      <c r="I42" s="2">
        <f t="shared" si="34"/>
        <v>4235.0548626</v>
      </c>
      <c r="J42" s="2">
        <f t="shared" si="34"/>
        <v>4525.9107729819998</v>
      </c>
      <c r="K42" s="2">
        <f t="shared" si="34"/>
        <v>4762.4753720907402</v>
      </c>
      <c r="L42" s="2">
        <f t="shared" si="34"/>
        <v>5092.3437431370921</v>
      </c>
      <c r="M42" s="2">
        <f t="shared" si="34"/>
        <v>5363.1865526566889</v>
      </c>
      <c r="N42" s="2">
        <f t="shared" si="34"/>
        <v>5737.4070338426582</v>
      </c>
      <c r="O42" s="2">
        <f t="shared" si="34"/>
        <v>6047.4949664616443</v>
      </c>
      <c r="P42" s="2">
        <f t="shared" si="34"/>
        <v>6472.1495968639592</v>
      </c>
      <c r="Q42" s="2">
        <f t="shared" si="34"/>
        <v>6827.1692709194367</v>
      </c>
      <c r="R42" s="2">
        <f t="shared" si="34"/>
        <v>7309.1869189087984</v>
      </c>
      <c r="S42" s="2">
        <f t="shared" si="34"/>
        <v>7715.6489437349146</v>
      </c>
      <c r="T42" s="2">
        <f t="shared" si="34"/>
        <v>6140.519982724144</v>
      </c>
      <c r="U42" s="2">
        <f t="shared" si="34"/>
        <v>3473.9889514771048</v>
      </c>
      <c r="V42" s="2">
        <f t="shared" si="34"/>
        <v>1171.9955701141882</v>
      </c>
    </row>
    <row r="43" spans="1:22" x14ac:dyDescent="0.25">
      <c r="A43" s="4" t="s">
        <v>57</v>
      </c>
      <c r="B43" s="2">
        <f>SUM(B49:V49)</f>
        <v>50.480351486738819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4" t="s">
        <v>58</v>
      </c>
      <c r="B44" s="2">
        <f>-B18-B17</f>
        <v>-1798</v>
      </c>
      <c r="C44" s="8">
        <f>C19-SUM(C20:C22)-C26-C31</f>
        <v>390.56639565449609</v>
      </c>
      <c r="D44" s="8">
        <f>D19-SUM(D20:D22)-D26-D31</f>
        <v>830.45959565449618</v>
      </c>
      <c r="E44" s="8">
        <f>E19-SUM(E20:E22)-E26-E31</f>
        <v>1270.3527956544967</v>
      </c>
      <c r="F44" s="8">
        <f>F19-SUM(F20:F22)-F26-F31</f>
        <v>1710.2459956544965</v>
      </c>
      <c r="G44" s="8">
        <f t="shared" ref="E44:V44" si="35">G19-SUM(G20:G22)-G26-G31</f>
        <v>1601.9615956544965</v>
      </c>
      <c r="H44" s="8">
        <f t="shared" si="35"/>
        <v>1435.3572876544961</v>
      </c>
      <c r="I44" s="8">
        <f t="shared" si="35"/>
        <v>1311.3824780944963</v>
      </c>
      <c r="J44" s="8">
        <f t="shared" si="35"/>
        <v>1122.9154318652959</v>
      </c>
      <c r="K44" s="8">
        <f t="shared" si="35"/>
        <v>980.97667240005194</v>
      </c>
      <c r="L44" s="8">
        <f t="shared" si="35"/>
        <v>767.70679977224086</v>
      </c>
      <c r="M44" s="8">
        <f t="shared" si="35"/>
        <v>656.1159184059868</v>
      </c>
      <c r="N44" s="8">
        <f t="shared" si="35"/>
        <v>414.69989469440475</v>
      </c>
      <c r="O44" s="8">
        <f t="shared" si="35"/>
        <v>228.64713512301319</v>
      </c>
      <c r="P44" s="8">
        <f t="shared" si="35"/>
        <v>-44.717751618375587</v>
      </c>
      <c r="Q44" s="8">
        <f t="shared" si="35"/>
        <v>-280.2434102355495</v>
      </c>
      <c r="R44" s="8">
        <f t="shared" si="35"/>
        <v>-686.28684797703897</v>
      </c>
      <c r="S44" s="8">
        <f t="shared" si="35"/>
        <v>-1011.456467837932</v>
      </c>
      <c r="T44" s="8">
        <f t="shared" si="35"/>
        <v>-1024.6634708168149</v>
      </c>
      <c r="U44" s="8">
        <f t="shared" si="35"/>
        <v>-164.74881760668376</v>
      </c>
      <c r="V44" s="8">
        <f t="shared" si="35"/>
        <v>302.20482971898707</v>
      </c>
    </row>
    <row r="45" spans="1:22" x14ac:dyDescent="0.25">
      <c r="A45" s="4" t="s">
        <v>59</v>
      </c>
      <c r="B45" s="2" t="s">
        <v>60</v>
      </c>
      <c r="C45" s="2">
        <f>1/((1+$C$46)^C15)</f>
        <v>0.66666666666666663</v>
      </c>
      <c r="D45" s="2">
        <f>1/((1+$C$46)^D15)</f>
        <v>0.44444444444444442</v>
      </c>
      <c r="E45" s="2">
        <f t="shared" ref="E45:V45" si="36">1/((1+$C$46)^E15)</f>
        <v>0.29629629629629628</v>
      </c>
      <c r="F45" s="2">
        <f t="shared" si="36"/>
        <v>0.19753086419753085</v>
      </c>
      <c r="G45" s="2">
        <f t="shared" si="36"/>
        <v>0.13168724279835392</v>
      </c>
      <c r="H45" s="2">
        <f t="shared" si="36"/>
        <v>8.77914951989026E-2</v>
      </c>
      <c r="I45" s="2">
        <f t="shared" si="36"/>
        <v>5.8527663465935069E-2</v>
      </c>
      <c r="J45" s="2">
        <f t="shared" si="36"/>
        <v>3.9018442310623382E-2</v>
      </c>
      <c r="K45" s="2">
        <f t="shared" si="36"/>
        <v>2.6012294873748919E-2</v>
      </c>
      <c r="L45" s="2">
        <f>1/((1+$C$46)^L15)</f>
        <v>1.7341529915832612E-2</v>
      </c>
      <c r="M45" s="2">
        <f t="shared" si="36"/>
        <v>1.1561019943888409E-2</v>
      </c>
      <c r="N45" s="2">
        <f t="shared" si="36"/>
        <v>7.7073466292589396E-3</v>
      </c>
      <c r="O45" s="2">
        <f t="shared" si="36"/>
        <v>5.1382310861726264E-3</v>
      </c>
      <c r="P45" s="2">
        <f t="shared" si="36"/>
        <v>3.4254873907817508E-3</v>
      </c>
      <c r="Q45" s="2">
        <f t="shared" si="36"/>
        <v>2.2836582605211672E-3</v>
      </c>
      <c r="R45" s="2">
        <f t="shared" si="36"/>
        <v>1.5224388403474447E-3</v>
      </c>
      <c r="S45" s="2">
        <f t="shared" si="36"/>
        <v>1.0149592268982965E-3</v>
      </c>
      <c r="T45" s="2">
        <f t="shared" si="36"/>
        <v>6.7663948459886433E-4</v>
      </c>
      <c r="U45" s="2">
        <f t="shared" si="36"/>
        <v>4.5109298973257622E-4</v>
      </c>
      <c r="V45" s="2">
        <f t="shared" si="36"/>
        <v>3.007286598217175E-4</v>
      </c>
    </row>
    <row r="46" spans="1:22" x14ac:dyDescent="0.25">
      <c r="A46" s="4" t="s">
        <v>61</v>
      </c>
      <c r="B46" s="2" t="s">
        <v>62</v>
      </c>
      <c r="C46" s="7">
        <f>0.5</f>
        <v>0.5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A47" s="4" t="s">
        <v>63</v>
      </c>
      <c r="B47" s="13">
        <v>2.5000000000000001E-2</v>
      </c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4" t="s">
        <v>65</v>
      </c>
      <c r="B48" s="2" t="s">
        <v>64</v>
      </c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5">
      <c r="A49" s="4" t="s">
        <v>66</v>
      </c>
      <c r="B49" s="2">
        <f>B44</f>
        <v>-1798</v>
      </c>
      <c r="C49" s="2">
        <f>C45*C44</f>
        <v>260.37759710299736</v>
      </c>
      <c r="D49" s="2">
        <f>D45*D44</f>
        <v>369.09315362422052</v>
      </c>
      <c r="E49" s="2">
        <f t="shared" ref="E49:V49" si="37">E45*E44</f>
        <v>376.40082834207311</v>
      </c>
      <c r="F49" s="2">
        <f t="shared" si="37"/>
        <v>337.8263695119993</v>
      </c>
      <c r="G49" s="2">
        <f t="shared" si="37"/>
        <v>210.95790560059214</v>
      </c>
      <c r="H49" s="2">
        <f t="shared" si="37"/>
        <v>126.01216242782955</v>
      </c>
      <c r="I49" s="2">
        <f t="shared" si="37"/>
        <v>76.752152353038639</v>
      </c>
      <c r="J49" s="2">
        <f t="shared" si="37"/>
        <v>43.81441099794479</v>
      </c>
      <c r="K49" s="2">
        <f t="shared" si="37"/>
        <v>25.517454466739142</v>
      </c>
      <c r="L49" s="2">
        <f>L45*L44</f>
        <v>13.313210434838432</v>
      </c>
      <c r="M49" s="2">
        <f t="shared" si="37"/>
        <v>7.5853692181942733</v>
      </c>
      <c r="N49" s="2">
        <f t="shared" si="37"/>
        <v>3.1962358355269576</v>
      </c>
      <c r="O49" s="2">
        <f t="shared" si="37"/>
        <v>1.1748418174533792</v>
      </c>
      <c r="P49" s="2">
        <f t="shared" si="37"/>
        <v>-0.15318009431285581</v>
      </c>
      <c r="Q49" s="2">
        <f t="shared" si="37"/>
        <v>-0.63998017874103486</v>
      </c>
      <c r="R49" s="2">
        <f>R45*R44</f>
        <v>-1.0448297529798662</v>
      </c>
      <c r="S49" s="2">
        <f>S45*S44</f>
        <v>-1.0265870746380692</v>
      </c>
      <c r="T49" s="2">
        <f t="shared" si="37"/>
        <v>-0.69332776278077313</v>
      </c>
      <c r="U49" s="2">
        <f t="shared" si="37"/>
        <v>-7.4317036689105873E-2</v>
      </c>
      <c r="V49" s="2">
        <f t="shared" si="37"/>
        <v>9.0881653433041332E-2</v>
      </c>
    </row>
    <row r="50" spans="1:22" x14ac:dyDescent="0.25">
      <c r="A50" s="4" t="s">
        <v>67</v>
      </c>
      <c r="B50" s="2">
        <f>B49</f>
        <v>-1798</v>
      </c>
      <c r="C50" s="8">
        <f>C44+B49</f>
        <v>-1407.4336043455039</v>
      </c>
      <c r="D50" s="8">
        <f>D44+C49</f>
        <v>1090.8371927574935</v>
      </c>
      <c r="E50" s="8">
        <f t="shared" ref="E50:V50" si="38">E44+D49</f>
        <v>1639.4459492787173</v>
      </c>
      <c r="F50" s="8">
        <f t="shared" si="38"/>
        <v>2086.6468239965698</v>
      </c>
      <c r="G50" s="8">
        <f t="shared" si="38"/>
        <v>1939.7879651664957</v>
      </c>
      <c r="H50" s="8">
        <f t="shared" si="38"/>
        <v>1646.3151932550882</v>
      </c>
      <c r="I50" s="8">
        <f t="shared" si="38"/>
        <v>1437.3946405223257</v>
      </c>
      <c r="J50" s="8">
        <f t="shared" si="38"/>
        <v>1199.6675842183345</v>
      </c>
      <c r="K50" s="8">
        <f t="shared" si="38"/>
        <v>1024.7910833979968</v>
      </c>
      <c r="L50" s="8">
        <f t="shared" si="38"/>
        <v>793.22425423898005</v>
      </c>
      <c r="M50" s="8">
        <f t="shared" si="38"/>
        <v>669.42912884082523</v>
      </c>
      <c r="N50" s="8">
        <f t="shared" si="38"/>
        <v>422.28526391259902</v>
      </c>
      <c r="O50" s="8">
        <f t="shared" si="38"/>
        <v>231.84337095854013</v>
      </c>
      <c r="P50" s="8">
        <f t="shared" si="38"/>
        <v>-43.54290980092221</v>
      </c>
      <c r="Q50" s="8">
        <f t="shared" si="38"/>
        <v>-280.39659032986236</v>
      </c>
      <c r="R50" s="8">
        <f t="shared" si="38"/>
        <v>-686.92682815577996</v>
      </c>
      <c r="S50" s="8">
        <f t="shared" si="38"/>
        <v>-1012.5012975909119</v>
      </c>
      <c r="T50" s="8">
        <f t="shared" si="38"/>
        <v>-1025.6900578914529</v>
      </c>
      <c r="U50" s="8">
        <f t="shared" si="38"/>
        <v>-165.44214536946453</v>
      </c>
      <c r="V50" s="8">
        <f t="shared" si="38"/>
        <v>302.13051268229799</v>
      </c>
    </row>
    <row r="51" spans="1:22" x14ac:dyDescent="0.25">
      <c r="A51" s="4" t="s">
        <v>68</v>
      </c>
      <c r="B51" s="2">
        <f>B49</f>
        <v>-1798</v>
      </c>
      <c r="C51" s="2">
        <f>B51+C49</f>
        <v>-1537.6224028970028</v>
      </c>
      <c r="D51" s="2">
        <f t="shared" ref="D51:V51" si="39">C51+D49</f>
        <v>-1168.5292492727822</v>
      </c>
      <c r="E51" s="2">
        <f>D51+E49</f>
        <v>-792.12842093070913</v>
      </c>
      <c r="F51" s="2">
        <f t="shared" si="39"/>
        <v>-454.30205141870982</v>
      </c>
      <c r="G51" s="2">
        <f t="shared" si="39"/>
        <v>-243.34414581811768</v>
      </c>
      <c r="H51" s="2">
        <f t="shared" si="39"/>
        <v>-117.33198339028813</v>
      </c>
      <c r="I51" s="2">
        <f t="shared" si="39"/>
        <v>-40.579831037249491</v>
      </c>
      <c r="J51" s="2">
        <f t="shared" si="39"/>
        <v>3.2345799606952994</v>
      </c>
      <c r="K51" s="2">
        <f t="shared" si="39"/>
        <v>28.752034427434442</v>
      </c>
      <c r="L51" s="2">
        <f t="shared" si="39"/>
        <v>42.065244862272877</v>
      </c>
      <c r="M51" s="2">
        <f t="shared" si="39"/>
        <v>49.65061408046715</v>
      </c>
      <c r="N51" s="2">
        <f t="shared" si="39"/>
        <v>52.846849915994106</v>
      </c>
      <c r="O51" s="2">
        <f t="shared" si="39"/>
        <v>54.021691733447483</v>
      </c>
      <c r="P51" s="2">
        <f t="shared" si="39"/>
        <v>53.868511639134624</v>
      </c>
      <c r="Q51" s="2">
        <f t="shared" si="39"/>
        <v>53.22853146039359</v>
      </c>
      <c r="R51" s="2">
        <f t="shared" si="39"/>
        <v>52.183701707413725</v>
      </c>
      <c r="S51" s="2">
        <f t="shared" si="39"/>
        <v>51.157114632775659</v>
      </c>
      <c r="T51" s="2">
        <f t="shared" si="39"/>
        <v>50.463786869994884</v>
      </c>
      <c r="U51" s="2">
        <f t="shared" si="39"/>
        <v>50.389469833305775</v>
      </c>
      <c r="V51" s="2">
        <f t="shared" si="39"/>
        <v>50.480351486738819</v>
      </c>
    </row>
    <row r="54" spans="1:22" x14ac:dyDescent="0.25">
      <c r="A54" s="4" t="s">
        <v>57</v>
      </c>
      <c r="B54" s="2">
        <v>2581.9121888699428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4" t="s">
        <v>58</v>
      </c>
      <c r="B55" s="2">
        <v>-1798</v>
      </c>
      <c r="C55" s="8">
        <v>390.56639565449598</v>
      </c>
      <c r="D55" s="8">
        <v>830.45959565449618</v>
      </c>
      <c r="E55" s="8">
        <v>1270.3527956544967</v>
      </c>
      <c r="F55" s="8">
        <v>1710.2459956544965</v>
      </c>
      <c r="G55" s="8">
        <v>1601.9615956544965</v>
      </c>
      <c r="H55" s="8">
        <v>1435.3572876544961</v>
      </c>
      <c r="I55" s="8">
        <v>1311.3824780944963</v>
      </c>
      <c r="J55" s="8">
        <v>1122.9154318652959</v>
      </c>
      <c r="K55" s="8">
        <v>980.97667240005194</v>
      </c>
      <c r="L55" s="8">
        <v>767.70679977224086</v>
      </c>
      <c r="M55" s="8">
        <v>656.1159184059868</v>
      </c>
      <c r="N55" s="8">
        <v>414.69989469440475</v>
      </c>
      <c r="O55" s="8">
        <v>228.64713512301319</v>
      </c>
      <c r="P55" s="8">
        <v>-44.717751618375587</v>
      </c>
      <c r="Q55" s="8">
        <v>-280.2434102355495</v>
      </c>
      <c r="R55" s="8">
        <v>-686.28684797703897</v>
      </c>
      <c r="S55" s="8">
        <v>-1011.456467837932</v>
      </c>
      <c r="T55" s="8">
        <v>-1024.6634708168149</v>
      </c>
      <c r="U55" s="8">
        <v>-164.74881760668376</v>
      </c>
      <c r="V55" s="8">
        <v>302.20482971898707</v>
      </c>
    </row>
    <row r="56" spans="1:22" x14ac:dyDescent="0.25">
      <c r="A56" s="4" t="s">
        <v>59</v>
      </c>
      <c r="B56" s="2" t="s">
        <v>60</v>
      </c>
      <c r="C56" s="2">
        <f>1/((1+$C$57)^C15)</f>
        <v>0.76923076923076916</v>
      </c>
      <c r="D56" s="2">
        <f t="shared" ref="D56:V56" si="40">1/((1+$C$57)^D15)</f>
        <v>0.59171597633136086</v>
      </c>
      <c r="E56" s="2">
        <f t="shared" si="40"/>
        <v>0.45516613563950831</v>
      </c>
      <c r="F56" s="2">
        <f t="shared" si="40"/>
        <v>0.35012779664577565</v>
      </c>
      <c r="G56" s="2">
        <f t="shared" si="40"/>
        <v>0.26932907434290432</v>
      </c>
      <c r="H56" s="2">
        <f t="shared" si="40"/>
        <v>0.20717621103300329</v>
      </c>
      <c r="I56" s="2">
        <f t="shared" si="40"/>
        <v>0.1593663161792333</v>
      </c>
      <c r="J56" s="2">
        <f t="shared" si="40"/>
        <v>0.12258947398402563</v>
      </c>
      <c r="K56" s="2">
        <f t="shared" si="40"/>
        <v>9.4299595372327405E-2</v>
      </c>
      <c r="L56" s="2">
        <f t="shared" si="40"/>
        <v>7.2538150286405687E-2</v>
      </c>
      <c r="M56" s="2">
        <f t="shared" si="40"/>
        <v>5.579857714338899E-2</v>
      </c>
      <c r="N56" s="2">
        <f t="shared" si="40"/>
        <v>4.2921982417991528E-2</v>
      </c>
      <c r="O56" s="2">
        <f t="shared" si="40"/>
        <v>3.3016909552301174E-2</v>
      </c>
      <c r="P56" s="2">
        <f t="shared" si="40"/>
        <v>2.5397622732539361E-2</v>
      </c>
      <c r="Q56" s="2">
        <f t="shared" si="40"/>
        <v>1.9536632871184123E-2</v>
      </c>
      <c r="R56" s="2">
        <f t="shared" si="40"/>
        <v>1.5028179131680095E-2</v>
      </c>
      <c r="S56" s="2">
        <f t="shared" si="40"/>
        <v>1.1560137793600074E-2</v>
      </c>
      <c r="T56" s="2">
        <f t="shared" si="40"/>
        <v>8.8924136873846701E-3</v>
      </c>
      <c r="U56" s="2">
        <f t="shared" si="40"/>
        <v>6.8403182210651304E-3</v>
      </c>
      <c r="V56" s="2">
        <f t="shared" si="40"/>
        <v>5.2617832469731779E-3</v>
      </c>
    </row>
    <row r="57" spans="1:22" x14ac:dyDescent="0.25">
      <c r="A57" s="4" t="s">
        <v>61</v>
      </c>
      <c r="B57" s="2" t="s">
        <v>62</v>
      </c>
      <c r="C57" s="7">
        <v>0.3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4" t="s">
        <v>63</v>
      </c>
      <c r="B58" s="13">
        <v>2.5000000000000001E-2</v>
      </c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4" t="s">
        <v>65</v>
      </c>
      <c r="B59" s="2" t="s">
        <v>64</v>
      </c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4" t="s">
        <v>66</v>
      </c>
      <c r="B60" s="2">
        <v>-1798</v>
      </c>
      <c r="C60" s="2">
        <v>322.78214516900505</v>
      </c>
      <c r="D60" s="2">
        <v>567.21507796905689</v>
      </c>
      <c r="E60" s="2">
        <v>717.08103511789704</v>
      </c>
      <c r="F60" s="2">
        <v>797.84237894696639</v>
      </c>
      <c r="G60" s="2">
        <v>617.6255431284161</v>
      </c>
      <c r="H60" s="2">
        <v>457.34906627187195</v>
      </c>
      <c r="I60" s="2">
        <v>345.32799283163928</v>
      </c>
      <c r="J60" s="2">
        <v>244.3791150022661</v>
      </c>
      <c r="K60" s="2">
        <v>176.43727722704071</v>
      </c>
      <c r="L60" s="2">
        <v>114.11472397695074</v>
      </c>
      <c r="M60" s="2">
        <v>80.60119877376772</v>
      </c>
      <c r="N60" s="2">
        <v>42.102654797217873</v>
      </c>
      <c r="O60" s="2">
        <v>19.184741424095083</v>
      </c>
      <c r="P60" s="2">
        <v>-3.1008786790773892</v>
      </c>
      <c r="Q60" s="2">
        <v>-16.06034441278511</v>
      </c>
      <c r="R60" s="2">
        <v>-32.504220171225455</v>
      </c>
      <c r="S60" s="2">
        <v>-39.590947953624315</v>
      </c>
      <c r="T60" s="2">
        <v>-33.14702747072517</v>
      </c>
      <c r="U60" s="2">
        <v>-4.4045370786933065</v>
      </c>
      <c r="V60" s="2">
        <v>6.6771939998828129</v>
      </c>
    </row>
    <row r="61" spans="1:22" x14ac:dyDescent="0.25">
      <c r="A61" s="4" t="s">
        <v>67</v>
      </c>
      <c r="B61" s="2">
        <v>-1798</v>
      </c>
      <c r="C61" s="8">
        <v>-1407.4336043455039</v>
      </c>
      <c r="D61" s="8">
        <v>1153.2417408235012</v>
      </c>
      <c r="E61" s="8">
        <v>1837.5678736235536</v>
      </c>
      <c r="F61" s="8">
        <v>2427.3270307723933</v>
      </c>
      <c r="G61" s="8">
        <v>2399.8039746014629</v>
      </c>
      <c r="H61" s="8">
        <v>2052.9828307829121</v>
      </c>
      <c r="I61" s="8">
        <v>1768.7315443663683</v>
      </c>
      <c r="J61" s="8">
        <v>1468.2434246969351</v>
      </c>
      <c r="K61" s="8">
        <v>1225.3557874023181</v>
      </c>
      <c r="L61" s="8">
        <v>944.14407699928154</v>
      </c>
      <c r="M61" s="8">
        <v>770.2306423829375</v>
      </c>
      <c r="N61" s="8">
        <v>495.30109346817244</v>
      </c>
      <c r="O61" s="8">
        <v>270.74978992023108</v>
      </c>
      <c r="P61" s="8">
        <v>-25.533010194280504</v>
      </c>
      <c r="Q61" s="8">
        <v>-283.34428891462687</v>
      </c>
      <c r="R61" s="8">
        <v>-702.34719238982404</v>
      </c>
      <c r="S61" s="8">
        <v>-1043.9606880091574</v>
      </c>
      <c r="T61" s="8">
        <v>-1064.2544187704391</v>
      </c>
      <c r="U61" s="8">
        <v>-197.89584507740892</v>
      </c>
      <c r="V61" s="8">
        <v>297.80029264029378</v>
      </c>
    </row>
    <row r="62" spans="1:22" x14ac:dyDescent="0.25">
      <c r="A62" s="4" t="s">
        <v>68</v>
      </c>
      <c r="B62" s="2">
        <v>-1798</v>
      </c>
      <c r="C62" s="2">
        <v>-1475.2178548309948</v>
      </c>
      <c r="D62" s="2">
        <v>-908.00277686193795</v>
      </c>
      <c r="E62" s="2">
        <v>-190.9217417440409</v>
      </c>
      <c r="F62" s="2">
        <v>606.92063720292549</v>
      </c>
      <c r="G62" s="2">
        <v>1224.5461803313415</v>
      </c>
      <c r="H62" s="2">
        <v>1681.8952466032133</v>
      </c>
      <c r="I62" s="2">
        <v>2027.2232394348525</v>
      </c>
      <c r="J62" s="2">
        <v>2271.6023544371187</v>
      </c>
      <c r="K62" s="2">
        <v>2448.0396316641595</v>
      </c>
      <c r="L62" s="2">
        <v>2562.1543556411102</v>
      </c>
      <c r="M62" s="2">
        <v>2642.7555544148781</v>
      </c>
      <c r="N62" s="2">
        <v>2684.858209212096</v>
      </c>
      <c r="O62" s="2">
        <v>2704.0429506361911</v>
      </c>
      <c r="P62" s="2">
        <v>2700.9420719571135</v>
      </c>
      <c r="Q62" s="2">
        <v>2684.8817275443284</v>
      </c>
      <c r="R62" s="2">
        <v>2652.3775073731031</v>
      </c>
      <c r="S62" s="2">
        <v>2612.7865594194786</v>
      </c>
      <c r="T62" s="2">
        <v>2579.6395319487533</v>
      </c>
      <c r="U62" s="2">
        <v>2575.2349948700598</v>
      </c>
      <c r="V62" s="2">
        <v>2581.9121888699428</v>
      </c>
    </row>
    <row r="74" spans="1:4" x14ac:dyDescent="0.25">
      <c r="A74" s="1" t="s">
        <v>69</v>
      </c>
      <c r="B74" s="1">
        <v>0.2</v>
      </c>
      <c r="C74" s="1">
        <v>0.3</v>
      </c>
      <c r="D74" s="1">
        <v>0.5</v>
      </c>
    </row>
    <row r="75" spans="1:4" x14ac:dyDescent="0.25">
      <c r="A75" s="1" t="s">
        <v>57</v>
      </c>
      <c r="B75" s="2">
        <v>2662</v>
      </c>
      <c r="C75" s="1">
        <v>1419</v>
      </c>
      <c r="D75" s="1">
        <v>50</v>
      </c>
    </row>
  </sheetData>
  <mergeCells count="2">
    <mergeCell ref="A5:B5"/>
    <mergeCell ref="A1:U1"/>
  </mergeCells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16.42578125" defaultRowHeight="18.75" x14ac:dyDescent="0.25"/>
  <cols>
    <col min="1" max="1" width="30.140625" style="1" customWidth="1"/>
    <col min="2" max="16384" width="16.42578125" style="1"/>
  </cols>
  <sheetData>
    <row r="1" spans="1:2" x14ac:dyDescent="0.25">
      <c r="A1" s="1" t="s">
        <v>70</v>
      </c>
    </row>
    <row r="2" spans="1:2" x14ac:dyDescent="0.25">
      <c r="A2" s="1" t="s">
        <v>71</v>
      </c>
      <c r="B2" s="1" t="s">
        <v>72</v>
      </c>
    </row>
    <row r="3" spans="1:2" x14ac:dyDescent="0.25">
      <c r="A3" s="1" t="s">
        <v>73</v>
      </c>
      <c r="B3" s="1" t="e">
        <f>Лист1!#REF!</f>
        <v>#REF!</v>
      </c>
    </row>
    <row r="4" spans="1:2" x14ac:dyDescent="0.25">
      <c r="A4" s="1" t="s">
        <v>74</v>
      </c>
      <c r="B4" s="12">
        <f>Лист1!$C$46</f>
        <v>0.5</v>
      </c>
    </row>
    <row r="5" spans="1:2" x14ac:dyDescent="0.25">
      <c r="A5" s="1" t="s">
        <v>57</v>
      </c>
      <c r="B5" s="1">
        <f>Лист1!$B$43</f>
        <v>50.480351486738819</v>
      </c>
    </row>
    <row r="6" spans="1:2" x14ac:dyDescent="0.25">
      <c r="A6" s="1" t="s">
        <v>75</v>
      </c>
      <c r="B6" s="1">
        <f>1</f>
        <v>1</v>
      </c>
    </row>
    <row r="7" spans="1:2" x14ac:dyDescent="0.25">
      <c r="A7" s="1" t="s">
        <v>77</v>
      </c>
      <c r="B7" s="1">
        <v>7</v>
      </c>
    </row>
    <row r="8" spans="1:2" x14ac:dyDescent="0.25">
      <c r="A8" s="1" t="s">
        <v>76</v>
      </c>
      <c r="B8" s="1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s220584</dc:creator>
  <cp:lastModifiedBy>Toni</cp:lastModifiedBy>
  <dcterms:created xsi:type="dcterms:W3CDTF">2024-11-26T07:41:09Z</dcterms:created>
  <dcterms:modified xsi:type="dcterms:W3CDTF">2024-12-08T18:14:23Z</dcterms:modified>
</cp:coreProperties>
</file>