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E:\ОБ\моя папка\Projects\5. Geotargeting\Results\"/>
    </mc:Choice>
  </mc:AlternateContent>
  <xr:revisionPtr revIDLastSave="0" documentId="13_ncr:1_{BB0C5092-AA44-414D-BFB7-36BB186735FB}" xr6:coauthVersionLast="47" xr6:coauthVersionMax="47" xr10:uidLastSave="{00000000-0000-0000-0000-000000000000}"/>
  <bookViews>
    <workbookView xWindow="-120" yWindow="-120" windowWidth="20730" windowHeight="11160" tabRatio="500" firstSheet="7" activeTab="8" xr2:uid="{00000000-000D-0000-FFFF-FFFF00000000}"/>
  </bookViews>
  <sheets>
    <sheet name="Сountries report" sheetId="1" r:id="rId1"/>
    <sheet name="Data Marketplace_customer" sheetId="2" state="hidden" r:id="rId2"/>
    <sheet name="info" sheetId="3" r:id="rId3"/>
    <sheet name="Model" sheetId="4" r:id="rId4"/>
    <sheet name="Countries markets attractivenes" sheetId="5" r:id="rId5"/>
    <sheet name="Sheet12" sheetId="6" state="hidden" r:id="rId6"/>
    <sheet name="Archive_ Marketplace_customer" sheetId="7" state="hidden" r:id="rId7"/>
    <sheet name="Marketplace attractiveness" sheetId="8" r:id="rId8"/>
    <sheet name="Marketplace_customer" sheetId="9" r:id="rId9"/>
    <sheet name="data_modeling" sheetId="10" state="hidden" r:id="rId10"/>
    <sheet name="db_data" sheetId="11" state="hidden" r:id="rId11"/>
    <sheet name="Pie diagram" sheetId="12" state="hidden" r:id="rId12"/>
    <sheet name="Сountries_list" sheetId="13" state="hidden" r:id="rId13"/>
  </sheets>
  <definedNames>
    <definedName name="_xlnm._FilterDatabase" localSheetId="6" hidden="1">'Archive_ Marketplace_customer'!$A$1:$A$64</definedName>
    <definedName name="_xlnm._FilterDatabase" localSheetId="4" hidden="1">'Countries markets attractivenes'!$A$1:$F$59</definedName>
    <definedName name="_xlnm._FilterDatabase" localSheetId="7" hidden="1">'Marketplace attractiveness'!$A$1:$F$72</definedName>
    <definedName name="_xlnm._FilterDatabase" localSheetId="11" hidden="1">'Pie diagram'!$F$1:$G$71</definedName>
    <definedName name="_xlnm._FilterDatabase" localSheetId="0" hidden="1">'Сountries report'!$A$1:$L$72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J25" i="12" l="1"/>
  <c r="K25" i="12" s="1"/>
  <c r="K24" i="12"/>
  <c r="K20" i="12"/>
  <c r="K16" i="12"/>
  <c r="K12" i="12"/>
  <c r="K8" i="12"/>
  <c r="K5" i="12"/>
  <c r="U3" i="12"/>
  <c r="B3" i="12"/>
  <c r="B4" i="12" s="1"/>
  <c r="K2" i="12"/>
  <c r="B2" i="12"/>
  <c r="K1" i="12"/>
  <c r="K22" i="12" s="1"/>
  <c r="J36" i="11"/>
  <c r="J35" i="11"/>
  <c r="J34" i="11"/>
  <c r="J33" i="11"/>
  <c r="J32" i="11"/>
  <c r="J31" i="11"/>
  <c r="J29" i="11"/>
  <c r="J28" i="11"/>
  <c r="J27" i="11"/>
  <c r="J26" i="11"/>
  <c r="J25" i="11"/>
  <c r="J24" i="11"/>
  <c r="J23" i="11"/>
  <c r="J22" i="11"/>
  <c r="J21" i="11"/>
  <c r="J19" i="11"/>
  <c r="J18" i="11"/>
  <c r="J17" i="11"/>
  <c r="J15" i="11"/>
  <c r="J14" i="11"/>
  <c r="J13" i="11"/>
  <c r="J12" i="11"/>
  <c r="J11" i="11"/>
  <c r="J9" i="11"/>
  <c r="J8" i="11"/>
  <c r="M7" i="11"/>
  <c r="J7" i="11"/>
  <c r="J6" i="11"/>
  <c r="J5" i="11"/>
  <c r="M4" i="11"/>
  <c r="J4" i="11"/>
  <c r="M3" i="11"/>
  <c r="J3" i="11"/>
  <c r="M2" i="11"/>
  <c r="F71" i="10"/>
  <c r="E71" i="10"/>
  <c r="D71" i="10"/>
  <c r="F70" i="10"/>
  <c r="E70" i="10"/>
  <c r="D70" i="10"/>
  <c r="F69" i="10"/>
  <c r="E69" i="10"/>
  <c r="D69" i="10"/>
  <c r="F68" i="10"/>
  <c r="E68" i="10"/>
  <c r="D68" i="10"/>
  <c r="F67" i="10"/>
  <c r="E67" i="10"/>
  <c r="D67" i="10"/>
  <c r="F66" i="10"/>
  <c r="E66" i="10"/>
  <c r="D66" i="10"/>
  <c r="F65" i="10"/>
  <c r="E65" i="10"/>
  <c r="D65" i="10"/>
  <c r="F62" i="10"/>
  <c r="E62" i="10"/>
  <c r="D62" i="10"/>
  <c r="F61" i="10"/>
  <c r="E61" i="10"/>
  <c r="D61" i="10"/>
  <c r="E60" i="10"/>
  <c r="D60" i="10"/>
  <c r="F59" i="10"/>
  <c r="E59" i="10"/>
  <c r="D59" i="10"/>
  <c r="E58" i="10"/>
  <c r="D60" i="4" s="1"/>
  <c r="D58" i="10"/>
  <c r="C60" i="4" s="1"/>
  <c r="F57" i="10"/>
  <c r="E57" i="10"/>
  <c r="D57" i="10"/>
  <c r="C59" i="4" s="1"/>
  <c r="E55" i="10"/>
  <c r="D57" i="4" s="1"/>
  <c r="D55" i="10"/>
  <c r="E54" i="10"/>
  <c r="D54" i="10"/>
  <c r="C56" i="4" s="1"/>
  <c r="F53" i="10"/>
  <c r="E55" i="4" s="1"/>
  <c r="E53" i="10"/>
  <c r="D53" i="10"/>
  <c r="E51" i="10"/>
  <c r="D53" i="4" s="1"/>
  <c r="D51" i="10"/>
  <c r="C53" i="4" s="1"/>
  <c r="D50" i="10"/>
  <c r="F49" i="10"/>
  <c r="E49" i="10"/>
  <c r="D51" i="4" s="1"/>
  <c r="D49" i="10"/>
  <c r="C51" i="4" s="1"/>
  <c r="F48" i="10"/>
  <c r="E48" i="10"/>
  <c r="D48" i="10"/>
  <c r="C50" i="4" s="1"/>
  <c r="E47" i="10"/>
  <c r="D49" i="4" s="1"/>
  <c r="D47" i="10"/>
  <c r="F46" i="10"/>
  <c r="E46" i="10"/>
  <c r="D48" i="4" s="1"/>
  <c r="D46" i="10"/>
  <c r="C48" i="4" s="1"/>
  <c r="F45" i="10"/>
  <c r="E45" i="10"/>
  <c r="D45" i="10"/>
  <c r="C47" i="4" s="1"/>
  <c r="F44" i="10"/>
  <c r="E46" i="4" s="1"/>
  <c r="E44" i="10"/>
  <c r="D44" i="10"/>
  <c r="F43" i="10"/>
  <c r="E45" i="4" s="1"/>
  <c r="E43" i="10"/>
  <c r="D45" i="4" s="1"/>
  <c r="D43" i="10"/>
  <c r="F42" i="10"/>
  <c r="E42" i="10"/>
  <c r="D44" i="4" s="1"/>
  <c r="D42" i="10"/>
  <c r="C44" i="4" s="1"/>
  <c r="F41" i="10"/>
  <c r="E41" i="10"/>
  <c r="D41" i="10"/>
  <c r="C43" i="4" s="1"/>
  <c r="F40" i="10"/>
  <c r="E42" i="4" s="1"/>
  <c r="E40" i="10"/>
  <c r="D40" i="10"/>
  <c r="F39" i="10"/>
  <c r="E41" i="4" s="1"/>
  <c r="E39" i="10"/>
  <c r="D41" i="4" s="1"/>
  <c r="D39" i="10"/>
  <c r="F38" i="10"/>
  <c r="E38" i="10"/>
  <c r="D40" i="4" s="1"/>
  <c r="D38" i="10"/>
  <c r="C40" i="4" s="1"/>
  <c r="F37" i="10"/>
  <c r="E37" i="10"/>
  <c r="D37" i="10"/>
  <c r="C39" i="4" s="1"/>
  <c r="F36" i="10"/>
  <c r="E38" i="4" s="1"/>
  <c r="E36" i="10"/>
  <c r="D36" i="10"/>
  <c r="F35" i="10"/>
  <c r="E37" i="4" s="1"/>
  <c r="E35" i="10"/>
  <c r="D37" i="4" s="1"/>
  <c r="D35" i="10"/>
  <c r="E34" i="10"/>
  <c r="D34" i="10"/>
  <c r="C36" i="4" s="1"/>
  <c r="F33" i="10"/>
  <c r="E35" i="4" s="1"/>
  <c r="E33" i="10"/>
  <c r="D33" i="10"/>
  <c r="F32" i="10"/>
  <c r="E32" i="10"/>
  <c r="D34" i="4" s="1"/>
  <c r="D32" i="10"/>
  <c r="E31" i="10"/>
  <c r="D31" i="10"/>
  <c r="C33" i="4" s="1"/>
  <c r="E30" i="10"/>
  <c r="D32" i="4" s="1"/>
  <c r="D30" i="10"/>
  <c r="F29" i="10"/>
  <c r="E29" i="10"/>
  <c r="D31" i="4" s="1"/>
  <c r="D29" i="10"/>
  <c r="C31" i="4" s="1"/>
  <c r="F28" i="10"/>
  <c r="E28" i="10"/>
  <c r="D28" i="10"/>
  <c r="C30" i="4" s="1"/>
  <c r="F27" i="10"/>
  <c r="E29" i="4" s="1"/>
  <c r="E27" i="10"/>
  <c r="D27" i="10"/>
  <c r="F26" i="10"/>
  <c r="E28" i="4" s="1"/>
  <c r="E26" i="10"/>
  <c r="D28" i="4" s="1"/>
  <c r="D26" i="10"/>
  <c r="F25" i="10"/>
  <c r="E25" i="10"/>
  <c r="D27" i="4" s="1"/>
  <c r="D25" i="10"/>
  <c r="C27" i="4" s="1"/>
  <c r="F24" i="10"/>
  <c r="E24" i="10"/>
  <c r="D24" i="10"/>
  <c r="C26" i="4" s="1"/>
  <c r="F23" i="10"/>
  <c r="E25" i="4" s="1"/>
  <c r="E23" i="10"/>
  <c r="D23" i="10"/>
  <c r="G21" i="10"/>
  <c r="F23" i="4" s="1"/>
  <c r="F21" i="10"/>
  <c r="E23" i="4" s="1"/>
  <c r="E21" i="10"/>
  <c r="G20" i="10"/>
  <c r="F20" i="10"/>
  <c r="E22" i="4" s="1"/>
  <c r="E20" i="10"/>
  <c r="D22" i="4" s="1"/>
  <c r="D20" i="10"/>
  <c r="G19" i="10"/>
  <c r="F19" i="10"/>
  <c r="E21" i="4" s="1"/>
  <c r="E19" i="10"/>
  <c r="D21" i="4" s="1"/>
  <c r="D19" i="10"/>
  <c r="G18" i="10"/>
  <c r="F18" i="10"/>
  <c r="E20" i="4" s="1"/>
  <c r="E18" i="10"/>
  <c r="D20" i="4" s="1"/>
  <c r="D18" i="10"/>
  <c r="G17" i="10"/>
  <c r="F17" i="10"/>
  <c r="E19" i="4" s="1"/>
  <c r="E17" i="10"/>
  <c r="D19" i="4" s="1"/>
  <c r="D17" i="10"/>
  <c r="F16" i="10"/>
  <c r="E16" i="10"/>
  <c r="D18" i="4" s="1"/>
  <c r="D16" i="10"/>
  <c r="C18" i="4" s="1"/>
  <c r="E14" i="10"/>
  <c r="D14" i="10"/>
  <c r="E13" i="10"/>
  <c r="D13" i="10"/>
  <c r="C15" i="4" s="1"/>
  <c r="F12" i="10"/>
  <c r="E12" i="10"/>
  <c r="D12" i="10"/>
  <c r="E11" i="10"/>
  <c r="D13" i="4" s="1"/>
  <c r="D11" i="10"/>
  <c r="E10" i="10"/>
  <c r="D10" i="10"/>
  <c r="C12" i="4" s="1"/>
  <c r="G8" i="10"/>
  <c r="F10" i="4" s="1"/>
  <c r="F8" i="10"/>
  <c r="E8" i="10"/>
  <c r="D8" i="10"/>
  <c r="C10" i="4" s="1"/>
  <c r="G7" i="10"/>
  <c r="F9" i="4" s="1"/>
  <c r="F7" i="10"/>
  <c r="E7" i="10"/>
  <c r="D7" i="10"/>
  <c r="C9" i="4" s="1"/>
  <c r="F6" i="10"/>
  <c r="E8" i="4" s="1"/>
  <c r="E6" i="10"/>
  <c r="D6" i="10"/>
  <c r="F5" i="10"/>
  <c r="E7" i="4" s="1"/>
  <c r="E5" i="10"/>
  <c r="D7" i="4" s="1"/>
  <c r="D5" i="10"/>
  <c r="F4" i="10"/>
  <c r="E4" i="10"/>
  <c r="D6" i="4" s="1"/>
  <c r="D4" i="10"/>
  <c r="C6" i="4" s="1"/>
  <c r="G3" i="10"/>
  <c r="F3" i="10"/>
  <c r="E3" i="10"/>
  <c r="D5" i="4" s="1"/>
  <c r="D3" i="10"/>
  <c r="C5" i="4" s="1"/>
  <c r="G2" i="10"/>
  <c r="F2" i="10"/>
  <c r="E2" i="10"/>
  <c r="D4" i="4" s="1"/>
  <c r="D2" i="10"/>
  <c r="C4" i="4" s="1"/>
  <c r="BU64" i="9"/>
  <c r="BT64" i="9"/>
  <c r="BS64" i="9"/>
  <c r="BR64" i="9"/>
  <c r="BQ64" i="9"/>
  <c r="BP64" i="9"/>
  <c r="BO64" i="9"/>
  <c r="BN64" i="9"/>
  <c r="BM64" i="9"/>
  <c r="BL64" i="9"/>
  <c r="BK64" i="9"/>
  <c r="BI64" i="9"/>
  <c r="BG64" i="9"/>
  <c r="BF64" i="9"/>
  <c r="BE64" i="9"/>
  <c r="BD64" i="9"/>
  <c r="BC64" i="9"/>
  <c r="BB64" i="9"/>
  <c r="BA64" i="9"/>
  <c r="AZ64" i="9"/>
  <c r="AX64" i="9"/>
  <c r="AW64" i="9"/>
  <c r="AV64" i="9"/>
  <c r="AT64" i="9"/>
  <c r="AS64" i="9"/>
  <c r="AR64" i="9"/>
  <c r="AQ64" i="9"/>
  <c r="AP64" i="9"/>
  <c r="AO64" i="9"/>
  <c r="AN64" i="9"/>
  <c r="AM64" i="9"/>
  <c r="AL64" i="9"/>
  <c r="AK64" i="9"/>
  <c r="AJ64" i="9"/>
  <c r="AI64" i="9"/>
  <c r="AH64" i="9"/>
  <c r="AG64" i="9"/>
  <c r="AF64" i="9"/>
  <c r="AE64" i="9"/>
  <c r="AD64" i="9"/>
  <c r="AC64" i="9"/>
  <c r="AB64" i="9"/>
  <c r="AA64" i="9"/>
  <c r="Z64" i="9"/>
  <c r="Y64" i="9"/>
  <c r="X64" i="9"/>
  <c r="W64" i="9"/>
  <c r="V64" i="9"/>
  <c r="U64" i="9"/>
  <c r="T64" i="9"/>
  <c r="S64" i="9"/>
  <c r="R64" i="9"/>
  <c r="Q64" i="9"/>
  <c r="P64" i="9"/>
  <c r="N64" i="9"/>
  <c r="M64" i="9"/>
  <c r="L64" i="9"/>
  <c r="K64" i="9"/>
  <c r="J64" i="9"/>
  <c r="I64" i="9"/>
  <c r="H64" i="9"/>
  <c r="G64" i="9"/>
  <c r="F64" i="9"/>
  <c r="E64" i="9"/>
  <c r="D64" i="9"/>
  <c r="C64" i="9"/>
  <c r="B63" i="9"/>
  <c r="B62" i="9"/>
  <c r="B61" i="9"/>
  <c r="B60" i="9"/>
  <c r="B59" i="9"/>
  <c r="B58" i="9"/>
  <c r="B57" i="9"/>
  <c r="B56" i="9"/>
  <c r="B55" i="9"/>
  <c r="B54" i="9"/>
  <c r="B53" i="9"/>
  <c r="B52" i="9"/>
  <c r="B51" i="9"/>
  <c r="B50" i="9"/>
  <c r="B49" i="9"/>
  <c r="B48" i="9"/>
  <c r="B47" i="9"/>
  <c r="B46" i="9"/>
  <c r="B45" i="9"/>
  <c r="B44" i="9"/>
  <c r="B43" i="9"/>
  <c r="B42" i="9"/>
  <c r="B41" i="9"/>
  <c r="B40" i="9"/>
  <c r="B39" i="9"/>
  <c r="B38" i="9"/>
  <c r="B37" i="9"/>
  <c r="B36" i="9"/>
  <c r="B35" i="9"/>
  <c r="B34" i="9"/>
  <c r="B33" i="9"/>
  <c r="B32" i="9"/>
  <c r="B31" i="9"/>
  <c r="B30" i="9"/>
  <c r="B29" i="9"/>
  <c r="B28" i="9"/>
  <c r="B27" i="9"/>
  <c r="B26" i="9"/>
  <c r="B25" i="9"/>
  <c r="B24" i="9"/>
  <c r="B23" i="9"/>
  <c r="B22" i="9"/>
  <c r="B21" i="9"/>
  <c r="B20" i="9"/>
  <c r="B19" i="9"/>
  <c r="B18" i="9"/>
  <c r="B17" i="9"/>
  <c r="B16" i="9"/>
  <c r="B15" i="9"/>
  <c r="B14" i="9"/>
  <c r="B13" i="9"/>
  <c r="B12" i="9"/>
  <c r="B11" i="9"/>
  <c r="B10" i="9"/>
  <c r="B9" i="9"/>
  <c r="B8" i="9"/>
  <c r="B7" i="9"/>
  <c r="B6" i="9"/>
  <c r="B5" i="9"/>
  <c r="B4" i="9"/>
  <c r="B3" i="9"/>
  <c r="BJ2" i="9"/>
  <c r="BJ64" i="9" s="1"/>
  <c r="BK64" i="2" s="1"/>
  <c r="BH2" i="9"/>
  <c r="BH64" i="9" s="1"/>
  <c r="AY2" i="9"/>
  <c r="AY64" i="9" s="1"/>
  <c r="AZ64" i="2" s="1"/>
  <c r="AU2" i="9"/>
  <c r="AU64" i="9" s="1"/>
  <c r="AV64" i="2" s="1"/>
  <c r="B2" i="9"/>
  <c r="B64" i="9" s="1"/>
  <c r="F72" i="8"/>
  <c r="E72" i="8"/>
  <c r="F71" i="8"/>
  <c r="E71" i="8"/>
  <c r="F70" i="8"/>
  <c r="E70" i="8"/>
  <c r="F69" i="8"/>
  <c r="E69" i="8"/>
  <c r="F68" i="8"/>
  <c r="E68" i="8"/>
  <c r="F67" i="8"/>
  <c r="E67" i="8"/>
  <c r="F66" i="8"/>
  <c r="E66" i="8"/>
  <c r="F65" i="8"/>
  <c r="E65" i="8"/>
  <c r="F64" i="8"/>
  <c r="E64" i="8"/>
  <c r="F63" i="8"/>
  <c r="E63" i="8"/>
  <c r="F62" i="8"/>
  <c r="E62" i="8"/>
  <c r="F61" i="8"/>
  <c r="E61" i="8"/>
  <c r="F60" i="8"/>
  <c r="E60" i="8"/>
  <c r="F59" i="8"/>
  <c r="E59" i="8"/>
  <c r="F58" i="8"/>
  <c r="E58" i="8"/>
  <c r="F57" i="8"/>
  <c r="E57" i="8"/>
  <c r="F56" i="8"/>
  <c r="E56" i="8"/>
  <c r="F55" i="8"/>
  <c r="E55" i="8"/>
  <c r="F54" i="8"/>
  <c r="E54" i="8"/>
  <c r="F53" i="8"/>
  <c r="E53" i="8"/>
  <c r="F52" i="8"/>
  <c r="E52" i="8"/>
  <c r="F51" i="8"/>
  <c r="E51" i="8"/>
  <c r="F50" i="8"/>
  <c r="E50" i="8"/>
  <c r="F49" i="8"/>
  <c r="E49" i="8"/>
  <c r="F48" i="8"/>
  <c r="E48" i="8"/>
  <c r="F47" i="8"/>
  <c r="E47" i="8"/>
  <c r="F46" i="8"/>
  <c r="E46" i="8"/>
  <c r="F45" i="8"/>
  <c r="E45" i="8"/>
  <c r="F44" i="8"/>
  <c r="E44" i="8"/>
  <c r="F43" i="8"/>
  <c r="E43" i="8"/>
  <c r="F42" i="8"/>
  <c r="E42" i="8"/>
  <c r="F41" i="8"/>
  <c r="E41" i="8"/>
  <c r="F40" i="8"/>
  <c r="E40" i="8"/>
  <c r="F39" i="8"/>
  <c r="E39" i="8"/>
  <c r="F38" i="8"/>
  <c r="E38" i="8"/>
  <c r="F37" i="8"/>
  <c r="E37" i="8"/>
  <c r="F36" i="8"/>
  <c r="E36" i="8"/>
  <c r="F35" i="8"/>
  <c r="E35" i="8"/>
  <c r="F34" i="8"/>
  <c r="E34" i="8"/>
  <c r="F33" i="8"/>
  <c r="E33" i="8"/>
  <c r="F32" i="8"/>
  <c r="E32" i="8"/>
  <c r="F31" i="8"/>
  <c r="E31" i="8"/>
  <c r="F30" i="8"/>
  <c r="E30" i="8"/>
  <c r="F29" i="8"/>
  <c r="E29" i="8"/>
  <c r="F28" i="8"/>
  <c r="E28" i="8"/>
  <c r="F27" i="8"/>
  <c r="E27" i="8"/>
  <c r="F26" i="8"/>
  <c r="E26" i="8"/>
  <c r="F25" i="8"/>
  <c r="E25" i="8"/>
  <c r="F24" i="8"/>
  <c r="E24" i="8"/>
  <c r="F23" i="8"/>
  <c r="E23" i="8"/>
  <c r="F22" i="8"/>
  <c r="E22" i="8"/>
  <c r="F21" i="8"/>
  <c r="E21" i="8"/>
  <c r="F20" i="8"/>
  <c r="E20" i="8"/>
  <c r="F19" i="8"/>
  <c r="E19" i="8"/>
  <c r="F18" i="8"/>
  <c r="E18" i="8"/>
  <c r="F17" i="8"/>
  <c r="E17" i="8"/>
  <c r="F16" i="8"/>
  <c r="E16" i="8"/>
  <c r="F15" i="8"/>
  <c r="E15" i="8"/>
  <c r="F14" i="8"/>
  <c r="E14" i="8"/>
  <c r="F13" i="8"/>
  <c r="E13" i="8"/>
  <c r="F12" i="8"/>
  <c r="E12" i="8"/>
  <c r="F11" i="8"/>
  <c r="E11" i="8"/>
  <c r="F10" i="8"/>
  <c r="E10" i="8"/>
  <c r="F9" i="8"/>
  <c r="E9" i="8"/>
  <c r="F8" i="8"/>
  <c r="E8" i="8"/>
  <c r="F7" i="8"/>
  <c r="E7" i="8"/>
  <c r="F6" i="8"/>
  <c r="E6" i="8"/>
  <c r="F5" i="8"/>
  <c r="E5" i="8"/>
  <c r="F4" i="8"/>
  <c r="E4" i="8"/>
  <c r="F3" i="8"/>
  <c r="E3" i="8"/>
  <c r="F2" i="8"/>
  <c r="E2" i="8"/>
  <c r="BU64" i="7"/>
  <c r="BT64" i="7"/>
  <c r="BS64" i="7"/>
  <c r="BR64" i="7"/>
  <c r="BQ64" i="7"/>
  <c r="BP64" i="7"/>
  <c r="BO64" i="7"/>
  <c r="BN64" i="7"/>
  <c r="BM64" i="7"/>
  <c r="BL64" i="7"/>
  <c r="BK64" i="7"/>
  <c r="BJ64" i="7"/>
  <c r="BI64" i="7"/>
  <c r="BH64" i="7"/>
  <c r="BG64" i="7"/>
  <c r="BF64" i="7"/>
  <c r="BE64" i="7"/>
  <c r="BD64" i="7"/>
  <c r="BC64" i="7"/>
  <c r="BB64" i="7"/>
  <c r="BA64" i="7"/>
  <c r="AZ64" i="7"/>
  <c r="AY64" i="7"/>
  <c r="AX64" i="7"/>
  <c r="AW64" i="7"/>
  <c r="AV64" i="7"/>
  <c r="AU64" i="7"/>
  <c r="AT64" i="7"/>
  <c r="AS64" i="7"/>
  <c r="AR64" i="7"/>
  <c r="AQ64" i="7"/>
  <c r="AP64" i="7"/>
  <c r="AO64" i="7"/>
  <c r="AN64" i="7"/>
  <c r="AM64" i="7"/>
  <c r="AL64" i="7"/>
  <c r="AK64" i="7"/>
  <c r="AJ64" i="7"/>
  <c r="AI64" i="7"/>
  <c r="AH64" i="7"/>
  <c r="AG64" i="7"/>
  <c r="AF64" i="7"/>
  <c r="AE64" i="7"/>
  <c r="AD64" i="7"/>
  <c r="AC64" i="7"/>
  <c r="AB64" i="7"/>
  <c r="AA64" i="7"/>
  <c r="Z64" i="7"/>
  <c r="Y64" i="7"/>
  <c r="X64" i="7"/>
  <c r="W64" i="7"/>
  <c r="V64" i="7"/>
  <c r="U64" i="7"/>
  <c r="T64" i="7"/>
  <c r="S64" i="7"/>
  <c r="R64" i="7"/>
  <c r="Q64" i="7"/>
  <c r="P64" i="7"/>
  <c r="O64" i="7"/>
  <c r="N64" i="7"/>
  <c r="L64" i="7"/>
  <c r="K64" i="7"/>
  <c r="J64" i="7"/>
  <c r="I64" i="7"/>
  <c r="G64" i="7"/>
  <c r="F64" i="7"/>
  <c r="C64" i="7"/>
  <c r="B63" i="7"/>
  <c r="B62" i="7"/>
  <c r="B61" i="7"/>
  <c r="B60" i="7"/>
  <c r="B59" i="7"/>
  <c r="B58" i="7"/>
  <c r="B57" i="7"/>
  <c r="B56" i="7"/>
  <c r="B55" i="7"/>
  <c r="B54" i="7"/>
  <c r="B53" i="7"/>
  <c r="B52" i="7"/>
  <c r="B51" i="7"/>
  <c r="B50" i="7"/>
  <c r="B49" i="7"/>
  <c r="B48" i="7"/>
  <c r="B47" i="7"/>
  <c r="B46" i="7"/>
  <c r="B45" i="7"/>
  <c r="B44" i="7"/>
  <c r="B43" i="7"/>
  <c r="B42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B3" i="7"/>
  <c r="H2" i="7"/>
  <c r="H64" i="7" s="1"/>
  <c r="E2" i="7"/>
  <c r="E64" i="7" s="1"/>
  <c r="D2" i="7"/>
  <c r="D64" i="7" s="1"/>
  <c r="C2" i="7"/>
  <c r="F59" i="5"/>
  <c r="B59" i="5"/>
  <c r="F58" i="5"/>
  <c r="B58" i="5" s="1"/>
  <c r="F57" i="5"/>
  <c r="B57" i="5"/>
  <c r="F56" i="5"/>
  <c r="B56" i="5" s="1"/>
  <c r="F55" i="5"/>
  <c r="B55" i="5" s="1"/>
  <c r="F54" i="5"/>
  <c r="B54" i="5" s="1"/>
  <c r="F53" i="5"/>
  <c r="B53" i="5" s="1"/>
  <c r="F52" i="5"/>
  <c r="B52" i="5" s="1"/>
  <c r="F51" i="5"/>
  <c r="B51" i="5" s="1"/>
  <c r="F50" i="5"/>
  <c r="B50" i="5" s="1"/>
  <c r="F49" i="5"/>
  <c r="B49" i="5" s="1"/>
  <c r="F48" i="5"/>
  <c r="B48" i="5" s="1"/>
  <c r="F47" i="5"/>
  <c r="B47" i="5" s="1"/>
  <c r="F46" i="5"/>
  <c r="B46" i="5" s="1"/>
  <c r="F45" i="5"/>
  <c r="B45" i="5" s="1"/>
  <c r="F44" i="5"/>
  <c r="B44" i="5" s="1"/>
  <c r="F43" i="5"/>
  <c r="B43" i="5" s="1"/>
  <c r="F42" i="5"/>
  <c r="B42" i="5" s="1"/>
  <c r="F41" i="5"/>
  <c r="B41" i="5" s="1"/>
  <c r="F40" i="5"/>
  <c r="B40" i="5" s="1"/>
  <c r="F39" i="5"/>
  <c r="B39" i="5" s="1"/>
  <c r="F38" i="5"/>
  <c r="B38" i="5" s="1"/>
  <c r="F37" i="5"/>
  <c r="B37" i="5" s="1"/>
  <c r="F36" i="5"/>
  <c r="B36" i="5" s="1"/>
  <c r="F35" i="5"/>
  <c r="B35" i="5"/>
  <c r="F34" i="5"/>
  <c r="B34" i="5" s="1"/>
  <c r="F33" i="5"/>
  <c r="B33" i="5" s="1"/>
  <c r="F32" i="5"/>
  <c r="B32" i="5" s="1"/>
  <c r="F31" i="5"/>
  <c r="B31" i="5" s="1"/>
  <c r="F30" i="5"/>
  <c r="B30" i="5" s="1"/>
  <c r="F29" i="5"/>
  <c r="B29" i="5" s="1"/>
  <c r="F28" i="5"/>
  <c r="B28" i="5" s="1"/>
  <c r="F27" i="5"/>
  <c r="B27" i="5" s="1"/>
  <c r="F26" i="5"/>
  <c r="B26" i="5" s="1"/>
  <c r="F25" i="5"/>
  <c r="B25" i="5" s="1"/>
  <c r="F24" i="5"/>
  <c r="B24" i="5" s="1"/>
  <c r="F23" i="5"/>
  <c r="B23" i="5" s="1"/>
  <c r="F22" i="5"/>
  <c r="B22" i="5" s="1"/>
  <c r="F21" i="5"/>
  <c r="B21" i="5" s="1"/>
  <c r="F20" i="5"/>
  <c r="B20" i="5" s="1"/>
  <c r="F19" i="5"/>
  <c r="B19" i="5"/>
  <c r="F18" i="5"/>
  <c r="B18" i="5" s="1"/>
  <c r="F17" i="5"/>
  <c r="B17" i="5" s="1"/>
  <c r="F16" i="5"/>
  <c r="B16" i="5" s="1"/>
  <c r="F15" i="5"/>
  <c r="B15" i="5" s="1"/>
  <c r="F14" i="5"/>
  <c r="B14" i="5" s="1"/>
  <c r="F13" i="5"/>
  <c r="B13" i="5" s="1"/>
  <c r="F12" i="5"/>
  <c r="C12" i="5"/>
  <c r="F11" i="5"/>
  <c r="B11" i="5" s="1"/>
  <c r="F10" i="5"/>
  <c r="B10" i="5" s="1"/>
  <c r="F9" i="5"/>
  <c r="B9" i="5" s="1"/>
  <c r="F8" i="5"/>
  <c r="B8" i="5" s="1"/>
  <c r="F7" i="5"/>
  <c r="B7" i="5" s="1"/>
  <c r="F6" i="5"/>
  <c r="B6" i="5" s="1"/>
  <c r="F5" i="5"/>
  <c r="B5" i="5" s="1"/>
  <c r="F4" i="5"/>
  <c r="B4" i="5" s="1"/>
  <c r="F3" i="5"/>
  <c r="B3" i="5" s="1"/>
  <c r="F2" i="5"/>
  <c r="B2" i="5" s="1"/>
  <c r="L153" i="4"/>
  <c r="M152" i="4"/>
  <c r="M151" i="4"/>
  <c r="M150" i="4"/>
  <c r="M149" i="4"/>
  <c r="M148" i="4"/>
  <c r="M147" i="4"/>
  <c r="M146" i="4"/>
  <c r="M145" i="4"/>
  <c r="M144" i="4"/>
  <c r="M143" i="4"/>
  <c r="M142" i="4"/>
  <c r="M141" i="4"/>
  <c r="M140" i="4"/>
  <c r="M139" i="4"/>
  <c r="M138" i="4"/>
  <c r="M137" i="4"/>
  <c r="M136" i="4"/>
  <c r="M135" i="4"/>
  <c r="M134" i="4"/>
  <c r="M133" i="4"/>
  <c r="M132" i="4"/>
  <c r="M131" i="4"/>
  <c r="M130" i="4"/>
  <c r="M129" i="4"/>
  <c r="M128" i="4"/>
  <c r="M127" i="4"/>
  <c r="M126" i="4"/>
  <c r="M125" i="4"/>
  <c r="M124" i="4"/>
  <c r="M123" i="4"/>
  <c r="M122" i="4"/>
  <c r="M121" i="4"/>
  <c r="M120" i="4"/>
  <c r="M119" i="4"/>
  <c r="M118" i="4"/>
  <c r="M117" i="4"/>
  <c r="M116" i="4"/>
  <c r="M115" i="4"/>
  <c r="M114" i="4"/>
  <c r="M113" i="4"/>
  <c r="M112" i="4"/>
  <c r="M111" i="4"/>
  <c r="M110" i="4"/>
  <c r="M109" i="4"/>
  <c r="M108" i="4"/>
  <c r="M107" i="4"/>
  <c r="M106" i="4"/>
  <c r="M105" i="4"/>
  <c r="M104" i="4"/>
  <c r="M103" i="4"/>
  <c r="M102" i="4"/>
  <c r="M101" i="4"/>
  <c r="M100" i="4"/>
  <c r="M99" i="4"/>
  <c r="M98" i="4"/>
  <c r="M97" i="4"/>
  <c r="M96" i="4"/>
  <c r="N73" i="4"/>
  <c r="H60" i="4"/>
  <c r="G60" i="4"/>
  <c r="F60" i="4"/>
  <c r="E60" i="4"/>
  <c r="B60" i="4"/>
  <c r="A60" i="4"/>
  <c r="H59" i="4"/>
  <c r="G59" i="4"/>
  <c r="F59" i="4"/>
  <c r="E59" i="4"/>
  <c r="D59" i="4"/>
  <c r="B59" i="4"/>
  <c r="A59" i="4"/>
  <c r="H58" i="4"/>
  <c r="G58" i="4"/>
  <c r="F58" i="4"/>
  <c r="E58" i="4"/>
  <c r="D58" i="4"/>
  <c r="C58" i="4"/>
  <c r="B58" i="4"/>
  <c r="A58" i="4"/>
  <c r="H57" i="4"/>
  <c r="G57" i="4"/>
  <c r="F57" i="4"/>
  <c r="E57" i="4"/>
  <c r="C57" i="4"/>
  <c r="B57" i="4"/>
  <c r="A57" i="4"/>
  <c r="H56" i="4"/>
  <c r="G56" i="4"/>
  <c r="F56" i="4"/>
  <c r="E56" i="4"/>
  <c r="D56" i="4"/>
  <c r="B56" i="4"/>
  <c r="A56" i="4"/>
  <c r="H55" i="4"/>
  <c r="G55" i="4"/>
  <c r="F55" i="4"/>
  <c r="D55" i="4"/>
  <c r="C55" i="4"/>
  <c r="B55" i="4"/>
  <c r="A55" i="4"/>
  <c r="H54" i="4"/>
  <c r="G54" i="4"/>
  <c r="F54" i="4"/>
  <c r="E54" i="4"/>
  <c r="D54" i="4"/>
  <c r="C54" i="4"/>
  <c r="B54" i="4"/>
  <c r="A54" i="4"/>
  <c r="H53" i="4"/>
  <c r="G53" i="4"/>
  <c r="F53" i="4"/>
  <c r="E53" i="4"/>
  <c r="B53" i="4"/>
  <c r="A53" i="4"/>
  <c r="H52" i="4"/>
  <c r="G52" i="4"/>
  <c r="F52" i="4"/>
  <c r="E52" i="4"/>
  <c r="D52" i="4"/>
  <c r="C52" i="4"/>
  <c r="B52" i="4"/>
  <c r="A52" i="4"/>
  <c r="H51" i="4"/>
  <c r="G51" i="4"/>
  <c r="F51" i="4"/>
  <c r="E51" i="4"/>
  <c r="B51" i="4"/>
  <c r="A51" i="4"/>
  <c r="H50" i="4"/>
  <c r="G50" i="4"/>
  <c r="F50" i="4"/>
  <c r="E50" i="4"/>
  <c r="D50" i="4"/>
  <c r="B50" i="4"/>
  <c r="A50" i="4"/>
  <c r="H49" i="4"/>
  <c r="G49" i="4"/>
  <c r="F49" i="4"/>
  <c r="E49" i="4"/>
  <c r="C49" i="4"/>
  <c r="B49" i="4"/>
  <c r="A49" i="4"/>
  <c r="H48" i="4"/>
  <c r="G48" i="4"/>
  <c r="F48" i="4"/>
  <c r="E48" i="4"/>
  <c r="B48" i="4"/>
  <c r="A48" i="4"/>
  <c r="H47" i="4"/>
  <c r="G47" i="4"/>
  <c r="F47" i="4"/>
  <c r="E47" i="4"/>
  <c r="D47" i="4"/>
  <c r="B47" i="4"/>
  <c r="A47" i="4"/>
  <c r="H46" i="4"/>
  <c r="G46" i="4"/>
  <c r="F46" i="4"/>
  <c r="D46" i="4"/>
  <c r="C46" i="4"/>
  <c r="B46" i="4"/>
  <c r="A46" i="4"/>
  <c r="H45" i="4"/>
  <c r="G45" i="4"/>
  <c r="F45" i="4"/>
  <c r="C45" i="4"/>
  <c r="B45" i="4"/>
  <c r="A45" i="4"/>
  <c r="H44" i="4"/>
  <c r="G44" i="4"/>
  <c r="F44" i="4"/>
  <c r="E44" i="4"/>
  <c r="B44" i="4"/>
  <c r="A44" i="4"/>
  <c r="H43" i="4"/>
  <c r="G43" i="4"/>
  <c r="F43" i="4"/>
  <c r="E43" i="4"/>
  <c r="D43" i="4"/>
  <c r="B43" i="4"/>
  <c r="A43" i="4"/>
  <c r="H42" i="4"/>
  <c r="G42" i="4"/>
  <c r="F42" i="4"/>
  <c r="D42" i="4"/>
  <c r="C42" i="4"/>
  <c r="B42" i="4"/>
  <c r="A42" i="4"/>
  <c r="H41" i="4"/>
  <c r="G41" i="4"/>
  <c r="F41" i="4"/>
  <c r="C41" i="4"/>
  <c r="B41" i="4"/>
  <c r="A41" i="4"/>
  <c r="H40" i="4"/>
  <c r="G40" i="4"/>
  <c r="F40" i="4"/>
  <c r="E40" i="4"/>
  <c r="B40" i="4"/>
  <c r="A40" i="4"/>
  <c r="H39" i="4"/>
  <c r="G39" i="4"/>
  <c r="F39" i="4"/>
  <c r="E39" i="4"/>
  <c r="D39" i="4"/>
  <c r="B39" i="4"/>
  <c r="A39" i="4"/>
  <c r="H38" i="4"/>
  <c r="G38" i="4"/>
  <c r="F38" i="4"/>
  <c r="D38" i="4"/>
  <c r="C38" i="4"/>
  <c r="B38" i="4"/>
  <c r="A38" i="4"/>
  <c r="H37" i="4"/>
  <c r="G37" i="4"/>
  <c r="F37" i="4"/>
  <c r="C37" i="4"/>
  <c r="B37" i="4"/>
  <c r="A37" i="4"/>
  <c r="H36" i="4"/>
  <c r="G36" i="4"/>
  <c r="F36" i="4"/>
  <c r="E36" i="4"/>
  <c r="D36" i="4"/>
  <c r="B36" i="4"/>
  <c r="A36" i="4"/>
  <c r="H35" i="4"/>
  <c r="G35" i="4"/>
  <c r="F35" i="4"/>
  <c r="D35" i="4"/>
  <c r="C35" i="4"/>
  <c r="B35" i="4"/>
  <c r="A35" i="4"/>
  <c r="H34" i="4"/>
  <c r="G34" i="4"/>
  <c r="F34" i="4"/>
  <c r="E34" i="4"/>
  <c r="C34" i="4"/>
  <c r="B34" i="4"/>
  <c r="A34" i="4"/>
  <c r="H33" i="4"/>
  <c r="G33" i="4"/>
  <c r="F33" i="4"/>
  <c r="E33" i="4"/>
  <c r="D33" i="4"/>
  <c r="B33" i="4"/>
  <c r="A33" i="4"/>
  <c r="H32" i="4"/>
  <c r="G32" i="4"/>
  <c r="F32" i="4"/>
  <c r="E32" i="4"/>
  <c r="C32" i="4"/>
  <c r="B32" i="4"/>
  <c r="A32" i="4"/>
  <c r="H31" i="4"/>
  <c r="G31" i="4"/>
  <c r="F31" i="4"/>
  <c r="E31" i="4"/>
  <c r="B31" i="4"/>
  <c r="A31" i="4"/>
  <c r="H30" i="4"/>
  <c r="G30" i="4"/>
  <c r="F30" i="4"/>
  <c r="E30" i="4"/>
  <c r="D30" i="4"/>
  <c r="B30" i="4"/>
  <c r="A30" i="4"/>
  <c r="H29" i="4"/>
  <c r="G29" i="4"/>
  <c r="F29" i="4"/>
  <c r="D29" i="4"/>
  <c r="C29" i="4"/>
  <c r="B29" i="4"/>
  <c r="A29" i="4"/>
  <c r="H28" i="4"/>
  <c r="G28" i="4"/>
  <c r="F28" i="4"/>
  <c r="C28" i="4"/>
  <c r="B28" i="4"/>
  <c r="A28" i="4"/>
  <c r="H27" i="4"/>
  <c r="G27" i="4"/>
  <c r="F27" i="4"/>
  <c r="E27" i="4"/>
  <c r="B27" i="4"/>
  <c r="A27" i="4"/>
  <c r="H26" i="4"/>
  <c r="G26" i="4"/>
  <c r="F26" i="4"/>
  <c r="E26" i="4"/>
  <c r="D26" i="4"/>
  <c r="B26" i="4"/>
  <c r="A26" i="4"/>
  <c r="H25" i="4"/>
  <c r="G25" i="4"/>
  <c r="F25" i="4"/>
  <c r="D25" i="4"/>
  <c r="C25" i="4"/>
  <c r="B25" i="4"/>
  <c r="A25" i="4"/>
  <c r="H24" i="4"/>
  <c r="G24" i="4"/>
  <c r="F24" i="4"/>
  <c r="E24" i="4"/>
  <c r="D24" i="4"/>
  <c r="C24" i="4"/>
  <c r="B24" i="4"/>
  <c r="A24" i="4"/>
  <c r="H23" i="4"/>
  <c r="G23" i="4"/>
  <c r="D23" i="4"/>
  <c r="C23" i="4"/>
  <c r="B23" i="4"/>
  <c r="A23" i="4"/>
  <c r="H22" i="4"/>
  <c r="G22" i="4"/>
  <c r="F22" i="4"/>
  <c r="C22" i="4"/>
  <c r="B22" i="4"/>
  <c r="A22" i="4"/>
  <c r="H21" i="4"/>
  <c r="G21" i="4"/>
  <c r="F21" i="4"/>
  <c r="C21" i="4"/>
  <c r="B21" i="4"/>
  <c r="A21" i="4"/>
  <c r="H20" i="4"/>
  <c r="G20" i="4"/>
  <c r="F20" i="4"/>
  <c r="C20" i="4"/>
  <c r="B20" i="4"/>
  <c r="A20" i="4"/>
  <c r="H19" i="4"/>
  <c r="G19" i="4"/>
  <c r="F19" i="4"/>
  <c r="C19" i="4"/>
  <c r="B19" i="4"/>
  <c r="A19" i="4"/>
  <c r="H18" i="4"/>
  <c r="G18" i="4"/>
  <c r="F18" i="4"/>
  <c r="E18" i="4"/>
  <c r="B18" i="4"/>
  <c r="A18" i="4"/>
  <c r="H17" i="4"/>
  <c r="G17" i="4"/>
  <c r="F17" i="4"/>
  <c r="E17" i="4"/>
  <c r="D17" i="4"/>
  <c r="C17" i="4"/>
  <c r="B17" i="4"/>
  <c r="A17" i="4"/>
  <c r="H16" i="4"/>
  <c r="G16" i="4"/>
  <c r="F16" i="4"/>
  <c r="E16" i="4"/>
  <c r="D16" i="4"/>
  <c r="C16" i="4"/>
  <c r="B16" i="4"/>
  <c r="A16" i="4"/>
  <c r="H15" i="4"/>
  <c r="G15" i="4"/>
  <c r="F15" i="4"/>
  <c r="E15" i="4"/>
  <c r="D15" i="4"/>
  <c r="B15" i="4"/>
  <c r="A15" i="4"/>
  <c r="H14" i="4"/>
  <c r="G14" i="4"/>
  <c r="F14" i="4"/>
  <c r="E14" i="4"/>
  <c r="D14" i="4"/>
  <c r="C14" i="4"/>
  <c r="B14" i="4"/>
  <c r="A14" i="4"/>
  <c r="H13" i="4"/>
  <c r="G13" i="4"/>
  <c r="F13" i="4"/>
  <c r="E13" i="4"/>
  <c r="C13" i="4"/>
  <c r="B13" i="4"/>
  <c r="A13" i="4"/>
  <c r="H12" i="4"/>
  <c r="G12" i="4"/>
  <c r="F12" i="4"/>
  <c r="E12" i="4"/>
  <c r="D12" i="4"/>
  <c r="B12" i="4"/>
  <c r="A12" i="4"/>
  <c r="H11" i="4"/>
  <c r="G11" i="4"/>
  <c r="F11" i="4"/>
  <c r="E11" i="4"/>
  <c r="D11" i="4"/>
  <c r="C11" i="4"/>
  <c r="B11" i="4"/>
  <c r="A11" i="4"/>
  <c r="H10" i="4"/>
  <c r="G10" i="4"/>
  <c r="E10" i="4"/>
  <c r="D10" i="4"/>
  <c r="B10" i="4"/>
  <c r="A10" i="4"/>
  <c r="H9" i="4"/>
  <c r="G9" i="4"/>
  <c r="E9" i="4"/>
  <c r="D9" i="4"/>
  <c r="B9" i="4"/>
  <c r="A9" i="4"/>
  <c r="H8" i="4"/>
  <c r="G8" i="4"/>
  <c r="F8" i="4"/>
  <c r="D8" i="4"/>
  <c r="C8" i="4"/>
  <c r="B8" i="4"/>
  <c r="A8" i="4"/>
  <c r="H7" i="4"/>
  <c r="G7" i="4"/>
  <c r="F7" i="4"/>
  <c r="C7" i="4"/>
  <c r="B7" i="4"/>
  <c r="A7" i="4"/>
  <c r="H6" i="4"/>
  <c r="G6" i="4"/>
  <c r="F6" i="4"/>
  <c r="E6" i="4"/>
  <c r="B6" i="4"/>
  <c r="A6" i="4"/>
  <c r="H5" i="4"/>
  <c r="G5" i="4"/>
  <c r="F5" i="4"/>
  <c r="E5" i="4"/>
  <c r="B5" i="4"/>
  <c r="A5" i="4"/>
  <c r="H4" i="4"/>
  <c r="G4" i="4"/>
  <c r="F4" i="4"/>
  <c r="E4" i="4"/>
  <c r="B4" i="4"/>
  <c r="A4" i="4"/>
  <c r="H3" i="4"/>
  <c r="G3" i="4"/>
  <c r="F3" i="4"/>
  <c r="E3" i="4"/>
  <c r="D3" i="4"/>
  <c r="C3" i="4"/>
  <c r="B3" i="4"/>
  <c r="A3" i="4"/>
  <c r="ES72" i="2"/>
  <c r="ES71" i="2"/>
  <c r="ES70" i="2"/>
  <c r="ES69" i="2"/>
  <c r="ES68" i="2"/>
  <c r="ES67" i="2"/>
  <c r="ES66" i="2"/>
  <c r="ES65" i="2"/>
  <c r="ES64" i="2"/>
  <c r="BV64" i="2"/>
  <c r="BU64" i="2"/>
  <c r="BT64" i="2"/>
  <c r="BS64" i="2"/>
  <c r="BR64" i="2"/>
  <c r="BQ64" i="2"/>
  <c r="BP64" i="2"/>
  <c r="BO64" i="2"/>
  <c r="BN64" i="2"/>
  <c r="BM64" i="2"/>
  <c r="BL64" i="2"/>
  <c r="BJ64" i="2"/>
  <c r="BI64" i="2"/>
  <c r="BH64" i="2"/>
  <c r="BG64" i="2"/>
  <c r="BF64" i="2"/>
  <c r="BE64" i="2"/>
  <c r="BD64" i="2"/>
  <c r="BC64" i="2"/>
  <c r="BB64" i="2"/>
  <c r="BA64" i="2"/>
  <c r="AY64" i="2"/>
  <c r="AX64" i="2"/>
  <c r="AW64" i="2"/>
  <c r="AU64" i="2"/>
  <c r="AT64" i="2"/>
  <c r="AS64" i="2"/>
  <c r="AR64" i="2"/>
  <c r="AQ64" i="2"/>
  <c r="AP64" i="2"/>
  <c r="AO64" i="2"/>
  <c r="AN64" i="2"/>
  <c r="AM64" i="2"/>
  <c r="AL64" i="2"/>
  <c r="AK64" i="2"/>
  <c r="AJ64" i="2"/>
  <c r="AI64" i="2"/>
  <c r="AH64" i="2"/>
  <c r="AG64" i="2"/>
  <c r="AF64" i="2"/>
  <c r="AE64" i="2"/>
  <c r="AD64" i="2"/>
  <c r="AC64" i="2"/>
  <c r="AB64" i="2"/>
  <c r="AA64" i="2"/>
  <c r="Z64" i="2"/>
  <c r="Y64" i="2"/>
  <c r="X64" i="2"/>
  <c r="W64" i="2"/>
  <c r="V64" i="2"/>
  <c r="U64" i="2"/>
  <c r="T64" i="2"/>
  <c r="S64" i="2"/>
  <c r="R64" i="2"/>
  <c r="Q64" i="2"/>
  <c r="P64" i="2"/>
  <c r="O64" i="2"/>
  <c r="N64" i="2"/>
  <c r="M64" i="2"/>
  <c r="L64" i="2"/>
  <c r="K64" i="2"/>
  <c r="J64" i="2"/>
  <c r="I64" i="2"/>
  <c r="H64" i="2"/>
  <c r="G64" i="2"/>
  <c r="F64" i="2"/>
  <c r="E64" i="2"/>
  <c r="D64" i="2"/>
  <c r="ES63" i="2"/>
  <c r="BV63" i="2"/>
  <c r="BU63" i="2"/>
  <c r="BT63" i="2"/>
  <c r="BS63" i="2"/>
  <c r="BR63" i="2"/>
  <c r="BQ63" i="2"/>
  <c r="BP63" i="2"/>
  <c r="BO63" i="2"/>
  <c r="BN63" i="2"/>
  <c r="BM63" i="2"/>
  <c r="BL63" i="2"/>
  <c r="BK63" i="2"/>
  <c r="BJ63" i="2"/>
  <c r="BI63" i="2"/>
  <c r="BH63" i="2"/>
  <c r="BG63" i="2"/>
  <c r="BF63" i="2"/>
  <c r="BE63" i="2"/>
  <c r="BD63" i="2"/>
  <c r="BC63" i="2"/>
  <c r="BB63" i="2"/>
  <c r="BA63" i="2"/>
  <c r="AZ63" i="2"/>
  <c r="AY63" i="2"/>
  <c r="AX63" i="2"/>
  <c r="AW63" i="2"/>
  <c r="AV63" i="2"/>
  <c r="AU63" i="2"/>
  <c r="AT63" i="2"/>
  <c r="AS63" i="2"/>
  <c r="AR63" i="2"/>
  <c r="AQ63" i="2"/>
  <c r="AP63" i="2"/>
  <c r="AO63" i="2"/>
  <c r="AN63" i="2"/>
  <c r="AM63" i="2"/>
  <c r="AL63" i="2"/>
  <c r="AK63" i="2"/>
  <c r="AJ63" i="2"/>
  <c r="AI63" i="2"/>
  <c r="AH63" i="2"/>
  <c r="AG63" i="2"/>
  <c r="AF63" i="2"/>
  <c r="AE63" i="2"/>
  <c r="AD63" i="2"/>
  <c r="AC63" i="2"/>
  <c r="AB63" i="2"/>
  <c r="AA63" i="2"/>
  <c r="Z63" i="2"/>
  <c r="Y63" i="2"/>
  <c r="X63" i="2"/>
  <c r="W63" i="2"/>
  <c r="V63" i="2"/>
  <c r="U63" i="2"/>
  <c r="T63" i="2"/>
  <c r="S63" i="2"/>
  <c r="R63" i="2"/>
  <c r="Q63" i="2"/>
  <c r="P63" i="2"/>
  <c r="O63" i="2"/>
  <c r="N63" i="2"/>
  <c r="M63" i="2"/>
  <c r="L63" i="2"/>
  <c r="K63" i="2"/>
  <c r="J63" i="2"/>
  <c r="I63" i="2"/>
  <c r="H63" i="2"/>
  <c r="G63" i="2"/>
  <c r="F63" i="2"/>
  <c r="E63" i="2"/>
  <c r="D63" i="2"/>
  <c r="B63" i="2"/>
  <c r="C63" i="2" s="1"/>
  <c r="ES62" i="2"/>
  <c r="EL62" i="2"/>
  <c r="EH62" i="2"/>
  <c r="EF62" i="2"/>
  <c r="EB62" i="2"/>
  <c r="EA62" i="2"/>
  <c r="DP62" i="2"/>
  <c r="DL62" i="2"/>
  <c r="DF62" i="2"/>
  <c r="DB62" i="2"/>
  <c r="CZ62" i="2"/>
  <c r="CV62" i="2"/>
  <c r="CU62" i="2"/>
  <c r="CJ62" i="2"/>
  <c r="CF62" i="2"/>
  <c r="CB62" i="2"/>
  <c r="CA62" i="2"/>
  <c r="BX62" i="2"/>
  <c r="BV62" i="2"/>
  <c r="EP62" i="2" s="1"/>
  <c r="BU62" i="2"/>
  <c r="EO62" i="2" s="1"/>
  <c r="BT62" i="2"/>
  <c r="EN62" i="2" s="1"/>
  <c r="BS62" i="2"/>
  <c r="EM62" i="2" s="1"/>
  <c r="BR62" i="2"/>
  <c r="BQ62" i="2"/>
  <c r="EK62" i="2" s="1"/>
  <c r="BP62" i="2"/>
  <c r="EJ62" i="2" s="1"/>
  <c r="BO62" i="2"/>
  <c r="EI62" i="2" s="1"/>
  <c r="BN62" i="2"/>
  <c r="BM62" i="2"/>
  <c r="EG62" i="2" s="1"/>
  <c r="BL62" i="2"/>
  <c r="BK62" i="2"/>
  <c r="EE62" i="2" s="1"/>
  <c r="BJ62" i="2"/>
  <c r="ED62" i="2" s="1"/>
  <c r="BI62" i="2"/>
  <c r="EC62" i="2" s="1"/>
  <c r="BH62" i="2"/>
  <c r="BG62" i="2"/>
  <c r="BF62" i="2"/>
  <c r="DZ62" i="2" s="1"/>
  <c r="BE62" i="2"/>
  <c r="DY62" i="2" s="1"/>
  <c r="BD62" i="2"/>
  <c r="DX62" i="2" s="1"/>
  <c r="BC62" i="2"/>
  <c r="DW62" i="2" s="1"/>
  <c r="BB62" i="2"/>
  <c r="DV62" i="2" s="1"/>
  <c r="BA62" i="2"/>
  <c r="DU62" i="2" s="1"/>
  <c r="AZ62" i="2"/>
  <c r="DT62" i="2" s="1"/>
  <c r="AY62" i="2"/>
  <c r="DS62" i="2" s="1"/>
  <c r="AX62" i="2"/>
  <c r="DR62" i="2" s="1"/>
  <c r="AW62" i="2"/>
  <c r="DQ62" i="2" s="1"/>
  <c r="AV62" i="2"/>
  <c r="AU62" i="2"/>
  <c r="DO62" i="2" s="1"/>
  <c r="AT62" i="2"/>
  <c r="DN62" i="2" s="1"/>
  <c r="AS62" i="2"/>
  <c r="DM62" i="2" s="1"/>
  <c r="AR62" i="2"/>
  <c r="AQ62" i="2"/>
  <c r="DK62" i="2" s="1"/>
  <c r="AP62" i="2"/>
  <c r="DJ62" i="2" s="1"/>
  <c r="AO62" i="2"/>
  <c r="DI62" i="2" s="1"/>
  <c r="AN62" i="2"/>
  <c r="DH62" i="2" s="1"/>
  <c r="AM62" i="2"/>
  <c r="DG62" i="2" s="1"/>
  <c r="AL62" i="2"/>
  <c r="AK62" i="2"/>
  <c r="DE62" i="2" s="1"/>
  <c r="AJ62" i="2"/>
  <c r="DD62" i="2" s="1"/>
  <c r="AI62" i="2"/>
  <c r="DC62" i="2" s="1"/>
  <c r="AH62" i="2"/>
  <c r="AG62" i="2"/>
  <c r="DA62" i="2" s="1"/>
  <c r="AF62" i="2"/>
  <c r="AE62" i="2"/>
  <c r="CY62" i="2" s="1"/>
  <c r="AD62" i="2"/>
  <c r="CX62" i="2" s="1"/>
  <c r="AC62" i="2"/>
  <c r="CW62" i="2" s="1"/>
  <c r="AB62" i="2"/>
  <c r="AA62" i="2"/>
  <c r="Z62" i="2"/>
  <c r="CT62" i="2" s="1"/>
  <c r="Y62" i="2"/>
  <c r="CS62" i="2" s="1"/>
  <c r="X62" i="2"/>
  <c r="CR62" i="2" s="1"/>
  <c r="W62" i="2"/>
  <c r="CQ62" i="2" s="1"/>
  <c r="V62" i="2"/>
  <c r="CP62" i="2" s="1"/>
  <c r="U62" i="2"/>
  <c r="CO62" i="2" s="1"/>
  <c r="T62" i="2"/>
  <c r="CN62" i="2" s="1"/>
  <c r="S62" i="2"/>
  <c r="CM62" i="2" s="1"/>
  <c r="R62" i="2"/>
  <c r="CL62" i="2" s="1"/>
  <c r="Q62" i="2"/>
  <c r="CK62" i="2" s="1"/>
  <c r="P62" i="2"/>
  <c r="O62" i="2"/>
  <c r="CI62" i="2" s="1"/>
  <c r="N62" i="2"/>
  <c r="CH62" i="2" s="1"/>
  <c r="M62" i="2"/>
  <c r="CG62" i="2" s="1"/>
  <c r="L62" i="2"/>
  <c r="K62" i="2"/>
  <c r="CE62" i="2" s="1"/>
  <c r="J62" i="2"/>
  <c r="CD62" i="2" s="1"/>
  <c r="I62" i="2"/>
  <c r="CC62" i="2" s="1"/>
  <c r="H62" i="2"/>
  <c r="G62" i="2"/>
  <c r="F62" i="2"/>
  <c r="BZ62" i="2" s="1"/>
  <c r="E62" i="2"/>
  <c r="BY62" i="2" s="1"/>
  <c r="D62" i="2"/>
  <c r="B62" i="2"/>
  <c r="ES61" i="2"/>
  <c r="BV61" i="2"/>
  <c r="BU61" i="2"/>
  <c r="BT61" i="2"/>
  <c r="BS61" i="2"/>
  <c r="BR61" i="2"/>
  <c r="BQ61" i="2"/>
  <c r="BP61" i="2"/>
  <c r="BO61" i="2"/>
  <c r="BN61" i="2"/>
  <c r="BM61" i="2"/>
  <c r="BL61" i="2"/>
  <c r="BK61" i="2"/>
  <c r="BJ61" i="2"/>
  <c r="BI61" i="2"/>
  <c r="BH61" i="2"/>
  <c r="BG61" i="2"/>
  <c r="BF61" i="2"/>
  <c r="BE61" i="2"/>
  <c r="BD61" i="2"/>
  <c r="BC61" i="2"/>
  <c r="BB61" i="2"/>
  <c r="BA61" i="2"/>
  <c r="AZ61" i="2"/>
  <c r="AY61" i="2"/>
  <c r="AX61" i="2"/>
  <c r="AW61" i="2"/>
  <c r="AV61" i="2"/>
  <c r="AU61" i="2"/>
  <c r="AT61" i="2"/>
  <c r="AS61" i="2"/>
  <c r="AR61" i="2"/>
  <c r="AQ61" i="2"/>
  <c r="AP61" i="2"/>
  <c r="AO61" i="2"/>
  <c r="AN61" i="2"/>
  <c r="AM61" i="2"/>
  <c r="AL61" i="2"/>
  <c r="AK61" i="2"/>
  <c r="AJ61" i="2"/>
  <c r="AI61" i="2"/>
  <c r="AH61" i="2"/>
  <c r="AG61" i="2"/>
  <c r="AF61" i="2"/>
  <c r="AE61" i="2"/>
  <c r="AD61" i="2"/>
  <c r="AC61" i="2"/>
  <c r="AB61" i="2"/>
  <c r="AA61" i="2"/>
  <c r="Z61" i="2"/>
  <c r="Y61" i="2"/>
  <c r="X61" i="2"/>
  <c r="W61" i="2"/>
  <c r="V61" i="2"/>
  <c r="U61" i="2"/>
  <c r="T61" i="2"/>
  <c r="S61" i="2"/>
  <c r="R61" i="2"/>
  <c r="Q61" i="2"/>
  <c r="P61" i="2"/>
  <c r="O61" i="2"/>
  <c r="N61" i="2"/>
  <c r="M61" i="2"/>
  <c r="L61" i="2"/>
  <c r="K61" i="2"/>
  <c r="J61" i="2"/>
  <c r="I61" i="2"/>
  <c r="H61" i="2"/>
  <c r="G61" i="2"/>
  <c r="F61" i="2"/>
  <c r="E61" i="2"/>
  <c r="D61" i="2"/>
  <c r="B61" i="2"/>
  <c r="C61" i="2" s="1"/>
  <c r="ES60" i="2"/>
  <c r="BV60" i="2"/>
  <c r="BU60" i="2"/>
  <c r="BT60" i="2"/>
  <c r="BS60" i="2"/>
  <c r="BR60" i="2"/>
  <c r="BQ60" i="2"/>
  <c r="BP60" i="2"/>
  <c r="BO60" i="2"/>
  <c r="BN60" i="2"/>
  <c r="BM60" i="2"/>
  <c r="BL60" i="2"/>
  <c r="BK60" i="2"/>
  <c r="BJ60" i="2"/>
  <c r="BI60" i="2"/>
  <c r="BH60" i="2"/>
  <c r="BG60" i="2"/>
  <c r="BF60" i="2"/>
  <c r="BE60" i="2"/>
  <c r="BD60" i="2"/>
  <c r="BC60" i="2"/>
  <c r="BB60" i="2"/>
  <c r="BA60" i="2"/>
  <c r="AZ60" i="2"/>
  <c r="AY60" i="2"/>
  <c r="AX60" i="2"/>
  <c r="AW60" i="2"/>
  <c r="AV60" i="2"/>
  <c r="AU60" i="2"/>
  <c r="AT60" i="2"/>
  <c r="AS60" i="2"/>
  <c r="AR60" i="2"/>
  <c r="AQ60" i="2"/>
  <c r="AP60" i="2"/>
  <c r="AO60" i="2"/>
  <c r="AN60" i="2"/>
  <c r="AM60" i="2"/>
  <c r="AL60" i="2"/>
  <c r="AK60" i="2"/>
  <c r="AJ60" i="2"/>
  <c r="AI60" i="2"/>
  <c r="AH60" i="2"/>
  <c r="AG60" i="2"/>
  <c r="AF60" i="2"/>
  <c r="AE60" i="2"/>
  <c r="AD60" i="2"/>
  <c r="AC60" i="2"/>
  <c r="AB60" i="2"/>
  <c r="AA60" i="2"/>
  <c r="Z60" i="2"/>
  <c r="Y60" i="2"/>
  <c r="X60" i="2"/>
  <c r="W60" i="2"/>
  <c r="V60" i="2"/>
  <c r="U60" i="2"/>
  <c r="T60" i="2"/>
  <c r="S60" i="2"/>
  <c r="R60" i="2"/>
  <c r="Q60" i="2"/>
  <c r="P60" i="2"/>
  <c r="O60" i="2"/>
  <c r="N60" i="2"/>
  <c r="M60" i="2"/>
  <c r="L60" i="2"/>
  <c r="K60" i="2"/>
  <c r="J60" i="2"/>
  <c r="I60" i="2"/>
  <c r="H60" i="2"/>
  <c r="G60" i="2"/>
  <c r="F60" i="2"/>
  <c r="E60" i="2"/>
  <c r="D60" i="2"/>
  <c r="B60" i="2"/>
  <c r="C60" i="2" s="1"/>
  <c r="DW60" i="2" s="1"/>
  <c r="ES59" i="2"/>
  <c r="BV59" i="2"/>
  <c r="BU59" i="2"/>
  <c r="BT59" i="2"/>
  <c r="BS59" i="2"/>
  <c r="BR59" i="2"/>
  <c r="BQ59" i="2"/>
  <c r="BP59" i="2"/>
  <c r="BO59" i="2"/>
  <c r="BN59" i="2"/>
  <c r="BM59" i="2"/>
  <c r="BL59" i="2"/>
  <c r="BK59" i="2"/>
  <c r="BJ59" i="2"/>
  <c r="BI59" i="2"/>
  <c r="BH59" i="2"/>
  <c r="BG59" i="2"/>
  <c r="BF59" i="2"/>
  <c r="BE59" i="2"/>
  <c r="BD59" i="2"/>
  <c r="BC59" i="2"/>
  <c r="BB59" i="2"/>
  <c r="BA59" i="2"/>
  <c r="AZ59" i="2"/>
  <c r="AY59" i="2"/>
  <c r="AX59" i="2"/>
  <c r="AW59" i="2"/>
  <c r="AV59" i="2"/>
  <c r="AU59" i="2"/>
  <c r="AT59" i="2"/>
  <c r="AS59" i="2"/>
  <c r="AR59" i="2"/>
  <c r="AQ59" i="2"/>
  <c r="AP59" i="2"/>
  <c r="AO59" i="2"/>
  <c r="AN59" i="2"/>
  <c r="AM59" i="2"/>
  <c r="AL59" i="2"/>
  <c r="AK59" i="2"/>
  <c r="AJ59" i="2"/>
  <c r="AI59" i="2"/>
  <c r="AH59" i="2"/>
  <c r="AG59" i="2"/>
  <c r="AF59" i="2"/>
  <c r="AE59" i="2"/>
  <c r="AD59" i="2"/>
  <c r="AC59" i="2"/>
  <c r="AB59" i="2"/>
  <c r="AA59" i="2"/>
  <c r="Z59" i="2"/>
  <c r="Y59" i="2"/>
  <c r="X59" i="2"/>
  <c r="W59" i="2"/>
  <c r="V59" i="2"/>
  <c r="U59" i="2"/>
  <c r="T59" i="2"/>
  <c r="S59" i="2"/>
  <c r="R59" i="2"/>
  <c r="Q59" i="2"/>
  <c r="P59" i="2"/>
  <c r="O59" i="2"/>
  <c r="N59" i="2"/>
  <c r="M59" i="2"/>
  <c r="L59" i="2"/>
  <c r="K59" i="2"/>
  <c r="J59" i="2"/>
  <c r="I59" i="2"/>
  <c r="H59" i="2"/>
  <c r="G59" i="2"/>
  <c r="F59" i="2"/>
  <c r="E59" i="2"/>
  <c r="D59" i="2"/>
  <c r="B59" i="2"/>
  <c r="C59" i="2" s="1"/>
  <c r="ES58" i="2"/>
  <c r="EO58" i="2"/>
  <c r="EN58" i="2"/>
  <c r="EK58" i="2"/>
  <c r="EJ58" i="2"/>
  <c r="EG58" i="2"/>
  <c r="EF58" i="2"/>
  <c r="EC58" i="2"/>
  <c r="EB58" i="2"/>
  <c r="DY58" i="2"/>
  <c r="DX58" i="2"/>
  <c r="DU58" i="2"/>
  <c r="DT58" i="2"/>
  <c r="DQ58" i="2"/>
  <c r="DP58" i="2"/>
  <c r="DM58" i="2"/>
  <c r="DL58" i="2"/>
  <c r="DI58" i="2"/>
  <c r="DH58" i="2"/>
  <c r="DE58" i="2"/>
  <c r="DD58" i="2"/>
  <c r="DA58" i="2"/>
  <c r="CZ58" i="2"/>
  <c r="CW58" i="2"/>
  <c r="CV58" i="2"/>
  <c r="CS58" i="2"/>
  <c r="CR58" i="2"/>
  <c r="CO58" i="2"/>
  <c r="CN58" i="2"/>
  <c r="CM58" i="2"/>
  <c r="CK58" i="2"/>
  <c r="CG58" i="2"/>
  <c r="CF58" i="2"/>
  <c r="CC58" i="2"/>
  <c r="CB58" i="2"/>
  <c r="BY58" i="2"/>
  <c r="BX58" i="2"/>
  <c r="BV58" i="2"/>
  <c r="EP58" i="2" s="1"/>
  <c r="BU58" i="2"/>
  <c r="BT58" i="2"/>
  <c r="BS58" i="2"/>
  <c r="EM58" i="2" s="1"/>
  <c r="BR58" i="2"/>
  <c r="EL58" i="2" s="1"/>
  <c r="BQ58" i="2"/>
  <c r="BP58" i="2"/>
  <c r="BO58" i="2"/>
  <c r="EI58" i="2" s="1"/>
  <c r="BN58" i="2"/>
  <c r="EH58" i="2" s="1"/>
  <c r="BM58" i="2"/>
  <c r="BL58" i="2"/>
  <c r="BK58" i="2"/>
  <c r="EE58" i="2" s="1"/>
  <c r="BJ58" i="2"/>
  <c r="ED58" i="2" s="1"/>
  <c r="BI58" i="2"/>
  <c r="BH58" i="2"/>
  <c r="BG58" i="2"/>
  <c r="EA58" i="2" s="1"/>
  <c r="BF58" i="2"/>
  <c r="DZ58" i="2" s="1"/>
  <c r="BE58" i="2"/>
  <c r="BD58" i="2"/>
  <c r="BC58" i="2"/>
  <c r="DW58" i="2" s="1"/>
  <c r="BB58" i="2"/>
  <c r="DV58" i="2" s="1"/>
  <c r="BA58" i="2"/>
  <c r="AZ58" i="2"/>
  <c r="AY58" i="2"/>
  <c r="DS58" i="2" s="1"/>
  <c r="AX58" i="2"/>
  <c r="DR58" i="2" s="1"/>
  <c r="AW58" i="2"/>
  <c r="AV58" i="2"/>
  <c r="AU58" i="2"/>
  <c r="DO58" i="2" s="1"/>
  <c r="AT58" i="2"/>
  <c r="DN58" i="2" s="1"/>
  <c r="AS58" i="2"/>
  <c r="AR58" i="2"/>
  <c r="AQ58" i="2"/>
  <c r="DK58" i="2" s="1"/>
  <c r="AP58" i="2"/>
  <c r="DJ58" i="2" s="1"/>
  <c r="AO58" i="2"/>
  <c r="AN58" i="2"/>
  <c r="AM58" i="2"/>
  <c r="DG58" i="2" s="1"/>
  <c r="AL58" i="2"/>
  <c r="DF58" i="2" s="1"/>
  <c r="AK58" i="2"/>
  <c r="AJ58" i="2"/>
  <c r="AI58" i="2"/>
  <c r="DC58" i="2" s="1"/>
  <c r="AH58" i="2"/>
  <c r="DB58" i="2" s="1"/>
  <c r="AG58" i="2"/>
  <c r="AF58" i="2"/>
  <c r="AE58" i="2"/>
  <c r="CY58" i="2" s="1"/>
  <c r="AD58" i="2"/>
  <c r="CX58" i="2" s="1"/>
  <c r="AC58" i="2"/>
  <c r="AB58" i="2"/>
  <c r="AA58" i="2"/>
  <c r="CU58" i="2" s="1"/>
  <c r="Z58" i="2"/>
  <c r="CT58" i="2" s="1"/>
  <c r="Y58" i="2"/>
  <c r="X58" i="2"/>
  <c r="W58" i="2"/>
  <c r="CQ58" i="2" s="1"/>
  <c r="V58" i="2"/>
  <c r="CP58" i="2" s="1"/>
  <c r="U58" i="2"/>
  <c r="T58" i="2"/>
  <c r="S58" i="2"/>
  <c r="R58" i="2"/>
  <c r="CL58" i="2" s="1"/>
  <c r="Q58" i="2"/>
  <c r="P58" i="2"/>
  <c r="CJ58" i="2" s="1"/>
  <c r="O58" i="2"/>
  <c r="CI58" i="2" s="1"/>
  <c r="N58" i="2"/>
  <c r="CH58" i="2" s="1"/>
  <c r="M58" i="2"/>
  <c r="L58" i="2"/>
  <c r="K58" i="2"/>
  <c r="CE58" i="2" s="1"/>
  <c r="J58" i="2"/>
  <c r="CD58" i="2" s="1"/>
  <c r="I58" i="2"/>
  <c r="H58" i="2"/>
  <c r="G58" i="2"/>
  <c r="CA58" i="2" s="1"/>
  <c r="F58" i="2"/>
  <c r="BZ58" i="2" s="1"/>
  <c r="E58" i="2"/>
  <c r="D58" i="2"/>
  <c r="B58" i="2"/>
  <c r="ES57" i="2"/>
  <c r="BV57" i="2"/>
  <c r="BU57" i="2"/>
  <c r="BT57" i="2"/>
  <c r="BS57" i="2"/>
  <c r="BR57" i="2"/>
  <c r="BQ57" i="2"/>
  <c r="BP57" i="2"/>
  <c r="BO57" i="2"/>
  <c r="BN57" i="2"/>
  <c r="BM57" i="2"/>
  <c r="BL57" i="2"/>
  <c r="BK57" i="2"/>
  <c r="BJ57" i="2"/>
  <c r="BI57" i="2"/>
  <c r="BH57" i="2"/>
  <c r="BG57" i="2"/>
  <c r="BF57" i="2"/>
  <c r="BE57" i="2"/>
  <c r="BD57" i="2"/>
  <c r="BC57" i="2"/>
  <c r="BB57" i="2"/>
  <c r="BA57" i="2"/>
  <c r="AZ57" i="2"/>
  <c r="AY57" i="2"/>
  <c r="AX57" i="2"/>
  <c r="AW57" i="2"/>
  <c r="AV57" i="2"/>
  <c r="AU57" i="2"/>
  <c r="AT57" i="2"/>
  <c r="AS57" i="2"/>
  <c r="AR57" i="2"/>
  <c r="AQ57" i="2"/>
  <c r="AP57" i="2"/>
  <c r="AO57" i="2"/>
  <c r="AN57" i="2"/>
  <c r="AM57" i="2"/>
  <c r="AL57" i="2"/>
  <c r="AK57" i="2"/>
  <c r="AJ57" i="2"/>
  <c r="AI57" i="2"/>
  <c r="AH57" i="2"/>
  <c r="AG57" i="2"/>
  <c r="AF57" i="2"/>
  <c r="AE57" i="2"/>
  <c r="AD57" i="2"/>
  <c r="AC57" i="2"/>
  <c r="AB57" i="2"/>
  <c r="AA57" i="2"/>
  <c r="Z57" i="2"/>
  <c r="Y57" i="2"/>
  <c r="X57" i="2"/>
  <c r="W57" i="2"/>
  <c r="V57" i="2"/>
  <c r="U57" i="2"/>
  <c r="T57" i="2"/>
  <c r="S57" i="2"/>
  <c r="R57" i="2"/>
  <c r="Q57" i="2"/>
  <c r="P57" i="2"/>
  <c r="O57" i="2"/>
  <c r="N57" i="2"/>
  <c r="M57" i="2"/>
  <c r="L57" i="2"/>
  <c r="K57" i="2"/>
  <c r="J57" i="2"/>
  <c r="I57" i="2"/>
  <c r="H57" i="2"/>
  <c r="G57" i="2"/>
  <c r="F57" i="2"/>
  <c r="E57" i="2"/>
  <c r="D57" i="2"/>
  <c r="B57" i="2"/>
  <c r="C57" i="2" s="1"/>
  <c r="ES56" i="2"/>
  <c r="BV56" i="2"/>
  <c r="BU56" i="2"/>
  <c r="BT56" i="2"/>
  <c r="BS56" i="2"/>
  <c r="BR56" i="2"/>
  <c r="BQ56" i="2"/>
  <c r="BP56" i="2"/>
  <c r="BO56" i="2"/>
  <c r="BN56" i="2"/>
  <c r="BM56" i="2"/>
  <c r="BL56" i="2"/>
  <c r="BK56" i="2"/>
  <c r="BJ56" i="2"/>
  <c r="BI56" i="2"/>
  <c r="BH56" i="2"/>
  <c r="BG56" i="2"/>
  <c r="BF56" i="2"/>
  <c r="BE56" i="2"/>
  <c r="BD56" i="2"/>
  <c r="BC56" i="2"/>
  <c r="BB56" i="2"/>
  <c r="BA56" i="2"/>
  <c r="AZ56" i="2"/>
  <c r="AY56" i="2"/>
  <c r="AX56" i="2"/>
  <c r="AW56" i="2"/>
  <c r="AV56" i="2"/>
  <c r="AU56" i="2"/>
  <c r="AT56" i="2"/>
  <c r="AS56" i="2"/>
  <c r="AR56" i="2"/>
  <c r="AQ56" i="2"/>
  <c r="AP56" i="2"/>
  <c r="AO56" i="2"/>
  <c r="AN56" i="2"/>
  <c r="AM56" i="2"/>
  <c r="AL56" i="2"/>
  <c r="AK56" i="2"/>
  <c r="AJ56" i="2"/>
  <c r="AI56" i="2"/>
  <c r="AH56" i="2"/>
  <c r="AG56" i="2"/>
  <c r="AF56" i="2"/>
  <c r="AE56" i="2"/>
  <c r="AD56" i="2"/>
  <c r="AC56" i="2"/>
  <c r="AB56" i="2"/>
  <c r="AA56" i="2"/>
  <c r="Z56" i="2"/>
  <c r="Y56" i="2"/>
  <c r="X56" i="2"/>
  <c r="W56" i="2"/>
  <c r="V56" i="2"/>
  <c r="U56" i="2"/>
  <c r="T56" i="2"/>
  <c r="S56" i="2"/>
  <c r="R56" i="2"/>
  <c r="Q56" i="2"/>
  <c r="P56" i="2"/>
  <c r="O56" i="2"/>
  <c r="N56" i="2"/>
  <c r="M56" i="2"/>
  <c r="L56" i="2"/>
  <c r="K56" i="2"/>
  <c r="J56" i="2"/>
  <c r="I56" i="2"/>
  <c r="H56" i="2"/>
  <c r="G56" i="2"/>
  <c r="F56" i="2"/>
  <c r="E56" i="2"/>
  <c r="D56" i="2"/>
  <c r="B56" i="2"/>
  <c r="C56" i="2" s="1"/>
  <c r="ES55" i="2"/>
  <c r="BV55" i="2"/>
  <c r="BU55" i="2"/>
  <c r="BT55" i="2"/>
  <c r="BS55" i="2"/>
  <c r="BR55" i="2"/>
  <c r="BQ55" i="2"/>
  <c r="BP55" i="2"/>
  <c r="BO55" i="2"/>
  <c r="BN55" i="2"/>
  <c r="BM55" i="2"/>
  <c r="BL55" i="2"/>
  <c r="BK55" i="2"/>
  <c r="BJ55" i="2"/>
  <c r="BI55" i="2"/>
  <c r="BH55" i="2"/>
  <c r="BG55" i="2"/>
  <c r="BF55" i="2"/>
  <c r="BE55" i="2"/>
  <c r="BD55" i="2"/>
  <c r="BC55" i="2"/>
  <c r="BB55" i="2"/>
  <c r="BA55" i="2"/>
  <c r="AZ55" i="2"/>
  <c r="AY55" i="2"/>
  <c r="AX55" i="2"/>
  <c r="AW55" i="2"/>
  <c r="AV55" i="2"/>
  <c r="AU55" i="2"/>
  <c r="AT55" i="2"/>
  <c r="AS55" i="2"/>
  <c r="AR55" i="2"/>
  <c r="AQ55" i="2"/>
  <c r="AP55" i="2"/>
  <c r="AO55" i="2"/>
  <c r="AN55" i="2"/>
  <c r="AM55" i="2"/>
  <c r="AL55" i="2"/>
  <c r="AK55" i="2"/>
  <c r="AJ55" i="2"/>
  <c r="AI55" i="2"/>
  <c r="AH55" i="2"/>
  <c r="AG55" i="2"/>
  <c r="AF55" i="2"/>
  <c r="AE55" i="2"/>
  <c r="AD55" i="2"/>
  <c r="AC55" i="2"/>
  <c r="AB55" i="2"/>
  <c r="AA55" i="2"/>
  <c r="Z55" i="2"/>
  <c r="Y55" i="2"/>
  <c r="X55" i="2"/>
  <c r="W55" i="2"/>
  <c r="V55" i="2"/>
  <c r="U55" i="2"/>
  <c r="T55" i="2"/>
  <c r="S55" i="2"/>
  <c r="R55" i="2"/>
  <c r="Q55" i="2"/>
  <c r="P55" i="2"/>
  <c r="O55" i="2"/>
  <c r="N55" i="2"/>
  <c r="M55" i="2"/>
  <c r="L55" i="2"/>
  <c r="K55" i="2"/>
  <c r="J55" i="2"/>
  <c r="I55" i="2"/>
  <c r="H55" i="2"/>
  <c r="G55" i="2"/>
  <c r="F55" i="2"/>
  <c r="E55" i="2"/>
  <c r="D55" i="2"/>
  <c r="B55" i="2"/>
  <c r="C55" i="2" s="1"/>
  <c r="DW55" i="2" s="1"/>
  <c r="ES54" i="2"/>
  <c r="BV54" i="2"/>
  <c r="BU54" i="2"/>
  <c r="BT54" i="2"/>
  <c r="BS54" i="2"/>
  <c r="BR54" i="2"/>
  <c r="BQ54" i="2"/>
  <c r="BP54" i="2"/>
  <c r="BO54" i="2"/>
  <c r="BN54" i="2"/>
  <c r="BM54" i="2"/>
  <c r="BL54" i="2"/>
  <c r="BK54" i="2"/>
  <c r="BJ54" i="2"/>
  <c r="BI54" i="2"/>
  <c r="BH54" i="2"/>
  <c r="BG54" i="2"/>
  <c r="BF54" i="2"/>
  <c r="BE54" i="2"/>
  <c r="BD54" i="2"/>
  <c r="BC54" i="2"/>
  <c r="BB54" i="2"/>
  <c r="BA54" i="2"/>
  <c r="AZ54" i="2"/>
  <c r="AY54" i="2"/>
  <c r="AX54" i="2"/>
  <c r="AW54" i="2"/>
  <c r="AV54" i="2"/>
  <c r="AU54" i="2"/>
  <c r="AT54" i="2"/>
  <c r="AS54" i="2"/>
  <c r="AR54" i="2"/>
  <c r="AQ54" i="2"/>
  <c r="AP54" i="2"/>
  <c r="AO54" i="2"/>
  <c r="AN54" i="2"/>
  <c r="AM54" i="2"/>
  <c r="AL54" i="2"/>
  <c r="AK54" i="2"/>
  <c r="AJ54" i="2"/>
  <c r="AI54" i="2"/>
  <c r="AH54" i="2"/>
  <c r="AG54" i="2"/>
  <c r="AF54" i="2"/>
  <c r="AE54" i="2"/>
  <c r="AD54" i="2"/>
  <c r="AC54" i="2"/>
  <c r="AB54" i="2"/>
  <c r="AA54" i="2"/>
  <c r="Z54" i="2"/>
  <c r="Y54" i="2"/>
  <c r="X54" i="2"/>
  <c r="W54" i="2"/>
  <c r="V54" i="2"/>
  <c r="U54" i="2"/>
  <c r="T54" i="2"/>
  <c r="S54" i="2"/>
  <c r="R54" i="2"/>
  <c r="Q54" i="2"/>
  <c r="P54" i="2"/>
  <c r="O54" i="2"/>
  <c r="N54" i="2"/>
  <c r="M54" i="2"/>
  <c r="L54" i="2"/>
  <c r="K54" i="2"/>
  <c r="J54" i="2"/>
  <c r="I54" i="2"/>
  <c r="H54" i="2"/>
  <c r="G54" i="2"/>
  <c r="F54" i="2"/>
  <c r="E54" i="2"/>
  <c r="D54" i="2"/>
  <c r="B54" i="2"/>
  <c r="C54" i="2" s="1"/>
  <c r="EN54" i="2" s="1"/>
  <c r="ES53" i="2"/>
  <c r="BV53" i="2"/>
  <c r="BU53" i="2"/>
  <c r="BT53" i="2"/>
  <c r="BS53" i="2"/>
  <c r="BR53" i="2"/>
  <c r="BQ53" i="2"/>
  <c r="BP53" i="2"/>
  <c r="BO53" i="2"/>
  <c r="BN53" i="2"/>
  <c r="BM53" i="2"/>
  <c r="BL53" i="2"/>
  <c r="BK53" i="2"/>
  <c r="BJ53" i="2"/>
  <c r="BI53" i="2"/>
  <c r="BH53" i="2"/>
  <c r="BG53" i="2"/>
  <c r="BF53" i="2"/>
  <c r="BE53" i="2"/>
  <c r="BD53" i="2"/>
  <c r="BC53" i="2"/>
  <c r="BB53" i="2"/>
  <c r="BA53" i="2"/>
  <c r="AZ53" i="2"/>
  <c r="AY53" i="2"/>
  <c r="AX53" i="2"/>
  <c r="AW53" i="2"/>
  <c r="AV53" i="2"/>
  <c r="AU53" i="2"/>
  <c r="AT53" i="2"/>
  <c r="AS53" i="2"/>
  <c r="AR53" i="2"/>
  <c r="AQ53" i="2"/>
  <c r="AP53" i="2"/>
  <c r="AO53" i="2"/>
  <c r="AN53" i="2"/>
  <c r="AM53" i="2"/>
  <c r="AL53" i="2"/>
  <c r="AK53" i="2"/>
  <c r="AJ53" i="2"/>
  <c r="AI53" i="2"/>
  <c r="AH53" i="2"/>
  <c r="AG53" i="2"/>
  <c r="AF53" i="2"/>
  <c r="AE53" i="2"/>
  <c r="AD53" i="2"/>
  <c r="AC53" i="2"/>
  <c r="AB53" i="2"/>
  <c r="AA53" i="2"/>
  <c r="Z53" i="2"/>
  <c r="Y53" i="2"/>
  <c r="X53" i="2"/>
  <c r="W53" i="2"/>
  <c r="V53" i="2"/>
  <c r="U53" i="2"/>
  <c r="T53" i="2"/>
  <c r="S53" i="2"/>
  <c r="R53" i="2"/>
  <c r="Q53" i="2"/>
  <c r="P53" i="2"/>
  <c r="O53" i="2"/>
  <c r="N53" i="2"/>
  <c r="M53" i="2"/>
  <c r="L53" i="2"/>
  <c r="K53" i="2"/>
  <c r="J53" i="2"/>
  <c r="I53" i="2"/>
  <c r="H53" i="2"/>
  <c r="G53" i="2"/>
  <c r="F53" i="2"/>
  <c r="E53" i="2"/>
  <c r="D53" i="2"/>
  <c r="B53" i="2"/>
  <c r="C53" i="2" s="1"/>
  <c r="DE53" i="2" s="1"/>
  <c r="ES52" i="2"/>
  <c r="BV52" i="2"/>
  <c r="BU52" i="2"/>
  <c r="BT52" i="2"/>
  <c r="BS52" i="2"/>
  <c r="BR52" i="2"/>
  <c r="BQ52" i="2"/>
  <c r="BP52" i="2"/>
  <c r="BO52" i="2"/>
  <c r="BN52" i="2"/>
  <c r="BM52" i="2"/>
  <c r="BL52" i="2"/>
  <c r="BK52" i="2"/>
  <c r="BJ52" i="2"/>
  <c r="BI52" i="2"/>
  <c r="BH52" i="2"/>
  <c r="BG52" i="2"/>
  <c r="BF52" i="2"/>
  <c r="BE52" i="2"/>
  <c r="BD52" i="2"/>
  <c r="BC52" i="2"/>
  <c r="BB52" i="2"/>
  <c r="BA52" i="2"/>
  <c r="AZ52" i="2"/>
  <c r="AY52" i="2"/>
  <c r="AX52" i="2"/>
  <c r="AW52" i="2"/>
  <c r="AV52" i="2"/>
  <c r="AU52" i="2"/>
  <c r="AT52" i="2"/>
  <c r="AS52" i="2"/>
  <c r="AR52" i="2"/>
  <c r="AQ52" i="2"/>
  <c r="AP52" i="2"/>
  <c r="AO52" i="2"/>
  <c r="AN52" i="2"/>
  <c r="AM52" i="2"/>
  <c r="AL52" i="2"/>
  <c r="AK52" i="2"/>
  <c r="AJ52" i="2"/>
  <c r="AI52" i="2"/>
  <c r="AH52" i="2"/>
  <c r="AG52" i="2"/>
  <c r="AF52" i="2"/>
  <c r="AE52" i="2"/>
  <c r="AD52" i="2"/>
  <c r="AC52" i="2"/>
  <c r="AB52" i="2"/>
  <c r="AA52" i="2"/>
  <c r="Z52" i="2"/>
  <c r="Y52" i="2"/>
  <c r="X52" i="2"/>
  <c r="W52" i="2"/>
  <c r="V52" i="2"/>
  <c r="U52" i="2"/>
  <c r="T52" i="2"/>
  <c r="S52" i="2"/>
  <c r="R52" i="2"/>
  <c r="Q52" i="2"/>
  <c r="P52" i="2"/>
  <c r="O52" i="2"/>
  <c r="N52" i="2"/>
  <c r="M52" i="2"/>
  <c r="L52" i="2"/>
  <c r="K52" i="2"/>
  <c r="J52" i="2"/>
  <c r="I52" i="2"/>
  <c r="H52" i="2"/>
  <c r="G52" i="2"/>
  <c r="F52" i="2"/>
  <c r="E52" i="2"/>
  <c r="D52" i="2"/>
  <c r="B52" i="2"/>
  <c r="C52" i="2" s="1"/>
  <c r="EM52" i="2" s="1"/>
  <c r="ES51" i="2"/>
  <c r="BV51" i="2"/>
  <c r="BU51" i="2"/>
  <c r="BT51" i="2"/>
  <c r="BS51" i="2"/>
  <c r="BR51" i="2"/>
  <c r="BQ51" i="2"/>
  <c r="BP51" i="2"/>
  <c r="BO51" i="2"/>
  <c r="BN51" i="2"/>
  <c r="BM51" i="2"/>
  <c r="BL51" i="2"/>
  <c r="BK51" i="2"/>
  <c r="BJ51" i="2"/>
  <c r="BI51" i="2"/>
  <c r="BH51" i="2"/>
  <c r="BG51" i="2"/>
  <c r="BF51" i="2"/>
  <c r="BE51" i="2"/>
  <c r="BD51" i="2"/>
  <c r="BC51" i="2"/>
  <c r="BB51" i="2"/>
  <c r="BA51" i="2"/>
  <c r="AZ51" i="2"/>
  <c r="AY51" i="2"/>
  <c r="AX51" i="2"/>
  <c r="AW51" i="2"/>
  <c r="AV51" i="2"/>
  <c r="AU51" i="2"/>
  <c r="AT51" i="2"/>
  <c r="AS51" i="2"/>
  <c r="AR51" i="2"/>
  <c r="AQ51" i="2"/>
  <c r="AP51" i="2"/>
  <c r="AO51" i="2"/>
  <c r="AN51" i="2"/>
  <c r="AM51" i="2"/>
  <c r="AL51" i="2"/>
  <c r="AK51" i="2"/>
  <c r="AJ51" i="2"/>
  <c r="AI51" i="2"/>
  <c r="AH51" i="2"/>
  <c r="AG51" i="2"/>
  <c r="AF51" i="2"/>
  <c r="AE51" i="2"/>
  <c r="AD51" i="2"/>
  <c r="AC51" i="2"/>
  <c r="AB51" i="2"/>
  <c r="AA51" i="2"/>
  <c r="Z51" i="2"/>
  <c r="Y51" i="2"/>
  <c r="X51" i="2"/>
  <c r="W51" i="2"/>
  <c r="V51" i="2"/>
  <c r="U51" i="2"/>
  <c r="T51" i="2"/>
  <c r="S51" i="2"/>
  <c r="R51" i="2"/>
  <c r="Q51" i="2"/>
  <c r="P51" i="2"/>
  <c r="O51" i="2"/>
  <c r="N51" i="2"/>
  <c r="M51" i="2"/>
  <c r="L51" i="2"/>
  <c r="K51" i="2"/>
  <c r="J51" i="2"/>
  <c r="I51" i="2"/>
  <c r="H51" i="2"/>
  <c r="G51" i="2"/>
  <c r="F51" i="2"/>
  <c r="E51" i="2"/>
  <c r="D51" i="2"/>
  <c r="B51" i="2"/>
  <c r="C51" i="2" s="1"/>
  <c r="EF51" i="2" s="1"/>
  <c r="ES50" i="2"/>
  <c r="BV50" i="2"/>
  <c r="BU50" i="2"/>
  <c r="BT50" i="2"/>
  <c r="BS50" i="2"/>
  <c r="BR50" i="2"/>
  <c r="BQ50" i="2"/>
  <c r="BP50" i="2"/>
  <c r="BO50" i="2"/>
  <c r="BN50" i="2"/>
  <c r="BM50" i="2"/>
  <c r="BL50" i="2"/>
  <c r="BK50" i="2"/>
  <c r="BJ50" i="2"/>
  <c r="BI50" i="2"/>
  <c r="BH50" i="2"/>
  <c r="BG50" i="2"/>
  <c r="BF50" i="2"/>
  <c r="BE50" i="2"/>
  <c r="BD50" i="2"/>
  <c r="BC50" i="2"/>
  <c r="BB50" i="2"/>
  <c r="BA50" i="2"/>
  <c r="AZ50" i="2"/>
  <c r="AY50" i="2"/>
  <c r="AX50" i="2"/>
  <c r="AW50" i="2"/>
  <c r="AV50" i="2"/>
  <c r="AU50" i="2"/>
  <c r="AT50" i="2"/>
  <c r="AS50" i="2"/>
  <c r="AR50" i="2"/>
  <c r="AQ50" i="2"/>
  <c r="AP50" i="2"/>
  <c r="AO50" i="2"/>
  <c r="AN50" i="2"/>
  <c r="AM50" i="2"/>
  <c r="AL50" i="2"/>
  <c r="AK50" i="2"/>
  <c r="AJ50" i="2"/>
  <c r="AI50" i="2"/>
  <c r="AH50" i="2"/>
  <c r="AG50" i="2"/>
  <c r="AF50" i="2"/>
  <c r="AE50" i="2"/>
  <c r="AD50" i="2"/>
  <c r="AC50" i="2"/>
  <c r="AB50" i="2"/>
  <c r="AA50" i="2"/>
  <c r="Z50" i="2"/>
  <c r="Y50" i="2"/>
  <c r="X50" i="2"/>
  <c r="W50" i="2"/>
  <c r="V50" i="2"/>
  <c r="U50" i="2"/>
  <c r="T50" i="2"/>
  <c r="S50" i="2"/>
  <c r="R50" i="2"/>
  <c r="Q50" i="2"/>
  <c r="P50" i="2"/>
  <c r="O50" i="2"/>
  <c r="N50" i="2"/>
  <c r="M50" i="2"/>
  <c r="L50" i="2"/>
  <c r="K50" i="2"/>
  <c r="J50" i="2"/>
  <c r="I50" i="2"/>
  <c r="H50" i="2"/>
  <c r="G50" i="2"/>
  <c r="F50" i="2"/>
  <c r="E50" i="2"/>
  <c r="D50" i="2"/>
  <c r="B50" i="2"/>
  <c r="C50" i="2" s="1"/>
  <c r="ES49" i="2"/>
  <c r="BV49" i="2"/>
  <c r="BU49" i="2"/>
  <c r="BT49" i="2"/>
  <c r="BS49" i="2"/>
  <c r="BR49" i="2"/>
  <c r="BQ49" i="2"/>
  <c r="BP49" i="2"/>
  <c r="BO49" i="2"/>
  <c r="BN49" i="2"/>
  <c r="BM49" i="2"/>
  <c r="BL49" i="2"/>
  <c r="BK49" i="2"/>
  <c r="BJ49" i="2"/>
  <c r="BI49" i="2"/>
  <c r="BH49" i="2"/>
  <c r="BG49" i="2"/>
  <c r="BF49" i="2"/>
  <c r="BE49" i="2"/>
  <c r="BD49" i="2"/>
  <c r="BC49" i="2"/>
  <c r="BB49" i="2"/>
  <c r="BA49" i="2"/>
  <c r="AZ49" i="2"/>
  <c r="AY49" i="2"/>
  <c r="AX49" i="2"/>
  <c r="AW49" i="2"/>
  <c r="AV49" i="2"/>
  <c r="AU49" i="2"/>
  <c r="AT49" i="2"/>
  <c r="AS49" i="2"/>
  <c r="AR49" i="2"/>
  <c r="AQ49" i="2"/>
  <c r="AP49" i="2"/>
  <c r="AO49" i="2"/>
  <c r="AN49" i="2"/>
  <c r="AM49" i="2"/>
  <c r="AL49" i="2"/>
  <c r="AK49" i="2"/>
  <c r="AJ49" i="2"/>
  <c r="AI49" i="2"/>
  <c r="AH49" i="2"/>
  <c r="AG49" i="2"/>
  <c r="AF49" i="2"/>
  <c r="AE49" i="2"/>
  <c r="AD49" i="2"/>
  <c r="AC49" i="2"/>
  <c r="AB49" i="2"/>
  <c r="AA49" i="2"/>
  <c r="Z49" i="2"/>
  <c r="Y49" i="2"/>
  <c r="X49" i="2"/>
  <c r="W49" i="2"/>
  <c r="V49" i="2"/>
  <c r="U49" i="2"/>
  <c r="T49" i="2"/>
  <c r="S49" i="2"/>
  <c r="R49" i="2"/>
  <c r="Q49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B49" i="2"/>
  <c r="C49" i="2" s="1"/>
  <c r="ES48" i="2"/>
  <c r="BV48" i="2"/>
  <c r="BU48" i="2"/>
  <c r="BT48" i="2"/>
  <c r="BS48" i="2"/>
  <c r="BR48" i="2"/>
  <c r="BQ48" i="2"/>
  <c r="BP48" i="2"/>
  <c r="BO48" i="2"/>
  <c r="BN48" i="2"/>
  <c r="BM48" i="2"/>
  <c r="BL48" i="2"/>
  <c r="BK48" i="2"/>
  <c r="BJ48" i="2"/>
  <c r="BI48" i="2"/>
  <c r="BH48" i="2"/>
  <c r="BG48" i="2"/>
  <c r="BF48" i="2"/>
  <c r="BE48" i="2"/>
  <c r="BD48" i="2"/>
  <c r="BC48" i="2"/>
  <c r="BB48" i="2"/>
  <c r="BA48" i="2"/>
  <c r="AZ48" i="2"/>
  <c r="AY48" i="2"/>
  <c r="AX48" i="2"/>
  <c r="AW48" i="2"/>
  <c r="AV48" i="2"/>
  <c r="AU48" i="2"/>
  <c r="AT48" i="2"/>
  <c r="AS48" i="2"/>
  <c r="AR48" i="2"/>
  <c r="AQ48" i="2"/>
  <c r="AP48" i="2"/>
  <c r="AO48" i="2"/>
  <c r="AN48" i="2"/>
  <c r="AM48" i="2"/>
  <c r="AL48" i="2"/>
  <c r="AK48" i="2"/>
  <c r="AJ48" i="2"/>
  <c r="AI48" i="2"/>
  <c r="AH48" i="2"/>
  <c r="AG48" i="2"/>
  <c r="AF48" i="2"/>
  <c r="AE48" i="2"/>
  <c r="AD48" i="2"/>
  <c r="AC48" i="2"/>
  <c r="AB48" i="2"/>
  <c r="AA48" i="2"/>
  <c r="Z48" i="2"/>
  <c r="Y48" i="2"/>
  <c r="X48" i="2"/>
  <c r="W48" i="2"/>
  <c r="V48" i="2"/>
  <c r="U48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B48" i="2"/>
  <c r="C48" i="2" s="1"/>
  <c r="ES47" i="2"/>
  <c r="BV47" i="2"/>
  <c r="BU47" i="2"/>
  <c r="BT47" i="2"/>
  <c r="BS47" i="2"/>
  <c r="BR47" i="2"/>
  <c r="BQ47" i="2"/>
  <c r="BP47" i="2"/>
  <c r="BO47" i="2"/>
  <c r="BN47" i="2"/>
  <c r="BM47" i="2"/>
  <c r="BL47" i="2"/>
  <c r="BK47" i="2"/>
  <c r="BJ47" i="2"/>
  <c r="BI47" i="2"/>
  <c r="BH47" i="2"/>
  <c r="BG47" i="2"/>
  <c r="BF47" i="2"/>
  <c r="BE47" i="2"/>
  <c r="BD47" i="2"/>
  <c r="BC47" i="2"/>
  <c r="BB47" i="2"/>
  <c r="BA47" i="2"/>
  <c r="AZ47" i="2"/>
  <c r="AY47" i="2"/>
  <c r="AX47" i="2"/>
  <c r="AW47" i="2"/>
  <c r="AV47" i="2"/>
  <c r="AU47" i="2"/>
  <c r="AT47" i="2"/>
  <c r="AS47" i="2"/>
  <c r="AR47" i="2"/>
  <c r="AQ47" i="2"/>
  <c r="AP47" i="2"/>
  <c r="AO47" i="2"/>
  <c r="AN47" i="2"/>
  <c r="AM47" i="2"/>
  <c r="AL47" i="2"/>
  <c r="AK47" i="2"/>
  <c r="AJ47" i="2"/>
  <c r="AI47" i="2"/>
  <c r="AH47" i="2"/>
  <c r="AG47" i="2"/>
  <c r="AF47" i="2"/>
  <c r="AE47" i="2"/>
  <c r="AD47" i="2"/>
  <c r="AC47" i="2"/>
  <c r="AB47" i="2"/>
  <c r="AA47" i="2"/>
  <c r="Z47" i="2"/>
  <c r="Y47" i="2"/>
  <c r="X47" i="2"/>
  <c r="W47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B47" i="2"/>
  <c r="C47" i="2" s="1"/>
  <c r="EG47" i="2" s="1"/>
  <c r="ES46" i="2"/>
  <c r="BV46" i="2"/>
  <c r="BU46" i="2"/>
  <c r="BT46" i="2"/>
  <c r="BS46" i="2"/>
  <c r="BR46" i="2"/>
  <c r="BQ46" i="2"/>
  <c r="BP46" i="2"/>
  <c r="BO46" i="2"/>
  <c r="BN46" i="2"/>
  <c r="BM46" i="2"/>
  <c r="BL46" i="2"/>
  <c r="BK46" i="2"/>
  <c r="BJ46" i="2"/>
  <c r="BI46" i="2"/>
  <c r="BH46" i="2"/>
  <c r="BG46" i="2"/>
  <c r="BF46" i="2"/>
  <c r="BE46" i="2"/>
  <c r="BD46" i="2"/>
  <c r="BC46" i="2"/>
  <c r="BB46" i="2"/>
  <c r="BA46" i="2"/>
  <c r="AZ46" i="2"/>
  <c r="AY46" i="2"/>
  <c r="AX46" i="2"/>
  <c r="AW46" i="2"/>
  <c r="AV46" i="2"/>
  <c r="AU46" i="2"/>
  <c r="AT46" i="2"/>
  <c r="AS46" i="2"/>
  <c r="AR46" i="2"/>
  <c r="AQ46" i="2"/>
  <c r="AP46" i="2"/>
  <c r="AO46" i="2"/>
  <c r="AN46" i="2"/>
  <c r="AM46" i="2"/>
  <c r="AL46" i="2"/>
  <c r="AK46" i="2"/>
  <c r="AJ46" i="2"/>
  <c r="AI46" i="2"/>
  <c r="AH46" i="2"/>
  <c r="AG46" i="2"/>
  <c r="AF46" i="2"/>
  <c r="AE46" i="2"/>
  <c r="AD46" i="2"/>
  <c r="AC46" i="2"/>
  <c r="AB46" i="2"/>
  <c r="AA46" i="2"/>
  <c r="Z46" i="2"/>
  <c r="Y46" i="2"/>
  <c r="X46" i="2"/>
  <c r="W46" i="2"/>
  <c r="V46" i="2"/>
  <c r="U46" i="2"/>
  <c r="T46" i="2"/>
  <c r="S46" i="2"/>
  <c r="R46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B46" i="2"/>
  <c r="C46" i="2" s="1"/>
  <c r="EP46" i="2" s="1"/>
  <c r="ES45" i="2"/>
  <c r="BV45" i="2"/>
  <c r="BU45" i="2"/>
  <c r="BT45" i="2"/>
  <c r="BS45" i="2"/>
  <c r="BR45" i="2"/>
  <c r="BQ45" i="2"/>
  <c r="BP45" i="2"/>
  <c r="BO45" i="2"/>
  <c r="BN45" i="2"/>
  <c r="BM45" i="2"/>
  <c r="BL45" i="2"/>
  <c r="BK45" i="2"/>
  <c r="BJ45" i="2"/>
  <c r="BI45" i="2"/>
  <c r="BH45" i="2"/>
  <c r="BG45" i="2"/>
  <c r="BF45" i="2"/>
  <c r="BE45" i="2"/>
  <c r="BD45" i="2"/>
  <c r="BC45" i="2"/>
  <c r="BB45" i="2"/>
  <c r="BA45" i="2"/>
  <c r="AZ45" i="2"/>
  <c r="AY45" i="2"/>
  <c r="AX45" i="2"/>
  <c r="AW45" i="2"/>
  <c r="AV45" i="2"/>
  <c r="AU45" i="2"/>
  <c r="AT45" i="2"/>
  <c r="AS45" i="2"/>
  <c r="AR45" i="2"/>
  <c r="AQ45" i="2"/>
  <c r="AP45" i="2"/>
  <c r="AO45" i="2"/>
  <c r="AN45" i="2"/>
  <c r="AM45" i="2"/>
  <c r="AL45" i="2"/>
  <c r="AK45" i="2"/>
  <c r="AJ45" i="2"/>
  <c r="AI45" i="2"/>
  <c r="AH45" i="2"/>
  <c r="AG45" i="2"/>
  <c r="AF45" i="2"/>
  <c r="AE45" i="2"/>
  <c r="AD45" i="2"/>
  <c r="AC45" i="2"/>
  <c r="AB45" i="2"/>
  <c r="AA45" i="2"/>
  <c r="Z45" i="2"/>
  <c r="Y45" i="2"/>
  <c r="X45" i="2"/>
  <c r="W45" i="2"/>
  <c r="V45" i="2"/>
  <c r="U45" i="2"/>
  <c r="T45" i="2"/>
  <c r="S45" i="2"/>
  <c r="R45" i="2"/>
  <c r="CL45" i="2" s="1"/>
  <c r="Q45" i="2"/>
  <c r="P45" i="2"/>
  <c r="O45" i="2"/>
  <c r="N45" i="2"/>
  <c r="CH45" i="2" s="1"/>
  <c r="M45" i="2"/>
  <c r="L45" i="2"/>
  <c r="K45" i="2"/>
  <c r="J45" i="2"/>
  <c r="CD45" i="2" s="1"/>
  <c r="I45" i="2"/>
  <c r="H45" i="2"/>
  <c r="G45" i="2"/>
  <c r="F45" i="2"/>
  <c r="BZ45" i="2" s="1"/>
  <c r="E45" i="2"/>
  <c r="D45" i="2"/>
  <c r="B45" i="2"/>
  <c r="C45" i="2" s="1"/>
  <c r="EM45" i="2" s="1"/>
  <c r="ES44" i="2"/>
  <c r="EP44" i="2"/>
  <c r="EM44" i="2"/>
  <c r="EL44" i="2"/>
  <c r="EI44" i="2"/>
  <c r="EH44" i="2"/>
  <c r="EE44" i="2"/>
  <c r="ED44" i="2"/>
  <c r="EA44" i="2"/>
  <c r="DZ44" i="2"/>
  <c r="DW44" i="2"/>
  <c r="DV44" i="2"/>
  <c r="DS44" i="2"/>
  <c r="DR44" i="2"/>
  <c r="DO44" i="2"/>
  <c r="DN44" i="2"/>
  <c r="DK44" i="2"/>
  <c r="DJ44" i="2"/>
  <c r="DG44" i="2"/>
  <c r="DF44" i="2"/>
  <c r="DC44" i="2"/>
  <c r="DB44" i="2"/>
  <c r="CY44" i="2"/>
  <c r="CX44" i="2"/>
  <c r="CU44" i="2"/>
  <c r="CT44" i="2"/>
  <c r="CQ44" i="2"/>
  <c r="CP44" i="2"/>
  <c r="CM44" i="2"/>
  <c r="CL44" i="2"/>
  <c r="CI44" i="2"/>
  <c r="CH44" i="2"/>
  <c r="CE44" i="2"/>
  <c r="CD44" i="2"/>
  <c r="CA44" i="2"/>
  <c r="BZ44" i="2"/>
  <c r="BV44" i="2"/>
  <c r="BU44" i="2"/>
  <c r="EO44" i="2" s="1"/>
  <c r="BT44" i="2"/>
  <c r="EN44" i="2" s="1"/>
  <c r="BS44" i="2"/>
  <c r="BR44" i="2"/>
  <c r="BQ44" i="2"/>
  <c r="EK44" i="2" s="1"/>
  <c r="BP44" i="2"/>
  <c r="EJ44" i="2" s="1"/>
  <c r="BO44" i="2"/>
  <c r="BN44" i="2"/>
  <c r="BM44" i="2"/>
  <c r="EG44" i="2" s="1"/>
  <c r="BL44" i="2"/>
  <c r="EF44" i="2" s="1"/>
  <c r="BK44" i="2"/>
  <c r="BJ44" i="2"/>
  <c r="BI44" i="2"/>
  <c r="EC44" i="2" s="1"/>
  <c r="BH44" i="2"/>
  <c r="EB44" i="2" s="1"/>
  <c r="BG44" i="2"/>
  <c r="BF44" i="2"/>
  <c r="BE44" i="2"/>
  <c r="DY44" i="2" s="1"/>
  <c r="BD44" i="2"/>
  <c r="DX44" i="2" s="1"/>
  <c r="BC44" i="2"/>
  <c r="BB44" i="2"/>
  <c r="BA44" i="2"/>
  <c r="DU44" i="2" s="1"/>
  <c r="AZ44" i="2"/>
  <c r="DT44" i="2" s="1"/>
  <c r="AY44" i="2"/>
  <c r="AX44" i="2"/>
  <c r="AW44" i="2"/>
  <c r="DQ44" i="2" s="1"/>
  <c r="AV44" i="2"/>
  <c r="DP44" i="2" s="1"/>
  <c r="AU44" i="2"/>
  <c r="AT44" i="2"/>
  <c r="AS44" i="2"/>
  <c r="DM44" i="2" s="1"/>
  <c r="AR44" i="2"/>
  <c r="DL44" i="2" s="1"/>
  <c r="AQ44" i="2"/>
  <c r="AP44" i="2"/>
  <c r="AO44" i="2"/>
  <c r="DI44" i="2" s="1"/>
  <c r="AN44" i="2"/>
  <c r="DH44" i="2" s="1"/>
  <c r="AM44" i="2"/>
  <c r="AL44" i="2"/>
  <c r="AK44" i="2"/>
  <c r="DE44" i="2" s="1"/>
  <c r="AJ44" i="2"/>
  <c r="DD44" i="2" s="1"/>
  <c r="AI44" i="2"/>
  <c r="AH44" i="2"/>
  <c r="AG44" i="2"/>
  <c r="DA44" i="2" s="1"/>
  <c r="AF44" i="2"/>
  <c r="CZ44" i="2" s="1"/>
  <c r="AE44" i="2"/>
  <c r="AD44" i="2"/>
  <c r="AC44" i="2"/>
  <c r="CW44" i="2" s="1"/>
  <c r="AB44" i="2"/>
  <c r="CV44" i="2" s="1"/>
  <c r="AA44" i="2"/>
  <c r="Z44" i="2"/>
  <c r="Y44" i="2"/>
  <c r="CS44" i="2" s="1"/>
  <c r="X44" i="2"/>
  <c r="CR44" i="2" s="1"/>
  <c r="W44" i="2"/>
  <c r="V44" i="2"/>
  <c r="U44" i="2"/>
  <c r="CO44" i="2" s="1"/>
  <c r="T44" i="2"/>
  <c r="CN44" i="2" s="1"/>
  <c r="S44" i="2"/>
  <c r="R44" i="2"/>
  <c r="Q44" i="2"/>
  <c r="CK44" i="2" s="1"/>
  <c r="P44" i="2"/>
  <c r="CJ44" i="2" s="1"/>
  <c r="O44" i="2"/>
  <c r="N44" i="2"/>
  <c r="M44" i="2"/>
  <c r="CG44" i="2" s="1"/>
  <c r="L44" i="2"/>
  <c r="CF44" i="2" s="1"/>
  <c r="K44" i="2"/>
  <c r="J44" i="2"/>
  <c r="I44" i="2"/>
  <c r="CC44" i="2" s="1"/>
  <c r="H44" i="2"/>
  <c r="CB44" i="2" s="1"/>
  <c r="G44" i="2"/>
  <c r="F44" i="2"/>
  <c r="E44" i="2"/>
  <c r="BY44" i="2" s="1"/>
  <c r="D44" i="2"/>
  <c r="BX44" i="2" s="1"/>
  <c r="B44" i="2"/>
  <c r="ES43" i="2"/>
  <c r="BV43" i="2"/>
  <c r="BU43" i="2"/>
  <c r="BT43" i="2"/>
  <c r="BS43" i="2"/>
  <c r="BR43" i="2"/>
  <c r="BQ43" i="2"/>
  <c r="BP43" i="2"/>
  <c r="BO43" i="2"/>
  <c r="BN43" i="2"/>
  <c r="BM43" i="2"/>
  <c r="BL43" i="2"/>
  <c r="BK43" i="2"/>
  <c r="BJ43" i="2"/>
  <c r="BI43" i="2"/>
  <c r="BH43" i="2"/>
  <c r="BG43" i="2"/>
  <c r="BF43" i="2"/>
  <c r="BE43" i="2"/>
  <c r="BD43" i="2"/>
  <c r="BC43" i="2"/>
  <c r="BB43" i="2"/>
  <c r="BA43" i="2"/>
  <c r="AZ43" i="2"/>
  <c r="AY43" i="2"/>
  <c r="AX43" i="2"/>
  <c r="AW43" i="2"/>
  <c r="AV43" i="2"/>
  <c r="AU43" i="2"/>
  <c r="AT43" i="2"/>
  <c r="AS43" i="2"/>
  <c r="AR43" i="2"/>
  <c r="AQ43" i="2"/>
  <c r="AP43" i="2"/>
  <c r="AO43" i="2"/>
  <c r="AN43" i="2"/>
  <c r="AM43" i="2"/>
  <c r="AL43" i="2"/>
  <c r="AK43" i="2"/>
  <c r="AJ43" i="2"/>
  <c r="AI43" i="2"/>
  <c r="AH43" i="2"/>
  <c r="AG43" i="2"/>
  <c r="AF43" i="2"/>
  <c r="AE43" i="2"/>
  <c r="AD43" i="2"/>
  <c r="AC43" i="2"/>
  <c r="AB43" i="2"/>
  <c r="AA43" i="2"/>
  <c r="Z43" i="2"/>
  <c r="Y43" i="2"/>
  <c r="X43" i="2"/>
  <c r="W43" i="2"/>
  <c r="V43" i="2"/>
  <c r="U43" i="2"/>
  <c r="T43" i="2"/>
  <c r="S43" i="2"/>
  <c r="R43" i="2"/>
  <c r="Q43" i="2"/>
  <c r="P43" i="2"/>
  <c r="O43" i="2"/>
  <c r="N43" i="2"/>
  <c r="M43" i="2"/>
  <c r="L43" i="2"/>
  <c r="K43" i="2"/>
  <c r="J43" i="2"/>
  <c r="I43" i="2"/>
  <c r="H43" i="2"/>
  <c r="G43" i="2"/>
  <c r="F43" i="2"/>
  <c r="E43" i="2"/>
  <c r="D43" i="2"/>
  <c r="B43" i="2"/>
  <c r="C43" i="2" s="1"/>
  <c r="EH43" i="2" s="1"/>
  <c r="ES42" i="2"/>
  <c r="BV42" i="2"/>
  <c r="BU42" i="2"/>
  <c r="BT42" i="2"/>
  <c r="BS42" i="2"/>
  <c r="BR42" i="2"/>
  <c r="BQ42" i="2"/>
  <c r="BP42" i="2"/>
  <c r="BO42" i="2"/>
  <c r="BN42" i="2"/>
  <c r="BM42" i="2"/>
  <c r="BL42" i="2"/>
  <c r="BK42" i="2"/>
  <c r="BJ42" i="2"/>
  <c r="BI42" i="2"/>
  <c r="BH42" i="2"/>
  <c r="BG42" i="2"/>
  <c r="BF42" i="2"/>
  <c r="BE42" i="2"/>
  <c r="BD42" i="2"/>
  <c r="BC42" i="2"/>
  <c r="BB42" i="2"/>
  <c r="BA42" i="2"/>
  <c r="AZ42" i="2"/>
  <c r="AY42" i="2"/>
  <c r="AX42" i="2"/>
  <c r="AW42" i="2"/>
  <c r="AV42" i="2"/>
  <c r="AU42" i="2"/>
  <c r="AT42" i="2"/>
  <c r="AS42" i="2"/>
  <c r="AR42" i="2"/>
  <c r="AQ42" i="2"/>
  <c r="AP42" i="2"/>
  <c r="AO42" i="2"/>
  <c r="AN42" i="2"/>
  <c r="AM42" i="2"/>
  <c r="AL42" i="2"/>
  <c r="AK42" i="2"/>
  <c r="AJ42" i="2"/>
  <c r="AI42" i="2"/>
  <c r="AH42" i="2"/>
  <c r="AG42" i="2"/>
  <c r="AF42" i="2"/>
  <c r="AE42" i="2"/>
  <c r="AD42" i="2"/>
  <c r="AC42" i="2"/>
  <c r="AB42" i="2"/>
  <c r="AA42" i="2"/>
  <c r="Z42" i="2"/>
  <c r="Y42" i="2"/>
  <c r="X42" i="2"/>
  <c r="W42" i="2"/>
  <c r="V42" i="2"/>
  <c r="U42" i="2"/>
  <c r="T42" i="2"/>
  <c r="S42" i="2"/>
  <c r="R42" i="2"/>
  <c r="Q42" i="2"/>
  <c r="P42" i="2"/>
  <c r="O42" i="2"/>
  <c r="N42" i="2"/>
  <c r="M42" i="2"/>
  <c r="L42" i="2"/>
  <c r="K42" i="2"/>
  <c r="J42" i="2"/>
  <c r="I42" i="2"/>
  <c r="H42" i="2"/>
  <c r="G42" i="2"/>
  <c r="F42" i="2"/>
  <c r="E42" i="2"/>
  <c r="D42" i="2"/>
  <c r="B42" i="2"/>
  <c r="C42" i="2" s="1"/>
  <c r="DO42" i="2" s="1"/>
  <c r="ES41" i="2"/>
  <c r="BV41" i="2"/>
  <c r="BU41" i="2"/>
  <c r="BT41" i="2"/>
  <c r="BS41" i="2"/>
  <c r="BR41" i="2"/>
  <c r="BQ41" i="2"/>
  <c r="BP41" i="2"/>
  <c r="BO41" i="2"/>
  <c r="BN41" i="2"/>
  <c r="BM41" i="2"/>
  <c r="BL41" i="2"/>
  <c r="BK41" i="2"/>
  <c r="BJ41" i="2"/>
  <c r="BI41" i="2"/>
  <c r="BH41" i="2"/>
  <c r="BG41" i="2"/>
  <c r="BF41" i="2"/>
  <c r="BE41" i="2"/>
  <c r="BD41" i="2"/>
  <c r="BC41" i="2"/>
  <c r="BB41" i="2"/>
  <c r="BA41" i="2"/>
  <c r="AZ41" i="2"/>
  <c r="AY41" i="2"/>
  <c r="AX41" i="2"/>
  <c r="AW41" i="2"/>
  <c r="AV41" i="2"/>
  <c r="AU41" i="2"/>
  <c r="AT41" i="2"/>
  <c r="AS41" i="2"/>
  <c r="AR41" i="2"/>
  <c r="AQ41" i="2"/>
  <c r="AP41" i="2"/>
  <c r="AO41" i="2"/>
  <c r="AN41" i="2"/>
  <c r="AM41" i="2"/>
  <c r="AL41" i="2"/>
  <c r="AK41" i="2"/>
  <c r="AJ41" i="2"/>
  <c r="AI41" i="2"/>
  <c r="AH41" i="2"/>
  <c r="AG41" i="2"/>
  <c r="AF41" i="2"/>
  <c r="AE41" i="2"/>
  <c r="AD41" i="2"/>
  <c r="AC41" i="2"/>
  <c r="AB41" i="2"/>
  <c r="AA41" i="2"/>
  <c r="Z41" i="2"/>
  <c r="Y41" i="2"/>
  <c r="X41" i="2"/>
  <c r="W41" i="2"/>
  <c r="V41" i="2"/>
  <c r="U41" i="2"/>
  <c r="T41" i="2"/>
  <c r="S41" i="2"/>
  <c r="R41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B41" i="2"/>
  <c r="C41" i="2" s="1"/>
  <c r="EN41" i="2" s="1"/>
  <c r="ES40" i="2"/>
  <c r="BV40" i="2"/>
  <c r="BU40" i="2"/>
  <c r="BT40" i="2"/>
  <c r="BS40" i="2"/>
  <c r="BR40" i="2"/>
  <c r="BQ40" i="2"/>
  <c r="BP40" i="2"/>
  <c r="BO40" i="2"/>
  <c r="BN40" i="2"/>
  <c r="BM40" i="2"/>
  <c r="BL40" i="2"/>
  <c r="BK40" i="2"/>
  <c r="BJ40" i="2"/>
  <c r="BI40" i="2"/>
  <c r="BH40" i="2"/>
  <c r="BG40" i="2"/>
  <c r="BF40" i="2"/>
  <c r="BE40" i="2"/>
  <c r="BD40" i="2"/>
  <c r="BC40" i="2"/>
  <c r="BB40" i="2"/>
  <c r="BA40" i="2"/>
  <c r="AZ40" i="2"/>
  <c r="AY40" i="2"/>
  <c r="AX40" i="2"/>
  <c r="AW40" i="2"/>
  <c r="AV40" i="2"/>
  <c r="AU40" i="2"/>
  <c r="AT40" i="2"/>
  <c r="AS40" i="2"/>
  <c r="AR40" i="2"/>
  <c r="AQ40" i="2"/>
  <c r="AP40" i="2"/>
  <c r="AO40" i="2"/>
  <c r="AN40" i="2"/>
  <c r="AM40" i="2"/>
  <c r="AL40" i="2"/>
  <c r="AK40" i="2"/>
  <c r="AJ40" i="2"/>
  <c r="AI40" i="2"/>
  <c r="AH40" i="2"/>
  <c r="AG40" i="2"/>
  <c r="AF40" i="2"/>
  <c r="AE40" i="2"/>
  <c r="AD40" i="2"/>
  <c r="AC40" i="2"/>
  <c r="AB40" i="2"/>
  <c r="AA40" i="2"/>
  <c r="Z40" i="2"/>
  <c r="Y40" i="2"/>
  <c r="X40" i="2"/>
  <c r="W40" i="2"/>
  <c r="V40" i="2"/>
  <c r="U40" i="2"/>
  <c r="T40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B40" i="2"/>
  <c r="C40" i="2" s="1"/>
  <c r="ES39" i="2"/>
  <c r="BV39" i="2"/>
  <c r="BU39" i="2"/>
  <c r="BT39" i="2"/>
  <c r="BS39" i="2"/>
  <c r="BR39" i="2"/>
  <c r="BQ39" i="2"/>
  <c r="BP39" i="2"/>
  <c r="BO39" i="2"/>
  <c r="BN39" i="2"/>
  <c r="BM39" i="2"/>
  <c r="BL39" i="2"/>
  <c r="BK39" i="2"/>
  <c r="BJ39" i="2"/>
  <c r="BI39" i="2"/>
  <c r="BH39" i="2"/>
  <c r="BG39" i="2"/>
  <c r="BF39" i="2"/>
  <c r="BE39" i="2"/>
  <c r="BD39" i="2"/>
  <c r="BC39" i="2"/>
  <c r="BB39" i="2"/>
  <c r="BA39" i="2"/>
  <c r="AZ39" i="2"/>
  <c r="AY39" i="2"/>
  <c r="AX39" i="2"/>
  <c r="AW39" i="2"/>
  <c r="AV39" i="2"/>
  <c r="AU39" i="2"/>
  <c r="AT39" i="2"/>
  <c r="AS39" i="2"/>
  <c r="AR39" i="2"/>
  <c r="AQ39" i="2"/>
  <c r="AP39" i="2"/>
  <c r="AO39" i="2"/>
  <c r="AN39" i="2"/>
  <c r="AM39" i="2"/>
  <c r="AL39" i="2"/>
  <c r="AK39" i="2"/>
  <c r="AJ39" i="2"/>
  <c r="AI39" i="2"/>
  <c r="AH39" i="2"/>
  <c r="AG39" i="2"/>
  <c r="AF39" i="2"/>
  <c r="AE39" i="2"/>
  <c r="AD39" i="2"/>
  <c r="AC39" i="2"/>
  <c r="AB39" i="2"/>
  <c r="AA39" i="2"/>
  <c r="Z39" i="2"/>
  <c r="Y39" i="2"/>
  <c r="X39" i="2"/>
  <c r="W39" i="2"/>
  <c r="V39" i="2"/>
  <c r="U39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B39" i="2"/>
  <c r="C39" i="2" s="1"/>
  <c r="EL39" i="2" s="1"/>
  <c r="ES38" i="2"/>
  <c r="BV38" i="2"/>
  <c r="BU38" i="2"/>
  <c r="BT38" i="2"/>
  <c r="BS38" i="2"/>
  <c r="BR38" i="2"/>
  <c r="BQ38" i="2"/>
  <c r="BP38" i="2"/>
  <c r="BO38" i="2"/>
  <c r="BN38" i="2"/>
  <c r="BM38" i="2"/>
  <c r="BL38" i="2"/>
  <c r="BK38" i="2"/>
  <c r="BJ38" i="2"/>
  <c r="BI38" i="2"/>
  <c r="BH38" i="2"/>
  <c r="BG38" i="2"/>
  <c r="BF38" i="2"/>
  <c r="BE38" i="2"/>
  <c r="BD38" i="2"/>
  <c r="BC38" i="2"/>
  <c r="BB38" i="2"/>
  <c r="BA38" i="2"/>
  <c r="AZ38" i="2"/>
  <c r="AY38" i="2"/>
  <c r="AX38" i="2"/>
  <c r="AW38" i="2"/>
  <c r="AV38" i="2"/>
  <c r="AU38" i="2"/>
  <c r="AT38" i="2"/>
  <c r="AS38" i="2"/>
  <c r="AR38" i="2"/>
  <c r="AQ38" i="2"/>
  <c r="AP38" i="2"/>
  <c r="AO38" i="2"/>
  <c r="AN38" i="2"/>
  <c r="AM38" i="2"/>
  <c r="AL38" i="2"/>
  <c r="AK38" i="2"/>
  <c r="AJ38" i="2"/>
  <c r="AI38" i="2"/>
  <c r="AH38" i="2"/>
  <c r="AG38" i="2"/>
  <c r="AF38" i="2"/>
  <c r="AE38" i="2"/>
  <c r="AD38" i="2"/>
  <c r="AC38" i="2"/>
  <c r="AB38" i="2"/>
  <c r="AA38" i="2"/>
  <c r="Z38" i="2"/>
  <c r="Y38" i="2"/>
  <c r="X38" i="2"/>
  <c r="W38" i="2"/>
  <c r="V38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B38" i="2"/>
  <c r="C38" i="2" s="1"/>
  <c r="EM38" i="2" s="1"/>
  <c r="ES37" i="2"/>
  <c r="BV37" i="2"/>
  <c r="BU37" i="2"/>
  <c r="BT37" i="2"/>
  <c r="BS37" i="2"/>
  <c r="BR37" i="2"/>
  <c r="BQ37" i="2"/>
  <c r="BP37" i="2"/>
  <c r="BO37" i="2"/>
  <c r="BN37" i="2"/>
  <c r="BM37" i="2"/>
  <c r="BL37" i="2"/>
  <c r="BK37" i="2"/>
  <c r="BJ37" i="2"/>
  <c r="BI37" i="2"/>
  <c r="BH37" i="2"/>
  <c r="BG37" i="2"/>
  <c r="BF37" i="2"/>
  <c r="BE37" i="2"/>
  <c r="BD37" i="2"/>
  <c r="BC37" i="2"/>
  <c r="BB37" i="2"/>
  <c r="BA37" i="2"/>
  <c r="AZ37" i="2"/>
  <c r="AY37" i="2"/>
  <c r="AX37" i="2"/>
  <c r="AW37" i="2"/>
  <c r="AV37" i="2"/>
  <c r="AU37" i="2"/>
  <c r="AT37" i="2"/>
  <c r="AS37" i="2"/>
  <c r="AR37" i="2"/>
  <c r="AQ37" i="2"/>
  <c r="AP37" i="2"/>
  <c r="AO37" i="2"/>
  <c r="AN37" i="2"/>
  <c r="AM37" i="2"/>
  <c r="AL37" i="2"/>
  <c r="AK37" i="2"/>
  <c r="AJ37" i="2"/>
  <c r="AI37" i="2"/>
  <c r="AH37" i="2"/>
  <c r="AG37" i="2"/>
  <c r="AF37" i="2"/>
  <c r="AE37" i="2"/>
  <c r="AD37" i="2"/>
  <c r="AC37" i="2"/>
  <c r="AB37" i="2"/>
  <c r="AA37" i="2"/>
  <c r="Z37" i="2"/>
  <c r="Y37" i="2"/>
  <c r="X37" i="2"/>
  <c r="W37" i="2"/>
  <c r="V37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B37" i="2"/>
  <c r="C37" i="2" s="1"/>
  <c r="ES36" i="2"/>
  <c r="BV36" i="2"/>
  <c r="BU36" i="2"/>
  <c r="BT36" i="2"/>
  <c r="BS36" i="2"/>
  <c r="BR36" i="2"/>
  <c r="BQ36" i="2"/>
  <c r="BP36" i="2"/>
  <c r="BO36" i="2"/>
  <c r="BN36" i="2"/>
  <c r="BM36" i="2"/>
  <c r="BL36" i="2"/>
  <c r="BK36" i="2"/>
  <c r="BJ36" i="2"/>
  <c r="BI36" i="2"/>
  <c r="BH36" i="2"/>
  <c r="BG36" i="2"/>
  <c r="BF36" i="2"/>
  <c r="BE36" i="2"/>
  <c r="BD36" i="2"/>
  <c r="BC36" i="2"/>
  <c r="BB36" i="2"/>
  <c r="BA36" i="2"/>
  <c r="AZ36" i="2"/>
  <c r="AY36" i="2"/>
  <c r="AX36" i="2"/>
  <c r="AW36" i="2"/>
  <c r="AV36" i="2"/>
  <c r="AU36" i="2"/>
  <c r="AT36" i="2"/>
  <c r="AS36" i="2"/>
  <c r="AR36" i="2"/>
  <c r="AQ36" i="2"/>
  <c r="AP36" i="2"/>
  <c r="AO36" i="2"/>
  <c r="AN36" i="2"/>
  <c r="AM36" i="2"/>
  <c r="AL36" i="2"/>
  <c r="AK36" i="2"/>
  <c r="AJ36" i="2"/>
  <c r="AI36" i="2"/>
  <c r="AH36" i="2"/>
  <c r="AG36" i="2"/>
  <c r="AF36" i="2"/>
  <c r="AE36" i="2"/>
  <c r="AD36" i="2"/>
  <c r="AC36" i="2"/>
  <c r="AB36" i="2"/>
  <c r="AA36" i="2"/>
  <c r="Z36" i="2"/>
  <c r="Y36" i="2"/>
  <c r="X36" i="2"/>
  <c r="W36" i="2"/>
  <c r="V36" i="2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B36" i="2"/>
  <c r="C36" i="2" s="1"/>
  <c r="DU36" i="2" s="1"/>
  <c r="ES35" i="2"/>
  <c r="BV35" i="2"/>
  <c r="BU35" i="2"/>
  <c r="BT35" i="2"/>
  <c r="BS35" i="2"/>
  <c r="BR35" i="2"/>
  <c r="BQ35" i="2"/>
  <c r="BP35" i="2"/>
  <c r="BO35" i="2"/>
  <c r="BN35" i="2"/>
  <c r="BM35" i="2"/>
  <c r="BL35" i="2"/>
  <c r="BK35" i="2"/>
  <c r="BJ35" i="2"/>
  <c r="BI35" i="2"/>
  <c r="BH35" i="2"/>
  <c r="BG35" i="2"/>
  <c r="BF35" i="2"/>
  <c r="BE35" i="2"/>
  <c r="BD35" i="2"/>
  <c r="BC35" i="2"/>
  <c r="BB35" i="2"/>
  <c r="BA35" i="2"/>
  <c r="AZ35" i="2"/>
  <c r="AY35" i="2"/>
  <c r="AX35" i="2"/>
  <c r="AW35" i="2"/>
  <c r="AV35" i="2"/>
  <c r="AU35" i="2"/>
  <c r="AT35" i="2"/>
  <c r="AS35" i="2"/>
  <c r="AR35" i="2"/>
  <c r="AQ35" i="2"/>
  <c r="AP35" i="2"/>
  <c r="AO35" i="2"/>
  <c r="AN35" i="2"/>
  <c r="AM35" i="2"/>
  <c r="AL35" i="2"/>
  <c r="AK35" i="2"/>
  <c r="AJ35" i="2"/>
  <c r="AI35" i="2"/>
  <c r="AH35" i="2"/>
  <c r="AG35" i="2"/>
  <c r="AF35" i="2"/>
  <c r="AE35" i="2"/>
  <c r="AD35" i="2"/>
  <c r="AC35" i="2"/>
  <c r="AB35" i="2"/>
  <c r="AA35" i="2"/>
  <c r="Z35" i="2"/>
  <c r="Y35" i="2"/>
  <c r="X35" i="2"/>
  <c r="W35" i="2"/>
  <c r="V35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B35" i="2"/>
  <c r="C35" i="2" s="1"/>
  <c r="EP35" i="2" s="1"/>
  <c r="ES34" i="2"/>
  <c r="BV34" i="2"/>
  <c r="BU34" i="2"/>
  <c r="BT34" i="2"/>
  <c r="BS34" i="2"/>
  <c r="BR34" i="2"/>
  <c r="BQ34" i="2"/>
  <c r="BP34" i="2"/>
  <c r="BO34" i="2"/>
  <c r="BN34" i="2"/>
  <c r="BM34" i="2"/>
  <c r="BL34" i="2"/>
  <c r="BK34" i="2"/>
  <c r="BJ34" i="2"/>
  <c r="BI34" i="2"/>
  <c r="BH34" i="2"/>
  <c r="BG34" i="2"/>
  <c r="BF34" i="2"/>
  <c r="BE34" i="2"/>
  <c r="BD34" i="2"/>
  <c r="BC34" i="2"/>
  <c r="BB34" i="2"/>
  <c r="BA34" i="2"/>
  <c r="AZ34" i="2"/>
  <c r="AY34" i="2"/>
  <c r="AX34" i="2"/>
  <c r="AW34" i="2"/>
  <c r="AV34" i="2"/>
  <c r="AU34" i="2"/>
  <c r="AT34" i="2"/>
  <c r="AS34" i="2"/>
  <c r="AR34" i="2"/>
  <c r="AQ34" i="2"/>
  <c r="AP34" i="2"/>
  <c r="AO34" i="2"/>
  <c r="AN34" i="2"/>
  <c r="AM34" i="2"/>
  <c r="AL34" i="2"/>
  <c r="AK34" i="2"/>
  <c r="AJ34" i="2"/>
  <c r="AI34" i="2"/>
  <c r="AH34" i="2"/>
  <c r="AG34" i="2"/>
  <c r="AF34" i="2"/>
  <c r="AE34" i="2"/>
  <c r="AD34" i="2"/>
  <c r="AC34" i="2"/>
  <c r="AB34" i="2"/>
  <c r="AA34" i="2"/>
  <c r="Z34" i="2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B34" i="2"/>
  <c r="C34" i="2" s="1"/>
  <c r="EM34" i="2" s="1"/>
  <c r="ES33" i="2"/>
  <c r="BV33" i="2"/>
  <c r="BU33" i="2"/>
  <c r="BT33" i="2"/>
  <c r="BS33" i="2"/>
  <c r="BR33" i="2"/>
  <c r="BQ33" i="2"/>
  <c r="BP33" i="2"/>
  <c r="BO33" i="2"/>
  <c r="BN33" i="2"/>
  <c r="BM33" i="2"/>
  <c r="BL33" i="2"/>
  <c r="BK33" i="2"/>
  <c r="BJ33" i="2"/>
  <c r="BI33" i="2"/>
  <c r="BH33" i="2"/>
  <c r="BG33" i="2"/>
  <c r="BF33" i="2"/>
  <c r="BE33" i="2"/>
  <c r="BD33" i="2"/>
  <c r="BC33" i="2"/>
  <c r="BB33" i="2"/>
  <c r="BA33" i="2"/>
  <c r="AZ33" i="2"/>
  <c r="AY33" i="2"/>
  <c r="AX33" i="2"/>
  <c r="AW33" i="2"/>
  <c r="AV33" i="2"/>
  <c r="AU33" i="2"/>
  <c r="AT33" i="2"/>
  <c r="AS33" i="2"/>
  <c r="AR33" i="2"/>
  <c r="AQ33" i="2"/>
  <c r="AP33" i="2"/>
  <c r="AO33" i="2"/>
  <c r="AN33" i="2"/>
  <c r="AM33" i="2"/>
  <c r="AL33" i="2"/>
  <c r="AK33" i="2"/>
  <c r="AJ33" i="2"/>
  <c r="AI33" i="2"/>
  <c r="AH33" i="2"/>
  <c r="AG33" i="2"/>
  <c r="AF33" i="2"/>
  <c r="AE33" i="2"/>
  <c r="AD33" i="2"/>
  <c r="AC33" i="2"/>
  <c r="AB33" i="2"/>
  <c r="AA33" i="2"/>
  <c r="Z33" i="2"/>
  <c r="Y33" i="2"/>
  <c r="X33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B33" i="2"/>
  <c r="C33" i="2" s="1"/>
  <c r="ES32" i="2"/>
  <c r="BV32" i="2"/>
  <c r="BU32" i="2"/>
  <c r="BT32" i="2"/>
  <c r="BS32" i="2"/>
  <c r="BR32" i="2"/>
  <c r="BQ32" i="2"/>
  <c r="BP32" i="2"/>
  <c r="BO32" i="2"/>
  <c r="BN32" i="2"/>
  <c r="BM32" i="2"/>
  <c r="BL32" i="2"/>
  <c r="BK32" i="2"/>
  <c r="BJ32" i="2"/>
  <c r="BI32" i="2"/>
  <c r="BH32" i="2"/>
  <c r="BG32" i="2"/>
  <c r="BF32" i="2"/>
  <c r="BE32" i="2"/>
  <c r="BD32" i="2"/>
  <c r="BC32" i="2"/>
  <c r="BB32" i="2"/>
  <c r="BA32" i="2"/>
  <c r="AZ32" i="2"/>
  <c r="AY32" i="2"/>
  <c r="AX32" i="2"/>
  <c r="AW32" i="2"/>
  <c r="AV32" i="2"/>
  <c r="AU32" i="2"/>
  <c r="AT32" i="2"/>
  <c r="AS32" i="2"/>
  <c r="AR32" i="2"/>
  <c r="AQ32" i="2"/>
  <c r="AP32" i="2"/>
  <c r="AO32" i="2"/>
  <c r="AN32" i="2"/>
  <c r="AM32" i="2"/>
  <c r="AL32" i="2"/>
  <c r="AK32" i="2"/>
  <c r="AJ32" i="2"/>
  <c r="AI32" i="2"/>
  <c r="AH32" i="2"/>
  <c r="AG32" i="2"/>
  <c r="AF32" i="2"/>
  <c r="AE32" i="2"/>
  <c r="AD32" i="2"/>
  <c r="AC32" i="2"/>
  <c r="AB32" i="2"/>
  <c r="AA32" i="2"/>
  <c r="Z32" i="2"/>
  <c r="Y32" i="2"/>
  <c r="X32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B32" i="2"/>
  <c r="C32" i="2" s="1"/>
  <c r="DE32" i="2" s="1"/>
  <c r="ES31" i="2"/>
  <c r="BV31" i="2"/>
  <c r="BU31" i="2"/>
  <c r="BT31" i="2"/>
  <c r="BS31" i="2"/>
  <c r="BR31" i="2"/>
  <c r="BQ31" i="2"/>
  <c r="BP31" i="2"/>
  <c r="BO31" i="2"/>
  <c r="BN31" i="2"/>
  <c r="BM31" i="2"/>
  <c r="BL31" i="2"/>
  <c r="BK31" i="2"/>
  <c r="BJ31" i="2"/>
  <c r="BI31" i="2"/>
  <c r="BH31" i="2"/>
  <c r="BG31" i="2"/>
  <c r="BF31" i="2"/>
  <c r="BE31" i="2"/>
  <c r="BD31" i="2"/>
  <c r="BC31" i="2"/>
  <c r="BB31" i="2"/>
  <c r="BA31" i="2"/>
  <c r="AZ31" i="2"/>
  <c r="AY31" i="2"/>
  <c r="AX31" i="2"/>
  <c r="AW31" i="2"/>
  <c r="AV31" i="2"/>
  <c r="AU31" i="2"/>
  <c r="AT31" i="2"/>
  <c r="AS31" i="2"/>
  <c r="AR31" i="2"/>
  <c r="AQ31" i="2"/>
  <c r="AP31" i="2"/>
  <c r="AO31" i="2"/>
  <c r="AN31" i="2"/>
  <c r="AM31" i="2"/>
  <c r="AL31" i="2"/>
  <c r="AK31" i="2"/>
  <c r="AJ31" i="2"/>
  <c r="AI31" i="2"/>
  <c r="AH31" i="2"/>
  <c r="AG31" i="2"/>
  <c r="AF31" i="2"/>
  <c r="AE31" i="2"/>
  <c r="AD31" i="2"/>
  <c r="AC31" i="2"/>
  <c r="AB31" i="2"/>
  <c r="AA31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B31" i="2"/>
  <c r="C31" i="2" s="1"/>
  <c r="EP31" i="2" s="1"/>
  <c r="ES30" i="2"/>
  <c r="BV30" i="2"/>
  <c r="BU30" i="2"/>
  <c r="BT30" i="2"/>
  <c r="BS30" i="2"/>
  <c r="BR30" i="2"/>
  <c r="BQ30" i="2"/>
  <c r="BP30" i="2"/>
  <c r="BO30" i="2"/>
  <c r="BN30" i="2"/>
  <c r="BM30" i="2"/>
  <c r="BL30" i="2"/>
  <c r="BK30" i="2"/>
  <c r="BJ30" i="2"/>
  <c r="BI30" i="2"/>
  <c r="BH30" i="2"/>
  <c r="BG30" i="2"/>
  <c r="BF30" i="2"/>
  <c r="BE30" i="2"/>
  <c r="BD30" i="2"/>
  <c r="BC30" i="2"/>
  <c r="BB30" i="2"/>
  <c r="BA30" i="2"/>
  <c r="AZ30" i="2"/>
  <c r="AY30" i="2"/>
  <c r="AX30" i="2"/>
  <c r="AW30" i="2"/>
  <c r="AV30" i="2"/>
  <c r="AU30" i="2"/>
  <c r="AT30" i="2"/>
  <c r="AS30" i="2"/>
  <c r="AR30" i="2"/>
  <c r="AQ30" i="2"/>
  <c r="AP30" i="2"/>
  <c r="AO30" i="2"/>
  <c r="AN30" i="2"/>
  <c r="AM30" i="2"/>
  <c r="AL30" i="2"/>
  <c r="AK30" i="2"/>
  <c r="AJ30" i="2"/>
  <c r="AI30" i="2"/>
  <c r="AH30" i="2"/>
  <c r="AG30" i="2"/>
  <c r="AF30" i="2"/>
  <c r="AE30" i="2"/>
  <c r="AD30" i="2"/>
  <c r="AC30" i="2"/>
  <c r="AB30" i="2"/>
  <c r="AA30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B30" i="2"/>
  <c r="C30" i="2" s="1"/>
  <c r="ES29" i="2"/>
  <c r="BV29" i="2"/>
  <c r="BU29" i="2"/>
  <c r="BT29" i="2"/>
  <c r="BS29" i="2"/>
  <c r="BR29" i="2"/>
  <c r="BQ29" i="2"/>
  <c r="BP29" i="2"/>
  <c r="BO29" i="2"/>
  <c r="BN29" i="2"/>
  <c r="BM29" i="2"/>
  <c r="BL29" i="2"/>
  <c r="BK29" i="2"/>
  <c r="BJ29" i="2"/>
  <c r="BI29" i="2"/>
  <c r="BH29" i="2"/>
  <c r="BG29" i="2"/>
  <c r="BF29" i="2"/>
  <c r="BE29" i="2"/>
  <c r="BD29" i="2"/>
  <c r="BC29" i="2"/>
  <c r="BB29" i="2"/>
  <c r="BA29" i="2"/>
  <c r="AZ29" i="2"/>
  <c r="AY29" i="2"/>
  <c r="AX29" i="2"/>
  <c r="AW29" i="2"/>
  <c r="AV29" i="2"/>
  <c r="AU29" i="2"/>
  <c r="AT29" i="2"/>
  <c r="AS29" i="2"/>
  <c r="AR29" i="2"/>
  <c r="AQ29" i="2"/>
  <c r="AP29" i="2"/>
  <c r="AO29" i="2"/>
  <c r="AN29" i="2"/>
  <c r="AM29" i="2"/>
  <c r="AL29" i="2"/>
  <c r="AK29" i="2"/>
  <c r="AJ29" i="2"/>
  <c r="AI29" i="2"/>
  <c r="AH29" i="2"/>
  <c r="AG29" i="2"/>
  <c r="AF29" i="2"/>
  <c r="AE29" i="2"/>
  <c r="AD29" i="2"/>
  <c r="AC29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B29" i="2"/>
  <c r="C29" i="2" s="1"/>
  <c r="CP29" i="2" s="1"/>
  <c r="ES28" i="2"/>
  <c r="BV28" i="2"/>
  <c r="BU28" i="2"/>
  <c r="BT28" i="2"/>
  <c r="BS28" i="2"/>
  <c r="BR28" i="2"/>
  <c r="BQ28" i="2"/>
  <c r="BP28" i="2"/>
  <c r="BO28" i="2"/>
  <c r="BN28" i="2"/>
  <c r="BM28" i="2"/>
  <c r="BL28" i="2"/>
  <c r="BK28" i="2"/>
  <c r="BJ28" i="2"/>
  <c r="BI28" i="2"/>
  <c r="BH28" i="2"/>
  <c r="BG28" i="2"/>
  <c r="BF28" i="2"/>
  <c r="BE28" i="2"/>
  <c r="BD28" i="2"/>
  <c r="BC28" i="2"/>
  <c r="BB28" i="2"/>
  <c r="BA28" i="2"/>
  <c r="AZ28" i="2"/>
  <c r="AY28" i="2"/>
  <c r="AX28" i="2"/>
  <c r="AW28" i="2"/>
  <c r="AV28" i="2"/>
  <c r="AU28" i="2"/>
  <c r="AT28" i="2"/>
  <c r="AS28" i="2"/>
  <c r="AR28" i="2"/>
  <c r="AQ28" i="2"/>
  <c r="AP28" i="2"/>
  <c r="AO28" i="2"/>
  <c r="AN28" i="2"/>
  <c r="AM28" i="2"/>
  <c r="AL28" i="2"/>
  <c r="AK28" i="2"/>
  <c r="AJ28" i="2"/>
  <c r="AI28" i="2"/>
  <c r="AH28" i="2"/>
  <c r="AG28" i="2"/>
  <c r="AF28" i="2"/>
  <c r="AE28" i="2"/>
  <c r="AD28" i="2"/>
  <c r="AC28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B28" i="2"/>
  <c r="C28" i="2" s="1"/>
  <c r="EI28" i="2" s="1"/>
  <c r="ES27" i="2"/>
  <c r="BV27" i="2"/>
  <c r="BU27" i="2"/>
  <c r="BT27" i="2"/>
  <c r="BS27" i="2"/>
  <c r="BR27" i="2"/>
  <c r="BQ27" i="2"/>
  <c r="BP27" i="2"/>
  <c r="BO27" i="2"/>
  <c r="BN27" i="2"/>
  <c r="BM27" i="2"/>
  <c r="BL27" i="2"/>
  <c r="BK27" i="2"/>
  <c r="BJ27" i="2"/>
  <c r="BI27" i="2"/>
  <c r="BH27" i="2"/>
  <c r="BG27" i="2"/>
  <c r="BF27" i="2"/>
  <c r="BE27" i="2"/>
  <c r="BD27" i="2"/>
  <c r="BC27" i="2"/>
  <c r="BB27" i="2"/>
  <c r="BA27" i="2"/>
  <c r="AZ27" i="2"/>
  <c r="AY27" i="2"/>
  <c r="AX27" i="2"/>
  <c r="AW27" i="2"/>
  <c r="AV27" i="2"/>
  <c r="AU27" i="2"/>
  <c r="AT27" i="2"/>
  <c r="AS27" i="2"/>
  <c r="AR27" i="2"/>
  <c r="AQ27" i="2"/>
  <c r="AP27" i="2"/>
  <c r="AO27" i="2"/>
  <c r="AN27" i="2"/>
  <c r="AM27" i="2"/>
  <c r="AL27" i="2"/>
  <c r="AK27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B27" i="2"/>
  <c r="C27" i="2" s="1"/>
  <c r="EF27" i="2" s="1"/>
  <c r="ES26" i="2"/>
  <c r="BV26" i="2"/>
  <c r="BU26" i="2"/>
  <c r="BT26" i="2"/>
  <c r="BS26" i="2"/>
  <c r="BR26" i="2"/>
  <c r="BQ26" i="2"/>
  <c r="BP26" i="2"/>
  <c r="BO26" i="2"/>
  <c r="BN26" i="2"/>
  <c r="BM26" i="2"/>
  <c r="BL26" i="2"/>
  <c r="BK26" i="2"/>
  <c r="BJ26" i="2"/>
  <c r="BI26" i="2"/>
  <c r="BH26" i="2"/>
  <c r="BG26" i="2"/>
  <c r="BF26" i="2"/>
  <c r="BE26" i="2"/>
  <c r="BD26" i="2"/>
  <c r="BC26" i="2"/>
  <c r="BB26" i="2"/>
  <c r="BA26" i="2"/>
  <c r="AZ26" i="2"/>
  <c r="AY26" i="2"/>
  <c r="AX26" i="2"/>
  <c r="AW26" i="2"/>
  <c r="AV26" i="2"/>
  <c r="AU26" i="2"/>
  <c r="AT26" i="2"/>
  <c r="AS26" i="2"/>
  <c r="AR26" i="2"/>
  <c r="AQ26" i="2"/>
  <c r="AP26" i="2"/>
  <c r="AO26" i="2"/>
  <c r="AN26" i="2"/>
  <c r="AM26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B26" i="2"/>
  <c r="C26" i="2" s="1"/>
  <c r="DQ26" i="2" s="1"/>
  <c r="ES25" i="2"/>
  <c r="BV25" i="2"/>
  <c r="BU25" i="2"/>
  <c r="BT25" i="2"/>
  <c r="BS25" i="2"/>
  <c r="BR25" i="2"/>
  <c r="BQ25" i="2"/>
  <c r="BP25" i="2"/>
  <c r="BO25" i="2"/>
  <c r="BN25" i="2"/>
  <c r="BM25" i="2"/>
  <c r="BL25" i="2"/>
  <c r="BK25" i="2"/>
  <c r="BJ25" i="2"/>
  <c r="BI25" i="2"/>
  <c r="BH25" i="2"/>
  <c r="BG25" i="2"/>
  <c r="BF25" i="2"/>
  <c r="BE25" i="2"/>
  <c r="BD25" i="2"/>
  <c r="BC25" i="2"/>
  <c r="BB25" i="2"/>
  <c r="BA25" i="2"/>
  <c r="AZ25" i="2"/>
  <c r="AY25" i="2"/>
  <c r="AX25" i="2"/>
  <c r="AW25" i="2"/>
  <c r="AV25" i="2"/>
  <c r="AU25" i="2"/>
  <c r="AT25" i="2"/>
  <c r="AS25" i="2"/>
  <c r="AR25" i="2"/>
  <c r="AQ25" i="2"/>
  <c r="AP25" i="2"/>
  <c r="AO25" i="2"/>
  <c r="AN25" i="2"/>
  <c r="AM25" i="2"/>
  <c r="AL25" i="2"/>
  <c r="AK25" i="2"/>
  <c r="AJ25" i="2"/>
  <c r="AI25" i="2"/>
  <c r="AH25" i="2"/>
  <c r="AG25" i="2"/>
  <c r="AF25" i="2"/>
  <c r="AE25" i="2"/>
  <c r="AD25" i="2"/>
  <c r="AC25" i="2"/>
  <c r="AB25" i="2"/>
  <c r="AA25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B25" i="2"/>
  <c r="C25" i="2" s="1"/>
  <c r="ED25" i="2" s="1"/>
  <c r="ES24" i="2"/>
  <c r="BV24" i="2"/>
  <c r="BU24" i="2"/>
  <c r="BT24" i="2"/>
  <c r="BS24" i="2"/>
  <c r="BR24" i="2"/>
  <c r="BQ24" i="2"/>
  <c r="BP24" i="2"/>
  <c r="BO24" i="2"/>
  <c r="BN24" i="2"/>
  <c r="BM24" i="2"/>
  <c r="BL24" i="2"/>
  <c r="BK24" i="2"/>
  <c r="BJ24" i="2"/>
  <c r="BI24" i="2"/>
  <c r="BH24" i="2"/>
  <c r="BG24" i="2"/>
  <c r="BF24" i="2"/>
  <c r="BE24" i="2"/>
  <c r="BD24" i="2"/>
  <c r="BC24" i="2"/>
  <c r="BB24" i="2"/>
  <c r="BA24" i="2"/>
  <c r="AZ24" i="2"/>
  <c r="AY24" i="2"/>
  <c r="AX24" i="2"/>
  <c r="AW24" i="2"/>
  <c r="AV24" i="2"/>
  <c r="AU24" i="2"/>
  <c r="AT24" i="2"/>
  <c r="AS24" i="2"/>
  <c r="AR24" i="2"/>
  <c r="AQ24" i="2"/>
  <c r="AP24" i="2"/>
  <c r="AO24" i="2"/>
  <c r="AN24" i="2"/>
  <c r="AM24" i="2"/>
  <c r="AL24" i="2"/>
  <c r="AK24" i="2"/>
  <c r="AJ24" i="2"/>
  <c r="AI24" i="2"/>
  <c r="AH24" i="2"/>
  <c r="AG24" i="2"/>
  <c r="AF24" i="2"/>
  <c r="AE24" i="2"/>
  <c r="AD24" i="2"/>
  <c r="AC24" i="2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B24" i="2"/>
  <c r="C24" i="2" s="1"/>
  <c r="EE24" i="2" s="1"/>
  <c r="ES23" i="2"/>
  <c r="BV23" i="2"/>
  <c r="BU23" i="2"/>
  <c r="BT23" i="2"/>
  <c r="BS23" i="2"/>
  <c r="BR23" i="2"/>
  <c r="BQ23" i="2"/>
  <c r="BP23" i="2"/>
  <c r="BO23" i="2"/>
  <c r="BN23" i="2"/>
  <c r="BM23" i="2"/>
  <c r="BL23" i="2"/>
  <c r="BK23" i="2"/>
  <c r="BJ23" i="2"/>
  <c r="BI23" i="2"/>
  <c r="BH23" i="2"/>
  <c r="BG23" i="2"/>
  <c r="BF23" i="2"/>
  <c r="BE23" i="2"/>
  <c r="BD23" i="2"/>
  <c r="BC23" i="2"/>
  <c r="BB23" i="2"/>
  <c r="BA23" i="2"/>
  <c r="AZ23" i="2"/>
  <c r="AY23" i="2"/>
  <c r="AX23" i="2"/>
  <c r="AW23" i="2"/>
  <c r="AV23" i="2"/>
  <c r="AU23" i="2"/>
  <c r="AT23" i="2"/>
  <c r="AS23" i="2"/>
  <c r="AR23" i="2"/>
  <c r="AQ23" i="2"/>
  <c r="AP23" i="2"/>
  <c r="AO23" i="2"/>
  <c r="AN23" i="2"/>
  <c r="AM23" i="2"/>
  <c r="AL23" i="2"/>
  <c r="AK23" i="2"/>
  <c r="AJ23" i="2"/>
  <c r="AI23" i="2"/>
  <c r="AH23" i="2"/>
  <c r="AG23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B23" i="2"/>
  <c r="C23" i="2" s="1"/>
  <c r="ES22" i="2"/>
  <c r="BV22" i="2"/>
  <c r="BU22" i="2"/>
  <c r="BT22" i="2"/>
  <c r="BS22" i="2"/>
  <c r="BR22" i="2"/>
  <c r="BQ22" i="2"/>
  <c r="BP22" i="2"/>
  <c r="BO22" i="2"/>
  <c r="BN22" i="2"/>
  <c r="BM22" i="2"/>
  <c r="BL22" i="2"/>
  <c r="BK22" i="2"/>
  <c r="BJ22" i="2"/>
  <c r="BI22" i="2"/>
  <c r="BH22" i="2"/>
  <c r="BG22" i="2"/>
  <c r="BF22" i="2"/>
  <c r="BE22" i="2"/>
  <c r="BD22" i="2"/>
  <c r="BC22" i="2"/>
  <c r="BB22" i="2"/>
  <c r="BA22" i="2"/>
  <c r="AZ22" i="2"/>
  <c r="AY22" i="2"/>
  <c r="AX22" i="2"/>
  <c r="AW22" i="2"/>
  <c r="AV22" i="2"/>
  <c r="AU22" i="2"/>
  <c r="AT22" i="2"/>
  <c r="AS22" i="2"/>
  <c r="AR22" i="2"/>
  <c r="AQ22" i="2"/>
  <c r="AP22" i="2"/>
  <c r="AO22" i="2"/>
  <c r="AN22" i="2"/>
  <c r="AM22" i="2"/>
  <c r="AL22" i="2"/>
  <c r="AK22" i="2"/>
  <c r="AJ22" i="2"/>
  <c r="AI22" i="2"/>
  <c r="AH22" i="2"/>
  <c r="AG22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B22" i="2"/>
  <c r="C22" i="2" s="1"/>
  <c r="EC22" i="2" s="1"/>
  <c r="ES21" i="2"/>
  <c r="BV21" i="2"/>
  <c r="BU21" i="2"/>
  <c r="BT21" i="2"/>
  <c r="BS21" i="2"/>
  <c r="BR21" i="2"/>
  <c r="BQ21" i="2"/>
  <c r="BP21" i="2"/>
  <c r="BO21" i="2"/>
  <c r="BN21" i="2"/>
  <c r="BM21" i="2"/>
  <c r="BL21" i="2"/>
  <c r="BK21" i="2"/>
  <c r="BJ21" i="2"/>
  <c r="BI21" i="2"/>
  <c r="BH21" i="2"/>
  <c r="BG21" i="2"/>
  <c r="BF21" i="2"/>
  <c r="BE21" i="2"/>
  <c r="BD21" i="2"/>
  <c r="BC21" i="2"/>
  <c r="BB21" i="2"/>
  <c r="BA21" i="2"/>
  <c r="AZ21" i="2"/>
  <c r="AY21" i="2"/>
  <c r="AX21" i="2"/>
  <c r="AW21" i="2"/>
  <c r="AV21" i="2"/>
  <c r="AU21" i="2"/>
  <c r="AT21" i="2"/>
  <c r="AS21" i="2"/>
  <c r="AR21" i="2"/>
  <c r="AQ21" i="2"/>
  <c r="AP21" i="2"/>
  <c r="AO21" i="2"/>
  <c r="AN21" i="2"/>
  <c r="AM21" i="2"/>
  <c r="AL21" i="2"/>
  <c r="AK21" i="2"/>
  <c r="AJ21" i="2"/>
  <c r="AI21" i="2"/>
  <c r="AH21" i="2"/>
  <c r="AG21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B21" i="2"/>
  <c r="C21" i="2" s="1"/>
  <c r="DK21" i="2" s="1"/>
  <c r="ES20" i="2"/>
  <c r="BV20" i="2"/>
  <c r="BU20" i="2"/>
  <c r="BT20" i="2"/>
  <c r="BS20" i="2"/>
  <c r="BR20" i="2"/>
  <c r="BQ20" i="2"/>
  <c r="BP20" i="2"/>
  <c r="BO20" i="2"/>
  <c r="BN20" i="2"/>
  <c r="BM20" i="2"/>
  <c r="BL20" i="2"/>
  <c r="BK20" i="2"/>
  <c r="BJ20" i="2"/>
  <c r="BI20" i="2"/>
  <c r="BH20" i="2"/>
  <c r="BG20" i="2"/>
  <c r="BF20" i="2"/>
  <c r="BE20" i="2"/>
  <c r="BD20" i="2"/>
  <c r="BC20" i="2"/>
  <c r="BB20" i="2"/>
  <c r="BA20" i="2"/>
  <c r="AZ20" i="2"/>
  <c r="AY20" i="2"/>
  <c r="AX20" i="2"/>
  <c r="AW20" i="2"/>
  <c r="AV20" i="2"/>
  <c r="AU20" i="2"/>
  <c r="AT20" i="2"/>
  <c r="AS20" i="2"/>
  <c r="AR20" i="2"/>
  <c r="AQ20" i="2"/>
  <c r="AP20" i="2"/>
  <c r="AO20" i="2"/>
  <c r="AN20" i="2"/>
  <c r="AM20" i="2"/>
  <c r="AL20" i="2"/>
  <c r="AK20" i="2"/>
  <c r="AJ20" i="2"/>
  <c r="AI20" i="2"/>
  <c r="AH20" i="2"/>
  <c r="AG20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B20" i="2"/>
  <c r="C20" i="2" s="1"/>
  <c r="EF20" i="2" s="1"/>
  <c r="ES19" i="2"/>
  <c r="BV19" i="2"/>
  <c r="BU19" i="2"/>
  <c r="BT19" i="2"/>
  <c r="BS19" i="2"/>
  <c r="BR19" i="2"/>
  <c r="BQ19" i="2"/>
  <c r="BP19" i="2"/>
  <c r="BO19" i="2"/>
  <c r="BN19" i="2"/>
  <c r="BM19" i="2"/>
  <c r="BL19" i="2"/>
  <c r="BK19" i="2"/>
  <c r="BJ19" i="2"/>
  <c r="BI19" i="2"/>
  <c r="BH19" i="2"/>
  <c r="BG19" i="2"/>
  <c r="BF19" i="2"/>
  <c r="BE19" i="2"/>
  <c r="BD19" i="2"/>
  <c r="BC19" i="2"/>
  <c r="BB19" i="2"/>
  <c r="BA19" i="2"/>
  <c r="AZ19" i="2"/>
  <c r="AY19" i="2"/>
  <c r="AX19" i="2"/>
  <c r="AW19" i="2"/>
  <c r="AV19" i="2"/>
  <c r="AU19" i="2"/>
  <c r="AT19" i="2"/>
  <c r="AS19" i="2"/>
  <c r="AR19" i="2"/>
  <c r="AQ19" i="2"/>
  <c r="AP19" i="2"/>
  <c r="AO19" i="2"/>
  <c r="AN19" i="2"/>
  <c r="AM19" i="2"/>
  <c r="AL19" i="2"/>
  <c r="AK19" i="2"/>
  <c r="AJ19" i="2"/>
  <c r="AI19" i="2"/>
  <c r="AH19" i="2"/>
  <c r="AG19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B19" i="2"/>
  <c r="C19" i="2" s="1"/>
  <c r="EG19" i="2" s="1"/>
  <c r="ES18" i="2"/>
  <c r="BV18" i="2"/>
  <c r="BU18" i="2"/>
  <c r="BT18" i="2"/>
  <c r="BS18" i="2"/>
  <c r="BR18" i="2"/>
  <c r="BQ18" i="2"/>
  <c r="BP18" i="2"/>
  <c r="BO18" i="2"/>
  <c r="BN18" i="2"/>
  <c r="BM18" i="2"/>
  <c r="BL18" i="2"/>
  <c r="BK18" i="2"/>
  <c r="BJ18" i="2"/>
  <c r="BI18" i="2"/>
  <c r="BH18" i="2"/>
  <c r="BG18" i="2"/>
  <c r="BF18" i="2"/>
  <c r="BE18" i="2"/>
  <c r="BD18" i="2"/>
  <c r="BC18" i="2"/>
  <c r="BB18" i="2"/>
  <c r="BA18" i="2"/>
  <c r="AZ18" i="2"/>
  <c r="AY18" i="2"/>
  <c r="AX18" i="2"/>
  <c r="AW18" i="2"/>
  <c r="AV18" i="2"/>
  <c r="AU18" i="2"/>
  <c r="AT18" i="2"/>
  <c r="AS18" i="2"/>
  <c r="AR18" i="2"/>
  <c r="AQ18" i="2"/>
  <c r="AP18" i="2"/>
  <c r="AO18" i="2"/>
  <c r="AN18" i="2"/>
  <c r="AM18" i="2"/>
  <c r="AL18" i="2"/>
  <c r="AK18" i="2"/>
  <c r="AJ18" i="2"/>
  <c r="AI18" i="2"/>
  <c r="AH18" i="2"/>
  <c r="AG18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B18" i="2"/>
  <c r="C18" i="2" s="1"/>
  <c r="ES17" i="2"/>
  <c r="BV17" i="2"/>
  <c r="BU17" i="2"/>
  <c r="BT17" i="2"/>
  <c r="BS17" i="2"/>
  <c r="BR17" i="2"/>
  <c r="BQ17" i="2"/>
  <c r="BP17" i="2"/>
  <c r="BO17" i="2"/>
  <c r="BN17" i="2"/>
  <c r="BM17" i="2"/>
  <c r="BL17" i="2"/>
  <c r="BK17" i="2"/>
  <c r="BJ17" i="2"/>
  <c r="BI17" i="2"/>
  <c r="BH17" i="2"/>
  <c r="BG17" i="2"/>
  <c r="BF17" i="2"/>
  <c r="BE17" i="2"/>
  <c r="BD17" i="2"/>
  <c r="BC17" i="2"/>
  <c r="BB17" i="2"/>
  <c r="BA17" i="2"/>
  <c r="AZ17" i="2"/>
  <c r="AY17" i="2"/>
  <c r="AX17" i="2"/>
  <c r="AW17" i="2"/>
  <c r="AV17" i="2"/>
  <c r="AU17" i="2"/>
  <c r="AT17" i="2"/>
  <c r="AS17" i="2"/>
  <c r="AR17" i="2"/>
  <c r="AQ17" i="2"/>
  <c r="AP17" i="2"/>
  <c r="AO17" i="2"/>
  <c r="AN17" i="2"/>
  <c r="AM17" i="2"/>
  <c r="AL17" i="2"/>
  <c r="AK17" i="2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B17" i="2"/>
  <c r="C17" i="2" s="1"/>
  <c r="EM17" i="2" s="1"/>
  <c r="ES16" i="2"/>
  <c r="BV16" i="2"/>
  <c r="BU16" i="2"/>
  <c r="BT16" i="2"/>
  <c r="BS16" i="2"/>
  <c r="BR16" i="2"/>
  <c r="BQ16" i="2"/>
  <c r="BP16" i="2"/>
  <c r="BO16" i="2"/>
  <c r="BN16" i="2"/>
  <c r="BM16" i="2"/>
  <c r="BL16" i="2"/>
  <c r="BK16" i="2"/>
  <c r="BJ16" i="2"/>
  <c r="BI16" i="2"/>
  <c r="BH16" i="2"/>
  <c r="BG16" i="2"/>
  <c r="BF16" i="2"/>
  <c r="BE16" i="2"/>
  <c r="BD16" i="2"/>
  <c r="BC16" i="2"/>
  <c r="BB16" i="2"/>
  <c r="BA16" i="2"/>
  <c r="AZ16" i="2"/>
  <c r="AY16" i="2"/>
  <c r="AX16" i="2"/>
  <c r="AW16" i="2"/>
  <c r="AV16" i="2"/>
  <c r="AU16" i="2"/>
  <c r="AT16" i="2"/>
  <c r="AS16" i="2"/>
  <c r="AR16" i="2"/>
  <c r="AQ16" i="2"/>
  <c r="AP16" i="2"/>
  <c r="AO16" i="2"/>
  <c r="AN16" i="2"/>
  <c r="AM16" i="2"/>
  <c r="AL16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B16" i="2"/>
  <c r="C16" i="2" s="1"/>
  <c r="EF16" i="2" s="1"/>
  <c r="ES15" i="2"/>
  <c r="BV15" i="2"/>
  <c r="BU15" i="2"/>
  <c r="BT15" i="2"/>
  <c r="BS15" i="2"/>
  <c r="BR15" i="2"/>
  <c r="BQ15" i="2"/>
  <c r="BP15" i="2"/>
  <c r="BO15" i="2"/>
  <c r="BN15" i="2"/>
  <c r="BM15" i="2"/>
  <c r="BL15" i="2"/>
  <c r="BK15" i="2"/>
  <c r="BJ15" i="2"/>
  <c r="BI15" i="2"/>
  <c r="BH15" i="2"/>
  <c r="BG15" i="2"/>
  <c r="BF15" i="2"/>
  <c r="BE15" i="2"/>
  <c r="BD15" i="2"/>
  <c r="BC15" i="2"/>
  <c r="BB15" i="2"/>
  <c r="BA15" i="2"/>
  <c r="AZ15" i="2"/>
  <c r="AY15" i="2"/>
  <c r="AX15" i="2"/>
  <c r="AW15" i="2"/>
  <c r="AV15" i="2"/>
  <c r="AU15" i="2"/>
  <c r="AT15" i="2"/>
  <c r="AS15" i="2"/>
  <c r="AR15" i="2"/>
  <c r="AQ15" i="2"/>
  <c r="AP15" i="2"/>
  <c r="AO15" i="2"/>
  <c r="AN15" i="2"/>
  <c r="AM15" i="2"/>
  <c r="AL15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B15" i="2"/>
  <c r="C15" i="2" s="1"/>
  <c r="DA15" i="2" s="1"/>
  <c r="ES14" i="2"/>
  <c r="BV14" i="2"/>
  <c r="BU14" i="2"/>
  <c r="BT14" i="2"/>
  <c r="BS14" i="2"/>
  <c r="BR14" i="2"/>
  <c r="BQ14" i="2"/>
  <c r="BP14" i="2"/>
  <c r="BO14" i="2"/>
  <c r="BN14" i="2"/>
  <c r="BM14" i="2"/>
  <c r="BL14" i="2"/>
  <c r="BK14" i="2"/>
  <c r="BJ14" i="2"/>
  <c r="BI14" i="2"/>
  <c r="BH14" i="2"/>
  <c r="BG14" i="2"/>
  <c r="BF14" i="2"/>
  <c r="BE14" i="2"/>
  <c r="BD14" i="2"/>
  <c r="BC14" i="2"/>
  <c r="BB14" i="2"/>
  <c r="BA14" i="2"/>
  <c r="AZ14" i="2"/>
  <c r="AY14" i="2"/>
  <c r="AX14" i="2"/>
  <c r="AW14" i="2"/>
  <c r="AV14" i="2"/>
  <c r="AU14" i="2"/>
  <c r="AT14" i="2"/>
  <c r="AS14" i="2"/>
  <c r="AR14" i="2"/>
  <c r="AQ14" i="2"/>
  <c r="AP14" i="2"/>
  <c r="AO14" i="2"/>
  <c r="AN14" i="2"/>
  <c r="AM14" i="2"/>
  <c r="AL14" i="2"/>
  <c r="AK14" i="2"/>
  <c r="AJ14" i="2"/>
  <c r="AI14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B14" i="2"/>
  <c r="C14" i="2" s="1"/>
  <c r="EH14" i="2" s="1"/>
  <c r="ES13" i="2"/>
  <c r="BV13" i="2"/>
  <c r="BU13" i="2"/>
  <c r="BT13" i="2"/>
  <c r="BS13" i="2"/>
  <c r="BR13" i="2"/>
  <c r="BQ13" i="2"/>
  <c r="BP13" i="2"/>
  <c r="BO13" i="2"/>
  <c r="BN13" i="2"/>
  <c r="BM13" i="2"/>
  <c r="BL13" i="2"/>
  <c r="BK13" i="2"/>
  <c r="BJ13" i="2"/>
  <c r="BI13" i="2"/>
  <c r="BH13" i="2"/>
  <c r="BG13" i="2"/>
  <c r="BF13" i="2"/>
  <c r="BE13" i="2"/>
  <c r="BD13" i="2"/>
  <c r="BC13" i="2"/>
  <c r="BB13" i="2"/>
  <c r="BA13" i="2"/>
  <c r="AZ13" i="2"/>
  <c r="AY13" i="2"/>
  <c r="AX13" i="2"/>
  <c r="AW13" i="2"/>
  <c r="AV13" i="2"/>
  <c r="AU13" i="2"/>
  <c r="AT13" i="2"/>
  <c r="AS13" i="2"/>
  <c r="AR13" i="2"/>
  <c r="AQ13" i="2"/>
  <c r="AP13" i="2"/>
  <c r="AO13" i="2"/>
  <c r="AN13" i="2"/>
  <c r="AM13" i="2"/>
  <c r="AL13" i="2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B13" i="2"/>
  <c r="C13" i="2" s="1"/>
  <c r="DK13" i="2" s="1"/>
  <c r="ES12" i="2"/>
  <c r="BV12" i="2"/>
  <c r="BU12" i="2"/>
  <c r="BT12" i="2"/>
  <c r="BS12" i="2"/>
  <c r="BR12" i="2"/>
  <c r="BQ12" i="2"/>
  <c r="BP12" i="2"/>
  <c r="BO12" i="2"/>
  <c r="BN12" i="2"/>
  <c r="BM12" i="2"/>
  <c r="BL12" i="2"/>
  <c r="BK12" i="2"/>
  <c r="BJ12" i="2"/>
  <c r="BI12" i="2"/>
  <c r="BH12" i="2"/>
  <c r="BG12" i="2"/>
  <c r="BF12" i="2"/>
  <c r="BE12" i="2"/>
  <c r="BD12" i="2"/>
  <c r="BC12" i="2"/>
  <c r="BB12" i="2"/>
  <c r="BA12" i="2"/>
  <c r="AZ12" i="2"/>
  <c r="AY12" i="2"/>
  <c r="AX12" i="2"/>
  <c r="AW12" i="2"/>
  <c r="AV12" i="2"/>
  <c r="AU12" i="2"/>
  <c r="AT12" i="2"/>
  <c r="AS12" i="2"/>
  <c r="AR12" i="2"/>
  <c r="AQ12" i="2"/>
  <c r="AP12" i="2"/>
  <c r="AO12" i="2"/>
  <c r="AN12" i="2"/>
  <c r="AM12" i="2"/>
  <c r="AL12" i="2"/>
  <c r="AK12" i="2"/>
  <c r="AJ12" i="2"/>
  <c r="AI12" i="2"/>
  <c r="AH12" i="2"/>
  <c r="AG12" i="2"/>
  <c r="AF12" i="2"/>
  <c r="AE12" i="2"/>
  <c r="AD12" i="2"/>
  <c r="AC12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B12" i="2"/>
  <c r="C12" i="2" s="1"/>
  <c r="EJ12" i="2" s="1"/>
  <c r="ES11" i="2"/>
  <c r="BV11" i="2"/>
  <c r="BU11" i="2"/>
  <c r="BT11" i="2"/>
  <c r="BS11" i="2"/>
  <c r="BR11" i="2"/>
  <c r="BQ11" i="2"/>
  <c r="BP11" i="2"/>
  <c r="BO11" i="2"/>
  <c r="BN11" i="2"/>
  <c r="BM11" i="2"/>
  <c r="BL11" i="2"/>
  <c r="BK11" i="2"/>
  <c r="BJ11" i="2"/>
  <c r="BI11" i="2"/>
  <c r="BH11" i="2"/>
  <c r="BG11" i="2"/>
  <c r="BF11" i="2"/>
  <c r="BE11" i="2"/>
  <c r="BD11" i="2"/>
  <c r="BC11" i="2"/>
  <c r="BB11" i="2"/>
  <c r="BA11" i="2"/>
  <c r="AZ11" i="2"/>
  <c r="AY11" i="2"/>
  <c r="AX11" i="2"/>
  <c r="AW11" i="2"/>
  <c r="AV11" i="2"/>
  <c r="AU11" i="2"/>
  <c r="AT11" i="2"/>
  <c r="AS11" i="2"/>
  <c r="AR11" i="2"/>
  <c r="AQ11" i="2"/>
  <c r="AP11" i="2"/>
  <c r="AO11" i="2"/>
  <c r="AN11" i="2"/>
  <c r="AM11" i="2"/>
  <c r="AL11" i="2"/>
  <c r="AK11" i="2"/>
  <c r="AJ11" i="2"/>
  <c r="AI11" i="2"/>
  <c r="AH11" i="2"/>
  <c r="AG11" i="2"/>
  <c r="AF11" i="2"/>
  <c r="AE11" i="2"/>
  <c r="AD11" i="2"/>
  <c r="AC11" i="2"/>
  <c r="AB11" i="2"/>
  <c r="AA11" i="2"/>
  <c r="Z11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B11" i="2"/>
  <c r="C11" i="2" s="1"/>
  <c r="ES10" i="2"/>
  <c r="BV10" i="2"/>
  <c r="BU10" i="2"/>
  <c r="BT10" i="2"/>
  <c r="BS10" i="2"/>
  <c r="BR10" i="2"/>
  <c r="BQ10" i="2"/>
  <c r="BP10" i="2"/>
  <c r="BO10" i="2"/>
  <c r="BN10" i="2"/>
  <c r="BM10" i="2"/>
  <c r="BL10" i="2"/>
  <c r="BK10" i="2"/>
  <c r="BJ10" i="2"/>
  <c r="BI10" i="2"/>
  <c r="BH10" i="2"/>
  <c r="BG10" i="2"/>
  <c r="BF10" i="2"/>
  <c r="BE10" i="2"/>
  <c r="BD10" i="2"/>
  <c r="BC10" i="2"/>
  <c r="BB10" i="2"/>
  <c r="BA10" i="2"/>
  <c r="AZ10" i="2"/>
  <c r="AY10" i="2"/>
  <c r="AX10" i="2"/>
  <c r="AW10" i="2"/>
  <c r="AV10" i="2"/>
  <c r="AU10" i="2"/>
  <c r="AT10" i="2"/>
  <c r="AS10" i="2"/>
  <c r="AR10" i="2"/>
  <c r="AQ10" i="2"/>
  <c r="AP10" i="2"/>
  <c r="AO10" i="2"/>
  <c r="AN10" i="2"/>
  <c r="AM10" i="2"/>
  <c r="AL10" i="2"/>
  <c r="AK10" i="2"/>
  <c r="AJ10" i="2"/>
  <c r="AI10" i="2"/>
  <c r="AH10" i="2"/>
  <c r="AG10" i="2"/>
  <c r="AF10" i="2"/>
  <c r="AE10" i="2"/>
  <c r="AD10" i="2"/>
  <c r="AC10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B10" i="2"/>
  <c r="C10" i="2" s="1"/>
  <c r="EL10" i="2" s="1"/>
  <c r="ES9" i="2"/>
  <c r="BV9" i="2"/>
  <c r="BU9" i="2"/>
  <c r="BT9" i="2"/>
  <c r="BS9" i="2"/>
  <c r="BR9" i="2"/>
  <c r="BQ9" i="2"/>
  <c r="BP9" i="2"/>
  <c r="BO9" i="2"/>
  <c r="BN9" i="2"/>
  <c r="BM9" i="2"/>
  <c r="BL9" i="2"/>
  <c r="BK9" i="2"/>
  <c r="BJ9" i="2"/>
  <c r="BI9" i="2"/>
  <c r="BH9" i="2"/>
  <c r="BG9" i="2"/>
  <c r="BF9" i="2"/>
  <c r="BE9" i="2"/>
  <c r="BD9" i="2"/>
  <c r="BC9" i="2"/>
  <c r="BB9" i="2"/>
  <c r="BA9" i="2"/>
  <c r="AZ9" i="2"/>
  <c r="AY9" i="2"/>
  <c r="AX9" i="2"/>
  <c r="AW9" i="2"/>
  <c r="AV9" i="2"/>
  <c r="AU9" i="2"/>
  <c r="AT9" i="2"/>
  <c r="AS9" i="2"/>
  <c r="AR9" i="2"/>
  <c r="AQ9" i="2"/>
  <c r="AP9" i="2"/>
  <c r="AO9" i="2"/>
  <c r="AN9" i="2"/>
  <c r="AM9" i="2"/>
  <c r="AL9" i="2"/>
  <c r="AK9" i="2"/>
  <c r="AJ9" i="2"/>
  <c r="AI9" i="2"/>
  <c r="AH9" i="2"/>
  <c r="AG9" i="2"/>
  <c r="AF9" i="2"/>
  <c r="AE9" i="2"/>
  <c r="AD9" i="2"/>
  <c r="AC9" i="2"/>
  <c r="AB9" i="2"/>
  <c r="AA9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B9" i="2"/>
  <c r="C9" i="2" s="1"/>
  <c r="EH9" i="2" s="1"/>
  <c r="ES8" i="2"/>
  <c r="BV8" i="2"/>
  <c r="BU8" i="2"/>
  <c r="BT8" i="2"/>
  <c r="BS8" i="2"/>
  <c r="BR8" i="2"/>
  <c r="BQ8" i="2"/>
  <c r="BP8" i="2"/>
  <c r="BO8" i="2"/>
  <c r="BN8" i="2"/>
  <c r="BM8" i="2"/>
  <c r="BL8" i="2"/>
  <c r="BK8" i="2"/>
  <c r="BJ8" i="2"/>
  <c r="BI8" i="2"/>
  <c r="BH8" i="2"/>
  <c r="BG8" i="2"/>
  <c r="BF8" i="2"/>
  <c r="BE8" i="2"/>
  <c r="BD8" i="2"/>
  <c r="BC8" i="2"/>
  <c r="BB8" i="2"/>
  <c r="BA8" i="2"/>
  <c r="AZ8" i="2"/>
  <c r="AY8" i="2"/>
  <c r="AX8" i="2"/>
  <c r="AW8" i="2"/>
  <c r="AV8" i="2"/>
  <c r="AU8" i="2"/>
  <c r="AT8" i="2"/>
  <c r="AS8" i="2"/>
  <c r="AR8" i="2"/>
  <c r="AQ8" i="2"/>
  <c r="AP8" i="2"/>
  <c r="AO8" i="2"/>
  <c r="AN8" i="2"/>
  <c r="AM8" i="2"/>
  <c r="AL8" i="2"/>
  <c r="AK8" i="2"/>
  <c r="AJ8" i="2"/>
  <c r="AI8" i="2"/>
  <c r="AH8" i="2"/>
  <c r="AG8" i="2"/>
  <c r="AF8" i="2"/>
  <c r="AE8" i="2"/>
  <c r="AD8" i="2"/>
  <c r="AC8" i="2"/>
  <c r="AB8" i="2"/>
  <c r="AA8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B8" i="2"/>
  <c r="C8" i="2" s="1"/>
  <c r="EG8" i="2" s="1"/>
  <c r="ES7" i="2"/>
  <c r="BV7" i="2"/>
  <c r="BU7" i="2"/>
  <c r="BT7" i="2"/>
  <c r="BS7" i="2"/>
  <c r="BR7" i="2"/>
  <c r="BQ7" i="2"/>
  <c r="BP7" i="2"/>
  <c r="BO7" i="2"/>
  <c r="BN7" i="2"/>
  <c r="BM7" i="2"/>
  <c r="BL7" i="2"/>
  <c r="BK7" i="2"/>
  <c r="BJ7" i="2"/>
  <c r="BI7" i="2"/>
  <c r="BH7" i="2"/>
  <c r="BG7" i="2"/>
  <c r="BF7" i="2"/>
  <c r="BE7" i="2"/>
  <c r="BD7" i="2"/>
  <c r="BC7" i="2"/>
  <c r="BB7" i="2"/>
  <c r="BA7" i="2"/>
  <c r="AZ7" i="2"/>
  <c r="AY7" i="2"/>
  <c r="AX7" i="2"/>
  <c r="AW7" i="2"/>
  <c r="AV7" i="2"/>
  <c r="AU7" i="2"/>
  <c r="AT7" i="2"/>
  <c r="AS7" i="2"/>
  <c r="AR7" i="2"/>
  <c r="AQ7" i="2"/>
  <c r="AP7" i="2"/>
  <c r="AO7" i="2"/>
  <c r="AN7" i="2"/>
  <c r="AM7" i="2"/>
  <c r="AL7" i="2"/>
  <c r="AK7" i="2"/>
  <c r="AJ7" i="2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B7" i="2"/>
  <c r="C7" i="2" s="1"/>
  <c r="ES6" i="2"/>
  <c r="BV6" i="2"/>
  <c r="BU6" i="2"/>
  <c r="BT6" i="2"/>
  <c r="BS6" i="2"/>
  <c r="BR6" i="2"/>
  <c r="BQ6" i="2"/>
  <c r="BP6" i="2"/>
  <c r="BO6" i="2"/>
  <c r="BN6" i="2"/>
  <c r="BM6" i="2"/>
  <c r="BL6" i="2"/>
  <c r="BK6" i="2"/>
  <c r="BJ6" i="2"/>
  <c r="BI6" i="2"/>
  <c r="BH6" i="2"/>
  <c r="BG6" i="2"/>
  <c r="BF6" i="2"/>
  <c r="BE6" i="2"/>
  <c r="BD6" i="2"/>
  <c r="BC6" i="2"/>
  <c r="BB6" i="2"/>
  <c r="BA6" i="2"/>
  <c r="AZ6" i="2"/>
  <c r="AY6" i="2"/>
  <c r="AX6" i="2"/>
  <c r="AW6" i="2"/>
  <c r="AV6" i="2"/>
  <c r="AU6" i="2"/>
  <c r="AT6" i="2"/>
  <c r="AS6" i="2"/>
  <c r="AR6" i="2"/>
  <c r="AQ6" i="2"/>
  <c r="AP6" i="2"/>
  <c r="AO6" i="2"/>
  <c r="AN6" i="2"/>
  <c r="AM6" i="2"/>
  <c r="AL6" i="2"/>
  <c r="AK6" i="2"/>
  <c r="AJ6" i="2"/>
  <c r="AI6" i="2"/>
  <c r="AH6" i="2"/>
  <c r="AG6" i="2"/>
  <c r="AF6" i="2"/>
  <c r="AE6" i="2"/>
  <c r="AD6" i="2"/>
  <c r="AC6" i="2"/>
  <c r="AB6" i="2"/>
  <c r="AA6" i="2"/>
  <c r="Z6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B6" i="2"/>
  <c r="C6" i="2" s="1"/>
  <c r="ES5" i="2"/>
  <c r="BV5" i="2"/>
  <c r="BU5" i="2"/>
  <c r="BT5" i="2"/>
  <c r="BS5" i="2"/>
  <c r="BR5" i="2"/>
  <c r="BQ5" i="2"/>
  <c r="BP5" i="2"/>
  <c r="BO5" i="2"/>
  <c r="BN5" i="2"/>
  <c r="BM5" i="2"/>
  <c r="BL5" i="2"/>
  <c r="BK5" i="2"/>
  <c r="BJ5" i="2"/>
  <c r="BI5" i="2"/>
  <c r="BH5" i="2"/>
  <c r="BG5" i="2"/>
  <c r="BF5" i="2"/>
  <c r="BE5" i="2"/>
  <c r="BD5" i="2"/>
  <c r="BC5" i="2"/>
  <c r="BB5" i="2"/>
  <c r="BA5" i="2"/>
  <c r="AZ5" i="2"/>
  <c r="AY5" i="2"/>
  <c r="AX5" i="2"/>
  <c r="AW5" i="2"/>
  <c r="AV5" i="2"/>
  <c r="AU5" i="2"/>
  <c r="AT5" i="2"/>
  <c r="AS5" i="2"/>
  <c r="AR5" i="2"/>
  <c r="AQ5" i="2"/>
  <c r="AP5" i="2"/>
  <c r="AO5" i="2"/>
  <c r="AN5" i="2"/>
  <c r="AM5" i="2"/>
  <c r="AL5" i="2"/>
  <c r="AK5" i="2"/>
  <c r="AJ5" i="2"/>
  <c r="AI5" i="2"/>
  <c r="AH5" i="2"/>
  <c r="AG5" i="2"/>
  <c r="AF5" i="2"/>
  <c r="AE5" i="2"/>
  <c r="AD5" i="2"/>
  <c r="AC5" i="2"/>
  <c r="AB5" i="2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B5" i="2"/>
  <c r="C5" i="2" s="1"/>
  <c r="EO5" i="2" s="1"/>
  <c r="ES4" i="2"/>
  <c r="EP4" i="2"/>
  <c r="EO4" i="2"/>
  <c r="EL4" i="2"/>
  <c r="EK4" i="2"/>
  <c r="EH4" i="2"/>
  <c r="EG4" i="2"/>
  <c r="ED4" i="2"/>
  <c r="EC4" i="2"/>
  <c r="DZ4" i="2"/>
  <c r="DY4" i="2"/>
  <c r="DV4" i="2"/>
  <c r="DU4" i="2"/>
  <c r="DR4" i="2"/>
  <c r="DQ4" i="2"/>
  <c r="DN4" i="2"/>
  <c r="DM4" i="2"/>
  <c r="DJ4" i="2"/>
  <c r="DI4" i="2"/>
  <c r="DF4" i="2"/>
  <c r="DE4" i="2"/>
  <c r="DB4" i="2"/>
  <c r="DA4" i="2"/>
  <c r="CX4" i="2"/>
  <c r="CW4" i="2"/>
  <c r="CT4" i="2"/>
  <c r="CS4" i="2"/>
  <c r="CP4" i="2"/>
  <c r="CO4" i="2"/>
  <c r="CL4" i="2"/>
  <c r="CK4" i="2"/>
  <c r="CH4" i="2"/>
  <c r="CG4" i="2"/>
  <c r="CD4" i="2"/>
  <c r="CC4" i="2"/>
  <c r="BZ4" i="2"/>
  <c r="BY4" i="2"/>
  <c r="BV4" i="2"/>
  <c r="BU4" i="2"/>
  <c r="BT4" i="2"/>
  <c r="EN4" i="2" s="1"/>
  <c r="BS4" i="2"/>
  <c r="EM4" i="2" s="1"/>
  <c r="BR4" i="2"/>
  <c r="BQ4" i="2"/>
  <c r="BP4" i="2"/>
  <c r="EJ4" i="2" s="1"/>
  <c r="BO4" i="2"/>
  <c r="EI4" i="2" s="1"/>
  <c r="BN4" i="2"/>
  <c r="BM4" i="2"/>
  <c r="BL4" i="2"/>
  <c r="EF4" i="2" s="1"/>
  <c r="BK4" i="2"/>
  <c r="EE4" i="2" s="1"/>
  <c r="BJ4" i="2"/>
  <c r="BI4" i="2"/>
  <c r="BH4" i="2"/>
  <c r="EB4" i="2" s="1"/>
  <c r="BG4" i="2"/>
  <c r="EA4" i="2" s="1"/>
  <c r="BF4" i="2"/>
  <c r="BE4" i="2"/>
  <c r="BD4" i="2"/>
  <c r="DX4" i="2" s="1"/>
  <c r="BC4" i="2"/>
  <c r="DW4" i="2" s="1"/>
  <c r="BB4" i="2"/>
  <c r="BA4" i="2"/>
  <c r="AZ4" i="2"/>
  <c r="DT4" i="2" s="1"/>
  <c r="AY4" i="2"/>
  <c r="DS4" i="2" s="1"/>
  <c r="AX4" i="2"/>
  <c r="AW4" i="2"/>
  <c r="AV4" i="2"/>
  <c r="DP4" i="2" s="1"/>
  <c r="AU4" i="2"/>
  <c r="DO4" i="2" s="1"/>
  <c r="AT4" i="2"/>
  <c r="AS4" i="2"/>
  <c r="AR4" i="2"/>
  <c r="DL4" i="2" s="1"/>
  <c r="AQ4" i="2"/>
  <c r="DK4" i="2" s="1"/>
  <c r="AP4" i="2"/>
  <c r="AO4" i="2"/>
  <c r="AN4" i="2"/>
  <c r="DH4" i="2" s="1"/>
  <c r="AM4" i="2"/>
  <c r="DG4" i="2" s="1"/>
  <c r="AL4" i="2"/>
  <c r="AK4" i="2"/>
  <c r="AJ4" i="2"/>
  <c r="DD4" i="2" s="1"/>
  <c r="AI4" i="2"/>
  <c r="DC4" i="2" s="1"/>
  <c r="AH4" i="2"/>
  <c r="AG4" i="2"/>
  <c r="AF4" i="2"/>
  <c r="CZ4" i="2" s="1"/>
  <c r="AE4" i="2"/>
  <c r="CY4" i="2" s="1"/>
  <c r="AD4" i="2"/>
  <c r="AC4" i="2"/>
  <c r="AB4" i="2"/>
  <c r="CV4" i="2" s="1"/>
  <c r="AA4" i="2"/>
  <c r="CU4" i="2" s="1"/>
  <c r="Z4" i="2"/>
  <c r="Y4" i="2"/>
  <c r="X4" i="2"/>
  <c r="CR4" i="2" s="1"/>
  <c r="W4" i="2"/>
  <c r="CQ4" i="2" s="1"/>
  <c r="V4" i="2"/>
  <c r="U4" i="2"/>
  <c r="T4" i="2"/>
  <c r="CN4" i="2" s="1"/>
  <c r="S4" i="2"/>
  <c r="CM4" i="2" s="1"/>
  <c r="R4" i="2"/>
  <c r="Q4" i="2"/>
  <c r="P4" i="2"/>
  <c r="CJ4" i="2" s="1"/>
  <c r="O4" i="2"/>
  <c r="CI4" i="2" s="1"/>
  <c r="N4" i="2"/>
  <c r="M4" i="2"/>
  <c r="L4" i="2"/>
  <c r="CF4" i="2" s="1"/>
  <c r="K4" i="2"/>
  <c r="CE4" i="2" s="1"/>
  <c r="J4" i="2"/>
  <c r="I4" i="2"/>
  <c r="H4" i="2"/>
  <c r="CB4" i="2" s="1"/>
  <c r="G4" i="2"/>
  <c r="CA4" i="2" s="1"/>
  <c r="F4" i="2"/>
  <c r="E4" i="2"/>
  <c r="D4" i="2"/>
  <c r="BX4" i="2" s="1"/>
  <c r="B4" i="2"/>
  <c r="ES3" i="2"/>
  <c r="BV3" i="2"/>
  <c r="BU3" i="2"/>
  <c r="BT3" i="2"/>
  <c r="BS3" i="2"/>
  <c r="BR3" i="2"/>
  <c r="BQ3" i="2"/>
  <c r="BP3" i="2"/>
  <c r="BO3" i="2"/>
  <c r="BN3" i="2"/>
  <c r="BM3" i="2"/>
  <c r="BL3" i="2"/>
  <c r="BK3" i="2"/>
  <c r="BJ3" i="2"/>
  <c r="BI3" i="2"/>
  <c r="BH3" i="2"/>
  <c r="BG3" i="2"/>
  <c r="BF3" i="2"/>
  <c r="BE3" i="2"/>
  <c r="BD3" i="2"/>
  <c r="BC3" i="2"/>
  <c r="BB3" i="2"/>
  <c r="BA3" i="2"/>
  <c r="AZ3" i="2"/>
  <c r="AY3" i="2"/>
  <c r="AX3" i="2"/>
  <c r="AW3" i="2"/>
  <c r="AV3" i="2"/>
  <c r="AU3" i="2"/>
  <c r="AT3" i="2"/>
  <c r="AS3" i="2"/>
  <c r="AR3" i="2"/>
  <c r="AQ3" i="2"/>
  <c r="AP3" i="2"/>
  <c r="AO3" i="2"/>
  <c r="AN3" i="2"/>
  <c r="AM3" i="2"/>
  <c r="AL3" i="2"/>
  <c r="AK3" i="2"/>
  <c r="AJ3" i="2"/>
  <c r="AI3" i="2"/>
  <c r="AH3" i="2"/>
  <c r="AG3" i="2"/>
  <c r="AF3" i="2"/>
  <c r="AE3" i="2"/>
  <c r="AD3" i="2"/>
  <c r="AC3" i="2"/>
  <c r="AB3" i="2"/>
  <c r="AA3" i="2"/>
  <c r="Z3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B3" i="2"/>
  <c r="C3" i="2" s="1"/>
  <c r="EK3" i="2" s="1"/>
  <c r="ES2" i="2"/>
  <c r="BV2" i="2"/>
  <c r="BU2" i="2"/>
  <c r="BT2" i="2"/>
  <c r="BS2" i="2"/>
  <c r="BR2" i="2"/>
  <c r="BQ2" i="2"/>
  <c r="BP2" i="2"/>
  <c r="BO2" i="2"/>
  <c r="BN2" i="2"/>
  <c r="BM2" i="2"/>
  <c r="BL2" i="2"/>
  <c r="BK2" i="2"/>
  <c r="BJ2" i="2"/>
  <c r="BI2" i="2"/>
  <c r="BH2" i="2"/>
  <c r="BG2" i="2"/>
  <c r="BF2" i="2"/>
  <c r="BE2" i="2"/>
  <c r="BD2" i="2"/>
  <c r="BC2" i="2"/>
  <c r="BB2" i="2"/>
  <c r="BA2" i="2"/>
  <c r="AZ2" i="2"/>
  <c r="AY2" i="2"/>
  <c r="AX2" i="2"/>
  <c r="AW2" i="2"/>
  <c r="AV2" i="2"/>
  <c r="AU2" i="2"/>
  <c r="AT2" i="2"/>
  <c r="AS2" i="2"/>
  <c r="AR2" i="2"/>
  <c r="AQ2" i="2"/>
  <c r="AP2" i="2"/>
  <c r="AO2" i="2"/>
  <c r="AN2" i="2"/>
  <c r="AM2" i="2"/>
  <c r="AL2" i="2"/>
  <c r="AK2" i="2"/>
  <c r="AJ2" i="2"/>
  <c r="AI2" i="2"/>
  <c r="AH2" i="2"/>
  <c r="AG2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EP1" i="2"/>
  <c r="EO1" i="2"/>
  <c r="EN1" i="2"/>
  <c r="EM1" i="2"/>
  <c r="EL1" i="2"/>
  <c r="EK1" i="2"/>
  <c r="EJ1" i="2"/>
  <c r="EI1" i="2"/>
  <c r="EH1" i="2"/>
  <c r="EG1" i="2"/>
  <c r="EF1" i="2"/>
  <c r="EE1" i="2"/>
  <c r="ED1" i="2"/>
  <c r="EC1" i="2"/>
  <c r="EB1" i="2"/>
  <c r="EA1" i="2"/>
  <c r="DZ1" i="2"/>
  <c r="DY1" i="2"/>
  <c r="DX1" i="2"/>
  <c r="DW1" i="2"/>
  <c r="DV1" i="2"/>
  <c r="DU1" i="2"/>
  <c r="DT1" i="2"/>
  <c r="DS1" i="2"/>
  <c r="DR1" i="2"/>
  <c r="DQ1" i="2"/>
  <c r="DP1" i="2"/>
  <c r="DO1" i="2"/>
  <c r="DN1" i="2"/>
  <c r="DM1" i="2"/>
  <c r="DL1" i="2"/>
  <c r="DK1" i="2"/>
  <c r="DJ1" i="2"/>
  <c r="DI1" i="2"/>
  <c r="DH1" i="2"/>
  <c r="DG1" i="2"/>
  <c r="DF1" i="2"/>
  <c r="DE1" i="2"/>
  <c r="DD1" i="2"/>
  <c r="DC1" i="2"/>
  <c r="DB1" i="2"/>
  <c r="DA1" i="2"/>
  <c r="CZ1" i="2"/>
  <c r="CY1" i="2"/>
  <c r="CX1" i="2"/>
  <c r="CW1" i="2"/>
  <c r="CV1" i="2"/>
  <c r="CU1" i="2"/>
  <c r="CT1" i="2"/>
  <c r="CS1" i="2"/>
  <c r="CR1" i="2"/>
  <c r="CQ1" i="2"/>
  <c r="CP1" i="2"/>
  <c r="CO1" i="2"/>
  <c r="CN1" i="2"/>
  <c r="CM1" i="2"/>
  <c r="CL1" i="2"/>
  <c r="CK1" i="2"/>
  <c r="CJ1" i="2"/>
  <c r="CI1" i="2"/>
  <c r="CH1" i="2"/>
  <c r="CG1" i="2"/>
  <c r="CF1" i="2"/>
  <c r="CE1" i="2"/>
  <c r="CD1" i="2"/>
  <c r="CC1" i="2"/>
  <c r="CB1" i="2"/>
  <c r="CA1" i="2"/>
  <c r="BZ1" i="2"/>
  <c r="BY1" i="2"/>
  <c r="BX1" i="2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A11" i="1"/>
  <c r="G10" i="1"/>
  <c r="A10" i="1"/>
  <c r="G9" i="1"/>
  <c r="A9" i="1"/>
  <c r="G8" i="1"/>
  <c r="A8" i="1"/>
  <c r="G7" i="1"/>
  <c r="A7" i="1"/>
  <c r="G6" i="1"/>
  <c r="A6" i="1"/>
  <c r="G5" i="1"/>
  <c r="A5" i="1"/>
  <c r="G4" i="1"/>
  <c r="A4" i="1"/>
  <c r="G3" i="1"/>
  <c r="A3" i="1"/>
  <c r="G2" i="1"/>
  <c r="A2" i="1"/>
  <c r="CP45" i="2" l="1"/>
  <c r="CT45" i="2"/>
  <c r="BZ13" i="2"/>
  <c r="CD13" i="2"/>
  <c r="CH13" i="2"/>
  <c r="CL13" i="2"/>
  <c r="CP13" i="2"/>
  <c r="BY42" i="2"/>
  <c r="CC42" i="2"/>
  <c r="CG42" i="2"/>
  <c r="CK42" i="2"/>
  <c r="CO42" i="2"/>
  <c r="CS42" i="2"/>
  <c r="CW42" i="2"/>
  <c r="DA42" i="2"/>
  <c r="DE42" i="2"/>
  <c r="DI42" i="2"/>
  <c r="DM42" i="2"/>
  <c r="DQ42" i="2"/>
  <c r="DU42" i="2"/>
  <c r="DY42" i="2"/>
  <c r="EC42" i="2"/>
  <c r="EG42" i="2"/>
  <c r="EK42" i="2"/>
  <c r="EO42" i="2"/>
  <c r="BY31" i="2"/>
  <c r="BY35" i="2"/>
  <c r="CC35" i="2"/>
  <c r="CG35" i="2"/>
  <c r="CK35" i="2"/>
  <c r="CO35" i="2"/>
  <c r="CS35" i="2"/>
  <c r="CW35" i="2"/>
  <c r="DA35" i="2"/>
  <c r="DE35" i="2"/>
  <c r="DI35" i="2"/>
  <c r="DM35" i="2"/>
  <c r="DQ35" i="2"/>
  <c r="DU35" i="2"/>
  <c r="DY35" i="2"/>
  <c r="EC35" i="2"/>
  <c r="EG35" i="2"/>
  <c r="EK35" i="2"/>
  <c r="EO35" i="2"/>
  <c r="BZ15" i="2"/>
  <c r="CD15" i="2"/>
  <c r="CH15" i="2"/>
  <c r="CL15" i="2"/>
  <c r="BX13" i="2"/>
  <c r="CB13" i="2"/>
  <c r="CF13" i="2"/>
  <c r="CJ13" i="2"/>
  <c r="CN13" i="2"/>
  <c r="CP15" i="2"/>
  <c r="CT15" i="2"/>
  <c r="CX15" i="2"/>
  <c r="DB15" i="2"/>
  <c r="DF15" i="2"/>
  <c r="BX17" i="2"/>
  <c r="CB17" i="2"/>
  <c r="CF17" i="2"/>
  <c r="CJ17" i="2"/>
  <c r="CN17" i="2"/>
  <c r="CR17" i="2"/>
  <c r="BY28" i="2"/>
  <c r="CC28" i="2"/>
  <c r="CG28" i="2"/>
  <c r="BY39" i="2"/>
  <c r="CC39" i="2"/>
  <c r="CG39" i="2"/>
  <c r="CK39" i="2"/>
  <c r="CO39" i="2"/>
  <c r="CS39" i="2"/>
  <c r="CW39" i="2"/>
  <c r="DA39" i="2"/>
  <c r="DE39" i="2"/>
  <c r="BX45" i="2"/>
  <c r="CB45" i="2"/>
  <c r="CF45" i="2"/>
  <c r="BY6" i="2"/>
  <c r="CC6" i="2"/>
  <c r="CG6" i="2"/>
  <c r="CK6" i="2"/>
  <c r="CO6" i="2"/>
  <c r="CS6" i="2"/>
  <c r="CW6" i="2"/>
  <c r="DA6" i="2"/>
  <c r="DE6" i="2"/>
  <c r="DI6" i="2"/>
  <c r="DM6" i="2"/>
  <c r="DQ6" i="2"/>
  <c r="DU6" i="2"/>
  <c r="BY13" i="2"/>
  <c r="CC13" i="2"/>
  <c r="CG13" i="2"/>
  <c r="CK13" i="2"/>
  <c r="CO13" i="2"/>
  <c r="CS13" i="2"/>
  <c r="CW13" i="2"/>
  <c r="DA13" i="2"/>
  <c r="DE13" i="2"/>
  <c r="DI13" i="2"/>
  <c r="DM13" i="2"/>
  <c r="BY17" i="2"/>
  <c r="CC17" i="2"/>
  <c r="CG17" i="2"/>
  <c r="CT13" i="2"/>
  <c r="CX13" i="2"/>
  <c r="DB13" i="2"/>
  <c r="DF13" i="2"/>
  <c r="DJ13" i="2"/>
  <c r="CK17" i="2"/>
  <c r="CO17" i="2"/>
  <c r="CS17" i="2"/>
  <c r="CW17" i="2"/>
  <c r="DA17" i="2"/>
  <c r="DE17" i="2"/>
  <c r="DI17" i="2"/>
  <c r="DM17" i="2"/>
  <c r="CK28" i="2"/>
  <c r="CO28" i="2"/>
  <c r="CS28" i="2"/>
  <c r="CW28" i="2"/>
  <c r="DA28" i="2"/>
  <c r="DE28" i="2"/>
  <c r="DI28" i="2"/>
  <c r="DJ39" i="2"/>
  <c r="CX45" i="2"/>
  <c r="DB45" i="2"/>
  <c r="DF45" i="2"/>
  <c r="DJ45" i="2"/>
  <c r="DN45" i="2"/>
  <c r="EG26" i="2"/>
  <c r="CU13" i="2"/>
  <c r="BY22" i="2"/>
  <c r="CC22" i="2"/>
  <c r="CK22" i="2"/>
  <c r="CO22" i="2"/>
  <c r="ED35" i="2"/>
  <c r="DN39" i="2"/>
  <c r="CY42" i="2"/>
  <c r="DA45" i="2"/>
  <c r="DY6" i="2"/>
  <c r="CR13" i="2"/>
  <c r="CV13" i="2"/>
  <c r="CZ13" i="2"/>
  <c r="DI39" i="2"/>
  <c r="DM39" i="2"/>
  <c r="DQ39" i="2"/>
  <c r="DU39" i="2"/>
  <c r="DY39" i="2"/>
  <c r="EC39" i="2"/>
  <c r="EG39" i="2"/>
  <c r="EK39" i="2"/>
  <c r="EO39" i="2"/>
  <c r="DS42" i="2"/>
  <c r="CJ45" i="2"/>
  <c r="CN45" i="2"/>
  <c r="DY45" i="2"/>
  <c r="DM47" i="2"/>
  <c r="CH3" i="2"/>
  <c r="CX3" i="2"/>
  <c r="DN3" i="2"/>
  <c r="ED3" i="2"/>
  <c r="DN13" i="2"/>
  <c r="DR13" i="2"/>
  <c r="DV13" i="2"/>
  <c r="DZ13" i="2"/>
  <c r="ED13" i="2"/>
  <c r="EH13" i="2"/>
  <c r="EL13" i="2"/>
  <c r="EP13" i="2"/>
  <c r="EA13" i="2"/>
  <c r="EG15" i="2"/>
  <c r="CV17" i="2"/>
  <c r="CZ17" i="2"/>
  <c r="DD17" i="2"/>
  <c r="DH17" i="2"/>
  <c r="DL17" i="2"/>
  <c r="DP17" i="2"/>
  <c r="DT17" i="2"/>
  <c r="DX17" i="2"/>
  <c r="EB17" i="2"/>
  <c r="EF17" i="2"/>
  <c r="EJ17" i="2"/>
  <c r="EN17" i="2"/>
  <c r="CU17" i="2"/>
  <c r="EN50" i="2"/>
  <c r="CX50" i="2"/>
  <c r="CH50" i="2"/>
  <c r="EF50" i="2"/>
  <c r="DN50" i="2"/>
  <c r="CK3" i="2"/>
  <c r="DA3" i="2"/>
  <c r="DQ3" i="2"/>
  <c r="EG3" i="2"/>
  <c r="EC6" i="2"/>
  <c r="EG6" i="2"/>
  <c r="EK6" i="2"/>
  <c r="EO6" i="2"/>
  <c r="CS8" i="2"/>
  <c r="CM13" i="2"/>
  <c r="DQ17" i="2"/>
  <c r="DU17" i="2"/>
  <c r="DY17" i="2"/>
  <c r="EC17" i="2"/>
  <c r="EG17" i="2"/>
  <c r="EK17" i="2"/>
  <c r="EO17" i="2"/>
  <c r="DO17" i="2"/>
  <c r="EM57" i="2"/>
  <c r="EF57" i="2"/>
  <c r="CX57" i="2"/>
  <c r="CH57" i="2"/>
  <c r="DK57" i="2"/>
  <c r="CS57" i="2"/>
  <c r="CC57" i="2"/>
  <c r="DG57" i="2"/>
  <c r="CP57" i="2"/>
  <c r="BZ57" i="2"/>
  <c r="EK57" i="2"/>
  <c r="DA57" i="2"/>
  <c r="CK57" i="2"/>
  <c r="BZ3" i="2"/>
  <c r="CP3" i="2"/>
  <c r="DF3" i="2"/>
  <c r="DV3" i="2"/>
  <c r="EL3" i="2"/>
  <c r="DY8" i="2"/>
  <c r="CX10" i="2"/>
  <c r="DJ15" i="2"/>
  <c r="DN15" i="2"/>
  <c r="DR15" i="2"/>
  <c r="DV15" i="2"/>
  <c r="DZ15" i="2"/>
  <c r="ED15" i="2"/>
  <c r="EH15" i="2"/>
  <c r="EL15" i="2"/>
  <c r="EP15" i="2"/>
  <c r="EA17" i="2"/>
  <c r="BX3" i="2"/>
  <c r="CB3" i="2"/>
  <c r="CF3" i="2"/>
  <c r="CJ3" i="2"/>
  <c r="CN3" i="2"/>
  <c r="CR3" i="2"/>
  <c r="CV3" i="2"/>
  <c r="CZ3" i="2"/>
  <c r="DD3" i="2"/>
  <c r="DH3" i="2"/>
  <c r="DL3" i="2"/>
  <c r="DP3" i="2"/>
  <c r="DT3" i="2"/>
  <c r="DX3" i="2"/>
  <c r="EB3" i="2"/>
  <c r="EF3" i="2"/>
  <c r="EJ3" i="2"/>
  <c r="EN3" i="2"/>
  <c r="CC3" i="2"/>
  <c r="CS3" i="2"/>
  <c r="DI3" i="2"/>
  <c r="DY3" i="2"/>
  <c r="EO3" i="2"/>
  <c r="ED10" i="2"/>
  <c r="DQ13" i="2"/>
  <c r="DU13" i="2"/>
  <c r="DY13" i="2"/>
  <c r="EC13" i="2"/>
  <c r="EG13" i="2"/>
  <c r="EK13" i="2"/>
  <c r="EO13" i="2"/>
  <c r="CI17" i="2"/>
  <c r="DH22" i="2"/>
  <c r="CU24" i="2"/>
  <c r="CT25" i="2"/>
  <c r="DM28" i="2"/>
  <c r="DQ28" i="2"/>
  <c r="DU28" i="2"/>
  <c r="DY28" i="2"/>
  <c r="EC28" i="2"/>
  <c r="EG28" i="2"/>
  <c r="EK28" i="2"/>
  <c r="EO28" i="2"/>
  <c r="CX31" i="2"/>
  <c r="EA34" i="2"/>
  <c r="CO36" i="2"/>
  <c r="CT43" i="2"/>
  <c r="DJ46" i="2"/>
  <c r="BY50" i="2"/>
  <c r="CC50" i="2"/>
  <c r="CG50" i="2"/>
  <c r="CK50" i="2"/>
  <c r="CO50" i="2"/>
  <c r="CS50" i="2"/>
  <c r="CW50" i="2"/>
  <c r="DA50" i="2"/>
  <c r="DE50" i="2"/>
  <c r="DI50" i="2"/>
  <c r="DM50" i="2"/>
  <c r="DQ50" i="2"/>
  <c r="DU50" i="2"/>
  <c r="DY50" i="2"/>
  <c r="EC50" i="2"/>
  <c r="EG50" i="2"/>
  <c r="EK50" i="2"/>
  <c r="EO50" i="2"/>
  <c r="CF51" i="2"/>
  <c r="DB52" i="2"/>
  <c r="CT53" i="2"/>
  <c r="DO24" i="2"/>
  <c r="BX25" i="2"/>
  <c r="DB25" i="2"/>
  <c r="DB31" i="2"/>
  <c r="DU32" i="2"/>
  <c r="EH35" i="2"/>
  <c r="DE36" i="2"/>
  <c r="BX43" i="2"/>
  <c r="CB43" i="2"/>
  <c r="CF43" i="2"/>
  <c r="CJ43" i="2"/>
  <c r="CN43" i="2"/>
  <c r="CR43" i="2"/>
  <c r="CV43" i="2"/>
  <c r="CZ43" i="2"/>
  <c r="DD43" i="2"/>
  <c r="DH43" i="2"/>
  <c r="DL43" i="2"/>
  <c r="DP43" i="2"/>
  <c r="DT43" i="2"/>
  <c r="DX43" i="2"/>
  <c r="EB43" i="2"/>
  <c r="EF43" i="2"/>
  <c r="EJ43" i="2"/>
  <c r="EN43" i="2"/>
  <c r="DR45" i="2"/>
  <c r="DV45" i="2"/>
  <c r="EG45" i="2"/>
  <c r="DB51" i="2"/>
  <c r="EH52" i="2"/>
  <c r="EH53" i="2"/>
  <c r="DG55" i="2"/>
  <c r="CS22" i="2"/>
  <c r="DA22" i="2"/>
  <c r="DI22" i="2"/>
  <c r="DQ22" i="2"/>
  <c r="DY22" i="2"/>
  <c r="EG22" i="2"/>
  <c r="EO22" i="2"/>
  <c r="EI24" i="2"/>
  <c r="DZ25" i="2"/>
  <c r="CY28" i="2"/>
  <c r="CC31" i="2"/>
  <c r="CG31" i="2"/>
  <c r="CK31" i="2"/>
  <c r="CO31" i="2"/>
  <c r="CS31" i="2"/>
  <c r="CW31" i="2"/>
  <c r="DA31" i="2"/>
  <c r="DE31" i="2"/>
  <c r="DI31" i="2"/>
  <c r="DM31" i="2"/>
  <c r="DQ31" i="2"/>
  <c r="DU31" i="2"/>
  <c r="DY31" i="2"/>
  <c r="EC31" i="2"/>
  <c r="EG31" i="2"/>
  <c r="EK31" i="2"/>
  <c r="EO31" i="2"/>
  <c r="ED31" i="2"/>
  <c r="CX35" i="2"/>
  <c r="CL39" i="2"/>
  <c r="ED39" i="2"/>
  <c r="BZ42" i="2"/>
  <c r="CD42" i="2"/>
  <c r="CH42" i="2"/>
  <c r="EE42" i="2"/>
  <c r="CS45" i="2"/>
  <c r="DW51" i="2"/>
  <c r="BY52" i="2"/>
  <c r="BX57" i="2"/>
  <c r="CB57" i="2"/>
  <c r="CF57" i="2"/>
  <c r="CJ57" i="2"/>
  <c r="CN57" i="2"/>
  <c r="CR57" i="2"/>
  <c r="CV57" i="2"/>
  <c r="CZ57" i="2"/>
  <c r="DD57" i="2"/>
  <c r="DH57" i="2"/>
  <c r="DL57" i="2"/>
  <c r="DP57" i="2"/>
  <c r="DT57" i="2"/>
  <c r="DX57" i="2"/>
  <c r="EB57" i="2"/>
  <c r="EJ57" i="2"/>
  <c r="EN57" i="2"/>
  <c r="B12" i="5"/>
  <c r="BZ24" i="2"/>
  <c r="CD24" i="2"/>
  <c r="CH24" i="2"/>
  <c r="CL24" i="2"/>
  <c r="CP24" i="2"/>
  <c r="CT24" i="2"/>
  <c r="CX24" i="2"/>
  <c r="DB24" i="2"/>
  <c r="DF24" i="2"/>
  <c r="DJ24" i="2"/>
  <c r="DN24" i="2"/>
  <c r="DR24" i="2"/>
  <c r="DV24" i="2"/>
  <c r="DZ24" i="2"/>
  <c r="ED24" i="2"/>
  <c r="EH24" i="2"/>
  <c r="EL24" i="2"/>
  <c r="EP24" i="2"/>
  <c r="EH25" i="2"/>
  <c r="DO28" i="2"/>
  <c r="EH31" i="2"/>
  <c r="DB35" i="2"/>
  <c r="BX39" i="2"/>
  <c r="CB39" i="2"/>
  <c r="CF39" i="2"/>
  <c r="CT39" i="2"/>
  <c r="EH39" i="2"/>
  <c r="CM42" i="2"/>
  <c r="CW47" i="2"/>
  <c r="DI57" i="2"/>
  <c r="DM57" i="2"/>
  <c r="DQ57" i="2"/>
  <c r="DY57" i="2"/>
  <c r="EC57" i="2"/>
  <c r="EG57" i="2"/>
  <c r="EO57" i="2"/>
  <c r="DA8" i="2"/>
  <c r="CA9" i="2"/>
  <c r="CE9" i="2"/>
  <c r="CI9" i="2"/>
  <c r="CM9" i="2"/>
  <c r="CQ9" i="2"/>
  <c r="CU9" i="2"/>
  <c r="CY9" i="2"/>
  <c r="DC9" i="2"/>
  <c r="DG9" i="2"/>
  <c r="DK9" i="2"/>
  <c r="DO9" i="2"/>
  <c r="DS9" i="2"/>
  <c r="DW9" i="2"/>
  <c r="EA9" i="2"/>
  <c r="EE9" i="2"/>
  <c r="EI9" i="2"/>
  <c r="EM9" i="2"/>
  <c r="EL8" i="2"/>
  <c r="ED8" i="2"/>
  <c r="DV8" i="2"/>
  <c r="DN8" i="2"/>
  <c r="DF8" i="2"/>
  <c r="CX8" i="2"/>
  <c r="CP8" i="2"/>
  <c r="CH8" i="2"/>
  <c r="BZ8" i="2"/>
  <c r="DZ8" i="2"/>
  <c r="DB8" i="2"/>
  <c r="CL8" i="2"/>
  <c r="EK8" i="2"/>
  <c r="EC8" i="2"/>
  <c r="DU8" i="2"/>
  <c r="DM8" i="2"/>
  <c r="DE8" i="2"/>
  <c r="CW8" i="2"/>
  <c r="CO8" i="2"/>
  <c r="CG8" i="2"/>
  <c r="BY8" i="2"/>
  <c r="EP8" i="2"/>
  <c r="EH8" i="2"/>
  <c r="DR8" i="2"/>
  <c r="DJ8" i="2"/>
  <c r="CT8" i="2"/>
  <c r="CD8" i="2"/>
  <c r="CC8" i="2"/>
  <c r="DI8" i="2"/>
  <c r="EO8" i="2"/>
  <c r="EG11" i="2"/>
  <c r="DQ11" i="2"/>
  <c r="DA11" i="2"/>
  <c r="CK11" i="2"/>
  <c r="DY11" i="2"/>
  <c r="DI11" i="2"/>
  <c r="CC11" i="2"/>
  <c r="EK11" i="2"/>
  <c r="DE11" i="2"/>
  <c r="BY11" i="2"/>
  <c r="EC11" i="2"/>
  <c r="DM11" i="2"/>
  <c r="CW11" i="2"/>
  <c r="CG11" i="2"/>
  <c r="EO11" i="2"/>
  <c r="CS11" i="2"/>
  <c r="CO11" i="2"/>
  <c r="DU11" i="2"/>
  <c r="CA11" i="2"/>
  <c r="CE11" i="2"/>
  <c r="CI11" i="2"/>
  <c r="CM11" i="2"/>
  <c r="CQ11" i="2"/>
  <c r="CU11" i="2"/>
  <c r="CY11" i="2"/>
  <c r="DC11" i="2"/>
  <c r="DG11" i="2"/>
  <c r="DK11" i="2"/>
  <c r="DO11" i="2"/>
  <c r="DS11" i="2"/>
  <c r="DW11" i="2"/>
  <c r="EA11" i="2"/>
  <c r="EE11" i="2"/>
  <c r="EM11" i="2"/>
  <c r="CK8" i="2"/>
  <c r="DQ8" i="2"/>
  <c r="DH12" i="2"/>
  <c r="CE21" i="2"/>
  <c r="DG30" i="2"/>
  <c r="CB12" i="2"/>
  <c r="ED18" i="2"/>
  <c r="EH18" i="2"/>
  <c r="DR18" i="2"/>
  <c r="DB18" i="2"/>
  <c r="CL18" i="2"/>
  <c r="EM30" i="2"/>
  <c r="DK30" i="2"/>
  <c r="CU30" i="2"/>
  <c r="CI30" i="2"/>
  <c r="CM30" i="2"/>
  <c r="DC30" i="2"/>
  <c r="DO30" i="2"/>
  <c r="DW30" i="2"/>
  <c r="CV41" i="2"/>
  <c r="BZ5" i="2"/>
  <c r="CH5" i="2"/>
  <c r="CP5" i="2"/>
  <c r="CX5" i="2"/>
  <c r="DF5" i="2"/>
  <c r="DN5" i="2"/>
  <c r="DV5" i="2"/>
  <c r="ED5" i="2"/>
  <c r="EP5" i="2"/>
  <c r="CD10" i="2"/>
  <c r="EP10" i="2"/>
  <c r="CB11" i="2"/>
  <c r="CJ11" i="2"/>
  <c r="CR11" i="2"/>
  <c r="CZ11" i="2"/>
  <c r="DH11" i="2"/>
  <c r="DP11" i="2"/>
  <c r="DX11" i="2"/>
  <c r="EF11" i="2"/>
  <c r="EN11" i="2"/>
  <c r="DL12" i="2"/>
  <c r="EO15" i="2"/>
  <c r="DY15" i="2"/>
  <c r="DI15" i="2"/>
  <c r="CS15" i="2"/>
  <c r="CC15" i="2"/>
  <c r="EK15" i="2"/>
  <c r="DU15" i="2"/>
  <c r="DE15" i="2"/>
  <c r="CO15" i="2"/>
  <c r="BY15" i="2"/>
  <c r="DM15" i="2"/>
  <c r="EA30" i="2"/>
  <c r="EP40" i="2"/>
  <c r="EC40" i="2"/>
  <c r="DM40" i="2"/>
  <c r="CW40" i="2"/>
  <c r="CG40" i="2"/>
  <c r="EO40" i="2"/>
  <c r="DY40" i="2"/>
  <c r="DI40" i="2"/>
  <c r="CS40" i="2"/>
  <c r="CC40" i="2"/>
  <c r="EK40" i="2"/>
  <c r="DE40" i="2"/>
  <c r="BY40" i="2"/>
  <c r="EG40" i="2"/>
  <c r="DA40" i="2"/>
  <c r="DU40" i="2"/>
  <c r="CO40" i="2"/>
  <c r="CK40" i="2"/>
  <c r="CD3" i="2"/>
  <c r="CL3" i="2"/>
  <c r="CT3" i="2"/>
  <c r="DB3" i="2"/>
  <c r="DJ3" i="2"/>
  <c r="DR3" i="2"/>
  <c r="DZ3" i="2"/>
  <c r="EH3" i="2"/>
  <c r="EP3" i="2"/>
  <c r="CA5" i="2"/>
  <c r="CE5" i="2"/>
  <c r="CI5" i="2"/>
  <c r="CM5" i="2"/>
  <c r="CQ5" i="2"/>
  <c r="CU5" i="2"/>
  <c r="CY5" i="2"/>
  <c r="DC5" i="2"/>
  <c r="DG5" i="2"/>
  <c r="DK5" i="2"/>
  <c r="DO5" i="2"/>
  <c r="DS5" i="2"/>
  <c r="DW5" i="2"/>
  <c r="EA5" i="2"/>
  <c r="EE5" i="2"/>
  <c r="EI5" i="2"/>
  <c r="EM5" i="2"/>
  <c r="CA8" i="2"/>
  <c r="CE8" i="2"/>
  <c r="CI8" i="2"/>
  <c r="CM8" i="2"/>
  <c r="CQ8" i="2"/>
  <c r="CU8" i="2"/>
  <c r="CY8" i="2"/>
  <c r="DC8" i="2"/>
  <c r="DG8" i="2"/>
  <c r="DK8" i="2"/>
  <c r="DO8" i="2"/>
  <c r="DS8" i="2"/>
  <c r="DW8" i="2"/>
  <c r="EA8" i="2"/>
  <c r="EE8" i="2"/>
  <c r="EI8" i="2"/>
  <c r="EM8" i="2"/>
  <c r="BX10" i="2"/>
  <c r="CB10" i="2"/>
  <c r="CF10" i="2"/>
  <c r="CJ10" i="2"/>
  <c r="CN10" i="2"/>
  <c r="CR10" i="2"/>
  <c r="CV10" i="2"/>
  <c r="CZ10" i="2"/>
  <c r="DD10" i="2"/>
  <c r="DH10" i="2"/>
  <c r="DL10" i="2"/>
  <c r="DP10" i="2"/>
  <c r="DT10" i="2"/>
  <c r="DX10" i="2"/>
  <c r="EB10" i="2"/>
  <c r="EF10" i="2"/>
  <c r="EJ10" i="2"/>
  <c r="EN10" i="2"/>
  <c r="CH10" i="2"/>
  <c r="DN10" i="2"/>
  <c r="BY12" i="2"/>
  <c r="CC12" i="2"/>
  <c r="CG12" i="2"/>
  <c r="CK12" i="2"/>
  <c r="CO12" i="2"/>
  <c r="CS12" i="2"/>
  <c r="CW12" i="2"/>
  <c r="DA12" i="2"/>
  <c r="DE12" i="2"/>
  <c r="DI12" i="2"/>
  <c r="DM12" i="2"/>
  <c r="DQ12" i="2"/>
  <c r="DU12" i="2"/>
  <c r="DY12" i="2"/>
  <c r="EC12" i="2"/>
  <c r="EG12" i="2"/>
  <c r="EK12" i="2"/>
  <c r="EO12" i="2"/>
  <c r="CR12" i="2"/>
  <c r="DX12" i="2"/>
  <c r="EM13" i="2"/>
  <c r="DS13" i="2"/>
  <c r="EI13" i="2"/>
  <c r="DO13" i="2"/>
  <c r="CE13" i="2"/>
  <c r="CY13" i="2"/>
  <c r="EE13" i="2"/>
  <c r="CK15" i="2"/>
  <c r="DQ15" i="2"/>
  <c r="EP26" i="2"/>
  <c r="EC26" i="2"/>
  <c r="DM26" i="2"/>
  <c r="CW26" i="2"/>
  <c r="CG26" i="2"/>
  <c r="EO26" i="2"/>
  <c r="DY26" i="2"/>
  <c r="DI26" i="2"/>
  <c r="CS26" i="2"/>
  <c r="CC26" i="2"/>
  <c r="EK26" i="2"/>
  <c r="DU26" i="2"/>
  <c r="DE26" i="2"/>
  <c r="CO26" i="2"/>
  <c r="BY26" i="2"/>
  <c r="CK26" i="2"/>
  <c r="BZ27" i="2"/>
  <c r="CD27" i="2"/>
  <c r="CH27" i="2"/>
  <c r="CL27" i="2"/>
  <c r="CP27" i="2"/>
  <c r="CT27" i="2"/>
  <c r="CX27" i="2"/>
  <c r="DB27" i="2"/>
  <c r="DF27" i="2"/>
  <c r="DJ27" i="2"/>
  <c r="DN27" i="2"/>
  <c r="DR27" i="2"/>
  <c r="DV27" i="2"/>
  <c r="DZ27" i="2"/>
  <c r="ED27" i="2"/>
  <c r="EH27" i="2"/>
  <c r="EL27" i="2"/>
  <c r="EP27" i="2"/>
  <c r="DT33" i="2"/>
  <c r="DD33" i="2"/>
  <c r="EN37" i="2"/>
  <c r="EF37" i="2"/>
  <c r="CZ37" i="2"/>
  <c r="EB37" i="2"/>
  <c r="CV37" i="2"/>
  <c r="DP37" i="2"/>
  <c r="CJ37" i="2"/>
  <c r="CF37" i="2"/>
  <c r="DQ40" i="2"/>
  <c r="EI11" i="2"/>
  <c r="EN12" i="2"/>
  <c r="EK21" i="2"/>
  <c r="EH21" i="2"/>
  <c r="CY21" i="2"/>
  <c r="EC21" i="2"/>
  <c r="CU21" i="2"/>
  <c r="DO21" i="2"/>
  <c r="CI21" i="2"/>
  <c r="CE30" i="2"/>
  <c r="CQ30" i="2"/>
  <c r="CY30" i="2"/>
  <c r="DS30" i="2"/>
  <c r="CA30" i="2"/>
  <c r="EB41" i="2"/>
  <c r="DH41" i="2"/>
  <c r="CJ41" i="2"/>
  <c r="DX41" i="2"/>
  <c r="CZ41" i="2"/>
  <c r="CF41" i="2"/>
  <c r="EF41" i="2"/>
  <c r="CR41" i="2"/>
  <c r="DP41" i="2"/>
  <c r="CB41" i="2"/>
  <c r="DL41" i="2"/>
  <c r="CD5" i="2"/>
  <c r="CL5" i="2"/>
  <c r="CT5" i="2"/>
  <c r="DB5" i="2"/>
  <c r="DJ5" i="2"/>
  <c r="DR5" i="2"/>
  <c r="DZ5" i="2"/>
  <c r="EH5" i="2"/>
  <c r="EL5" i="2"/>
  <c r="DJ10" i="2"/>
  <c r="BX11" i="2"/>
  <c r="CF11" i="2"/>
  <c r="CN11" i="2"/>
  <c r="CV11" i="2"/>
  <c r="DD11" i="2"/>
  <c r="DL11" i="2"/>
  <c r="DT11" i="2"/>
  <c r="EB11" i="2"/>
  <c r="EJ11" i="2"/>
  <c r="CF12" i="2"/>
  <c r="CG15" i="2"/>
  <c r="DV29" i="2"/>
  <c r="DF29" i="2"/>
  <c r="CA3" i="2"/>
  <c r="CE3" i="2"/>
  <c r="CI3" i="2"/>
  <c r="CM3" i="2"/>
  <c r="CQ3" i="2"/>
  <c r="CU3" i="2"/>
  <c r="CY3" i="2"/>
  <c r="DC3" i="2"/>
  <c r="DG3" i="2"/>
  <c r="DK3" i="2"/>
  <c r="DO3" i="2"/>
  <c r="DS3" i="2"/>
  <c r="DW3" i="2"/>
  <c r="EA3" i="2"/>
  <c r="EE3" i="2"/>
  <c r="EI3" i="2"/>
  <c r="EM3" i="2"/>
  <c r="BY3" i="2"/>
  <c r="CG3" i="2"/>
  <c r="CO3" i="2"/>
  <c r="CW3" i="2"/>
  <c r="DE3" i="2"/>
  <c r="DM3" i="2"/>
  <c r="DU3" i="2"/>
  <c r="EC3" i="2"/>
  <c r="BX8" i="2"/>
  <c r="CB8" i="2"/>
  <c r="CF8" i="2"/>
  <c r="CJ8" i="2"/>
  <c r="CN8" i="2"/>
  <c r="CR8" i="2"/>
  <c r="CV8" i="2"/>
  <c r="CZ8" i="2"/>
  <c r="DD8" i="2"/>
  <c r="DH8" i="2"/>
  <c r="DL8" i="2"/>
  <c r="DP8" i="2"/>
  <c r="DT8" i="2"/>
  <c r="DX8" i="2"/>
  <c r="EB8" i="2"/>
  <c r="EF8" i="2"/>
  <c r="EJ8" i="2"/>
  <c r="EN8" i="2"/>
  <c r="BZ9" i="2"/>
  <c r="CD9" i="2"/>
  <c r="CH9" i="2"/>
  <c r="CL9" i="2"/>
  <c r="CP9" i="2"/>
  <c r="CT9" i="2"/>
  <c r="CX9" i="2"/>
  <c r="DB9" i="2"/>
  <c r="DF9" i="2"/>
  <c r="DJ9" i="2"/>
  <c r="DN9" i="2"/>
  <c r="DV9" i="2"/>
  <c r="ED9" i="2"/>
  <c r="EL9" i="2"/>
  <c r="BY10" i="2"/>
  <c r="CC10" i="2"/>
  <c r="CG10" i="2"/>
  <c r="CK10" i="2"/>
  <c r="CO10" i="2"/>
  <c r="CS10" i="2"/>
  <c r="CW10" i="2"/>
  <c r="DA10" i="2"/>
  <c r="DE10" i="2"/>
  <c r="DI10" i="2"/>
  <c r="DM10" i="2"/>
  <c r="DQ10" i="2"/>
  <c r="DU10" i="2"/>
  <c r="DY10" i="2"/>
  <c r="EC10" i="2"/>
  <c r="EG10" i="2"/>
  <c r="EK10" i="2"/>
  <c r="EO10" i="2"/>
  <c r="CT10" i="2"/>
  <c r="DZ10" i="2"/>
  <c r="BZ11" i="2"/>
  <c r="CD11" i="2"/>
  <c r="CH11" i="2"/>
  <c r="CL11" i="2"/>
  <c r="CP11" i="2"/>
  <c r="CT11" i="2"/>
  <c r="CX11" i="2"/>
  <c r="DB11" i="2"/>
  <c r="DF11" i="2"/>
  <c r="DJ11" i="2"/>
  <c r="DN11" i="2"/>
  <c r="DR11" i="2"/>
  <c r="DV11" i="2"/>
  <c r="DZ11" i="2"/>
  <c r="ED11" i="2"/>
  <c r="EH11" i="2"/>
  <c r="EL11" i="2"/>
  <c r="EP11" i="2"/>
  <c r="CV12" i="2"/>
  <c r="EB12" i="2"/>
  <c r="DD13" i="2"/>
  <c r="DH13" i="2"/>
  <c r="DL13" i="2"/>
  <c r="DP13" i="2"/>
  <c r="DT13" i="2"/>
  <c r="DX13" i="2"/>
  <c r="EB13" i="2"/>
  <c r="EF13" i="2"/>
  <c r="EJ13" i="2"/>
  <c r="EN13" i="2"/>
  <c r="CI13" i="2"/>
  <c r="DC13" i="2"/>
  <c r="CW15" i="2"/>
  <c r="EC15" i="2"/>
  <c r="EL22" i="2"/>
  <c r="DX22" i="2"/>
  <c r="DB22" i="2"/>
  <c r="CG22" i="2"/>
  <c r="EN22" i="2"/>
  <c r="DR22" i="2"/>
  <c r="CW22" i="2"/>
  <c r="CB22" i="2"/>
  <c r="EH22" i="2"/>
  <c r="DM22" i="2"/>
  <c r="CR22" i="2"/>
  <c r="CL22" i="2"/>
  <c r="EI23" i="2"/>
  <c r="EA23" i="2"/>
  <c r="DS23" i="2"/>
  <c r="CU23" i="2"/>
  <c r="CM23" i="2"/>
  <c r="DA26" i="2"/>
  <c r="EB27" i="2"/>
  <c r="DX27" i="2"/>
  <c r="CR27" i="2"/>
  <c r="DP27" i="2"/>
  <c r="CJ27" i="2"/>
  <c r="EN27" i="2"/>
  <c r="DH27" i="2"/>
  <c r="CB27" i="2"/>
  <c r="CZ27" i="2"/>
  <c r="EG36" i="2"/>
  <c r="DQ36" i="2"/>
  <c r="DA36" i="2"/>
  <c r="CK36" i="2"/>
  <c r="EC36" i="2"/>
  <c r="DM36" i="2"/>
  <c r="CW36" i="2"/>
  <c r="CG36" i="2"/>
  <c r="EO36" i="2"/>
  <c r="DY36" i="2"/>
  <c r="DI36" i="2"/>
  <c r="CS36" i="2"/>
  <c r="CC36" i="2"/>
  <c r="CA36" i="2"/>
  <c r="CE36" i="2"/>
  <c r="CI36" i="2"/>
  <c r="CM36" i="2"/>
  <c r="CQ36" i="2"/>
  <c r="CU36" i="2"/>
  <c r="CY36" i="2"/>
  <c r="DC36" i="2"/>
  <c r="DG36" i="2"/>
  <c r="DK36" i="2"/>
  <c r="DO36" i="2"/>
  <c r="DS36" i="2"/>
  <c r="DW36" i="2"/>
  <c r="EA36" i="2"/>
  <c r="EE36" i="2"/>
  <c r="EI36" i="2"/>
  <c r="EM36" i="2"/>
  <c r="BY36" i="2"/>
  <c r="EK36" i="2"/>
  <c r="DL37" i="2"/>
  <c r="BX21" i="2"/>
  <c r="CB21" i="2"/>
  <c r="CF21" i="2"/>
  <c r="CJ21" i="2"/>
  <c r="CN21" i="2"/>
  <c r="CR21" i="2"/>
  <c r="CV21" i="2"/>
  <c r="CZ21" i="2"/>
  <c r="DD21" i="2"/>
  <c r="DH21" i="2"/>
  <c r="DL21" i="2"/>
  <c r="DP21" i="2"/>
  <c r="DT21" i="2"/>
  <c r="BX23" i="2"/>
  <c r="CB23" i="2"/>
  <c r="CF23" i="2"/>
  <c r="CJ23" i="2"/>
  <c r="CN23" i="2"/>
  <c r="CR23" i="2"/>
  <c r="CV23" i="2"/>
  <c r="CZ23" i="2"/>
  <c r="DD23" i="2"/>
  <c r="DH23" i="2"/>
  <c r="DL23" i="2"/>
  <c r="CE24" i="2"/>
  <c r="CY24" i="2"/>
  <c r="DS24" i="2"/>
  <c r="CA26" i="2"/>
  <c r="CE26" i="2"/>
  <c r="CI26" i="2"/>
  <c r="CM26" i="2"/>
  <c r="CQ26" i="2"/>
  <c r="CU26" i="2"/>
  <c r="CY26" i="2"/>
  <c r="DC26" i="2"/>
  <c r="DG26" i="2"/>
  <c r="DK26" i="2"/>
  <c r="DO26" i="2"/>
  <c r="DS26" i="2"/>
  <c r="DW26" i="2"/>
  <c r="EA26" i="2"/>
  <c r="EE26" i="2"/>
  <c r="EI26" i="2"/>
  <c r="EM26" i="2"/>
  <c r="BX30" i="2"/>
  <c r="CB30" i="2"/>
  <c r="CF30" i="2"/>
  <c r="CJ30" i="2"/>
  <c r="CN30" i="2"/>
  <c r="CR30" i="2"/>
  <c r="CV30" i="2"/>
  <c r="CZ30" i="2"/>
  <c r="DD30" i="2"/>
  <c r="DH30" i="2"/>
  <c r="DL30" i="2"/>
  <c r="DP30" i="2"/>
  <c r="DT30" i="2"/>
  <c r="DX30" i="2"/>
  <c r="EB30" i="2"/>
  <c r="EF30" i="2"/>
  <c r="EJ30" i="2"/>
  <c r="EN30" i="2"/>
  <c r="CE34" i="2"/>
  <c r="BX36" i="2"/>
  <c r="CB36" i="2"/>
  <c r="CF36" i="2"/>
  <c r="CJ36" i="2"/>
  <c r="CN36" i="2"/>
  <c r="CR36" i="2"/>
  <c r="CV36" i="2"/>
  <c r="CZ36" i="2"/>
  <c r="DD36" i="2"/>
  <c r="DH36" i="2"/>
  <c r="DL36" i="2"/>
  <c r="DP36" i="2"/>
  <c r="DT36" i="2"/>
  <c r="DX36" i="2"/>
  <c r="EB36" i="2"/>
  <c r="EF36" i="2"/>
  <c r="EJ36" i="2"/>
  <c r="EN36" i="2"/>
  <c r="BZ41" i="2"/>
  <c r="CD41" i="2"/>
  <c r="CH41" i="2"/>
  <c r="CL41" i="2"/>
  <c r="CP41" i="2"/>
  <c r="CT41" i="2"/>
  <c r="CX41" i="2"/>
  <c r="DB41" i="2"/>
  <c r="DF41" i="2"/>
  <c r="DJ41" i="2"/>
  <c r="DN41" i="2"/>
  <c r="DR41" i="2"/>
  <c r="DV41" i="2"/>
  <c r="DZ41" i="2"/>
  <c r="ED41" i="2"/>
  <c r="EH41" i="2"/>
  <c r="EL41" i="2"/>
  <c r="EP41" i="2"/>
  <c r="EI49" i="2"/>
  <c r="DC49" i="2"/>
  <c r="EA49" i="2"/>
  <c r="CU49" i="2"/>
  <c r="DS49" i="2"/>
  <c r="CM49" i="2"/>
  <c r="DK49" i="2"/>
  <c r="CE49" i="2"/>
  <c r="EB59" i="2"/>
  <c r="DP59" i="2"/>
  <c r="CZ59" i="2"/>
  <c r="CJ59" i="2"/>
  <c r="EF59" i="2"/>
  <c r="EE61" i="2"/>
  <c r="CY61" i="2"/>
  <c r="CH61" i="2"/>
  <c r="DW61" i="2"/>
  <c r="CT61" i="2"/>
  <c r="CD61" i="2"/>
  <c r="DG61" i="2"/>
  <c r="CP61" i="2"/>
  <c r="EM61" i="2"/>
  <c r="CL61" i="2"/>
  <c r="DO61" i="2"/>
  <c r="CA61" i="2"/>
  <c r="CE61" i="2"/>
  <c r="CI61" i="2"/>
  <c r="CM61" i="2"/>
  <c r="CQ61" i="2"/>
  <c r="CU61" i="2"/>
  <c r="DC61" i="2"/>
  <c r="DK61" i="2"/>
  <c r="DS61" i="2"/>
  <c r="EA61" i="2"/>
  <c r="EI61" i="2"/>
  <c r="BZ61" i="2"/>
  <c r="CA15" i="2"/>
  <c r="CE15" i="2"/>
  <c r="CI15" i="2"/>
  <c r="CM15" i="2"/>
  <c r="CQ15" i="2"/>
  <c r="CU15" i="2"/>
  <c r="CY15" i="2"/>
  <c r="DC15" i="2"/>
  <c r="DG15" i="2"/>
  <c r="DK15" i="2"/>
  <c r="DO15" i="2"/>
  <c r="DS15" i="2"/>
  <c r="DW15" i="2"/>
  <c r="EA15" i="2"/>
  <c r="EE15" i="2"/>
  <c r="EI15" i="2"/>
  <c r="EM15" i="2"/>
  <c r="CY17" i="2"/>
  <c r="EE17" i="2"/>
  <c r="BY21" i="2"/>
  <c r="CC21" i="2"/>
  <c r="CG21" i="2"/>
  <c r="CK21" i="2"/>
  <c r="CO21" i="2"/>
  <c r="CS21" i="2"/>
  <c r="CW21" i="2"/>
  <c r="DA21" i="2"/>
  <c r="DE21" i="2"/>
  <c r="DI21" i="2"/>
  <c r="DM21" i="2"/>
  <c r="DQ21" i="2"/>
  <c r="DU21" i="2"/>
  <c r="DY21" i="2"/>
  <c r="EG21" i="2"/>
  <c r="EO21" i="2"/>
  <c r="CI24" i="2"/>
  <c r="DC24" i="2"/>
  <c r="EA24" i="2"/>
  <c r="CD25" i="2"/>
  <c r="DJ25" i="2"/>
  <c r="EP25" i="2"/>
  <c r="BX26" i="2"/>
  <c r="CB26" i="2"/>
  <c r="CF26" i="2"/>
  <c r="CJ26" i="2"/>
  <c r="CN26" i="2"/>
  <c r="CR26" i="2"/>
  <c r="CV26" i="2"/>
  <c r="CZ26" i="2"/>
  <c r="DD26" i="2"/>
  <c r="DH26" i="2"/>
  <c r="DL26" i="2"/>
  <c r="DP26" i="2"/>
  <c r="DT26" i="2"/>
  <c r="DX26" i="2"/>
  <c r="EB26" i="2"/>
  <c r="EF26" i="2"/>
  <c r="EJ26" i="2"/>
  <c r="EN26" i="2"/>
  <c r="EE28" i="2"/>
  <c r="CH31" i="2"/>
  <c r="DN31" i="2"/>
  <c r="BX34" i="2"/>
  <c r="CB34" i="2"/>
  <c r="CF34" i="2"/>
  <c r="CJ34" i="2"/>
  <c r="CN34" i="2"/>
  <c r="CR34" i="2"/>
  <c r="CV34" i="2"/>
  <c r="CZ34" i="2"/>
  <c r="DD34" i="2"/>
  <c r="DH34" i="2"/>
  <c r="DL34" i="2"/>
  <c r="DP34" i="2"/>
  <c r="DT34" i="2"/>
  <c r="DX34" i="2"/>
  <c r="EB34" i="2"/>
  <c r="EF34" i="2"/>
  <c r="EJ34" i="2"/>
  <c r="EN34" i="2"/>
  <c r="CU34" i="2"/>
  <c r="CH35" i="2"/>
  <c r="DN35" i="2"/>
  <c r="BY37" i="2"/>
  <c r="CC37" i="2"/>
  <c r="CG37" i="2"/>
  <c r="CK37" i="2"/>
  <c r="CO37" i="2"/>
  <c r="CS37" i="2"/>
  <c r="CW37" i="2"/>
  <c r="DA37" i="2"/>
  <c r="DE37" i="2"/>
  <c r="DI37" i="2"/>
  <c r="DM37" i="2"/>
  <c r="DQ37" i="2"/>
  <c r="DU37" i="2"/>
  <c r="DY37" i="2"/>
  <c r="EC37" i="2"/>
  <c r="EG37" i="2"/>
  <c r="EK37" i="2"/>
  <c r="EO37" i="2"/>
  <c r="BZ40" i="2"/>
  <c r="CD40" i="2"/>
  <c r="CH40" i="2"/>
  <c r="CL40" i="2"/>
  <c r="CP40" i="2"/>
  <c r="CT40" i="2"/>
  <c r="CX40" i="2"/>
  <c r="DB40" i="2"/>
  <c r="DF40" i="2"/>
  <c r="DJ40" i="2"/>
  <c r="DN40" i="2"/>
  <c r="DR40" i="2"/>
  <c r="BX15" i="2"/>
  <c r="CB15" i="2"/>
  <c r="CF15" i="2"/>
  <c r="CJ15" i="2"/>
  <c r="CN15" i="2"/>
  <c r="CR15" i="2"/>
  <c r="CV15" i="2"/>
  <c r="CZ15" i="2"/>
  <c r="DD15" i="2"/>
  <c r="DH15" i="2"/>
  <c r="DL15" i="2"/>
  <c r="DP15" i="2"/>
  <c r="DT15" i="2"/>
  <c r="DX15" i="2"/>
  <c r="EB15" i="2"/>
  <c r="EF15" i="2"/>
  <c r="EJ15" i="2"/>
  <c r="EN15" i="2"/>
  <c r="CE17" i="2"/>
  <c r="DK17" i="2"/>
  <c r="BX22" i="2"/>
  <c r="CF22" i="2"/>
  <c r="CJ22" i="2"/>
  <c r="CN22" i="2"/>
  <c r="CV22" i="2"/>
  <c r="CZ22" i="2"/>
  <c r="DD22" i="2"/>
  <c r="DL22" i="2"/>
  <c r="DP22" i="2"/>
  <c r="DT22" i="2"/>
  <c r="EB22" i="2"/>
  <c r="EF22" i="2"/>
  <c r="EJ22" i="2"/>
  <c r="BY24" i="2"/>
  <c r="CC24" i="2"/>
  <c r="CG24" i="2"/>
  <c r="CK24" i="2"/>
  <c r="CO24" i="2"/>
  <c r="CS24" i="2"/>
  <c r="CW24" i="2"/>
  <c r="DA24" i="2"/>
  <c r="DE24" i="2"/>
  <c r="DI24" i="2"/>
  <c r="DM24" i="2"/>
  <c r="DQ24" i="2"/>
  <c r="DU24" i="2"/>
  <c r="DY24" i="2"/>
  <c r="EC24" i="2"/>
  <c r="EG24" i="2"/>
  <c r="EK24" i="2"/>
  <c r="EO24" i="2"/>
  <c r="CM24" i="2"/>
  <c r="DK24" i="2"/>
  <c r="CB25" i="2"/>
  <c r="CF25" i="2"/>
  <c r="CJ25" i="2"/>
  <c r="CN25" i="2"/>
  <c r="CR25" i="2"/>
  <c r="CV25" i="2"/>
  <c r="CZ25" i="2"/>
  <c r="DD25" i="2"/>
  <c r="DH25" i="2"/>
  <c r="DL25" i="2"/>
  <c r="DP25" i="2"/>
  <c r="DT25" i="2"/>
  <c r="DX25" i="2"/>
  <c r="EB25" i="2"/>
  <c r="EF25" i="2"/>
  <c r="EJ25" i="2"/>
  <c r="EN25" i="2"/>
  <c r="CL25" i="2"/>
  <c r="DR25" i="2"/>
  <c r="CI28" i="2"/>
  <c r="CL31" i="2"/>
  <c r="DR31" i="2"/>
  <c r="CO32" i="2"/>
  <c r="DK34" i="2"/>
  <c r="CL35" i="2"/>
  <c r="DR35" i="2"/>
  <c r="BZ36" i="2"/>
  <c r="CD36" i="2"/>
  <c r="CH36" i="2"/>
  <c r="CL36" i="2"/>
  <c r="CP36" i="2"/>
  <c r="CT36" i="2"/>
  <c r="CX36" i="2"/>
  <c r="DB36" i="2"/>
  <c r="DF36" i="2"/>
  <c r="DJ36" i="2"/>
  <c r="DN36" i="2"/>
  <c r="DR36" i="2"/>
  <c r="DV36" i="2"/>
  <c r="DZ36" i="2"/>
  <c r="ED36" i="2"/>
  <c r="EH36" i="2"/>
  <c r="EL36" i="2"/>
  <c r="EP36" i="2"/>
  <c r="BZ37" i="2"/>
  <c r="CD37" i="2"/>
  <c r="CH37" i="2"/>
  <c r="CL37" i="2"/>
  <c r="CP37" i="2"/>
  <c r="CT37" i="2"/>
  <c r="CX37" i="2"/>
  <c r="DB37" i="2"/>
  <c r="DF37" i="2"/>
  <c r="DJ37" i="2"/>
  <c r="DN37" i="2"/>
  <c r="DR37" i="2"/>
  <c r="DV37" i="2"/>
  <c r="DZ37" i="2"/>
  <c r="ED37" i="2"/>
  <c r="EH37" i="2"/>
  <c r="EL37" i="2"/>
  <c r="EP37" i="2"/>
  <c r="CA40" i="2"/>
  <c r="CE40" i="2"/>
  <c r="CI40" i="2"/>
  <c r="CM40" i="2"/>
  <c r="CQ40" i="2"/>
  <c r="CU40" i="2"/>
  <c r="CY40" i="2"/>
  <c r="DC40" i="2"/>
  <c r="DG40" i="2"/>
  <c r="DK40" i="2"/>
  <c r="DO40" i="2"/>
  <c r="DS40" i="2"/>
  <c r="DW40" i="2"/>
  <c r="EA40" i="2"/>
  <c r="EE40" i="2"/>
  <c r="EI40" i="2"/>
  <c r="EM40" i="2"/>
  <c r="ED46" i="2"/>
  <c r="EH46" i="2"/>
  <c r="DB46" i="2"/>
  <c r="DZ46" i="2"/>
  <c r="CT46" i="2"/>
  <c r="DR46" i="2"/>
  <c r="CL46" i="2"/>
  <c r="CD46" i="2"/>
  <c r="EF48" i="2"/>
  <c r="EB48" i="2"/>
  <c r="DL48" i="2"/>
  <c r="CV48" i="2"/>
  <c r="CF48" i="2"/>
  <c r="CD39" i="2"/>
  <c r="CX39" i="2"/>
  <c r="DR39" i="2"/>
  <c r="EP39" i="2"/>
  <c r="BX40" i="2"/>
  <c r="CB40" i="2"/>
  <c r="CF40" i="2"/>
  <c r="CJ40" i="2"/>
  <c r="CN40" i="2"/>
  <c r="CR40" i="2"/>
  <c r="CV40" i="2"/>
  <c r="CZ40" i="2"/>
  <c r="DD40" i="2"/>
  <c r="DH40" i="2"/>
  <c r="DL40" i="2"/>
  <c r="DP40" i="2"/>
  <c r="DT40" i="2"/>
  <c r="DX40" i="2"/>
  <c r="EB40" i="2"/>
  <c r="EF40" i="2"/>
  <c r="EJ40" i="2"/>
  <c r="EN40" i="2"/>
  <c r="CL42" i="2"/>
  <c r="CP42" i="2"/>
  <c r="CT42" i="2"/>
  <c r="CX42" i="2"/>
  <c r="DB42" i="2"/>
  <c r="DF42" i="2"/>
  <c r="DJ42" i="2"/>
  <c r="DN42" i="2"/>
  <c r="DR42" i="2"/>
  <c r="DV42" i="2"/>
  <c r="DZ42" i="2"/>
  <c r="ED42" i="2"/>
  <c r="EH42" i="2"/>
  <c r="EL42" i="2"/>
  <c r="EP42" i="2"/>
  <c r="DC42" i="2"/>
  <c r="EI42" i="2"/>
  <c r="DJ43" i="2"/>
  <c r="CC45" i="2"/>
  <c r="DI45" i="2"/>
  <c r="EO45" i="2"/>
  <c r="EC47" i="2"/>
  <c r="BX49" i="2"/>
  <c r="CB49" i="2"/>
  <c r="CF49" i="2"/>
  <c r="CJ49" i="2"/>
  <c r="CN49" i="2"/>
  <c r="CR49" i="2"/>
  <c r="CV49" i="2"/>
  <c r="CZ49" i="2"/>
  <c r="CJ39" i="2"/>
  <c r="CN39" i="2"/>
  <c r="CR39" i="2"/>
  <c r="CV39" i="2"/>
  <c r="CZ39" i="2"/>
  <c r="DD39" i="2"/>
  <c r="DH39" i="2"/>
  <c r="DL39" i="2"/>
  <c r="DP39" i="2"/>
  <c r="DT39" i="2"/>
  <c r="DX39" i="2"/>
  <c r="EB39" i="2"/>
  <c r="EF39" i="2"/>
  <c r="EJ39" i="2"/>
  <c r="EN39" i="2"/>
  <c r="CH39" i="2"/>
  <c r="DB39" i="2"/>
  <c r="DZ39" i="2"/>
  <c r="BY41" i="2"/>
  <c r="CC41" i="2"/>
  <c r="CG41" i="2"/>
  <c r="CI42" i="2"/>
  <c r="DZ43" i="2"/>
  <c r="CR45" i="2"/>
  <c r="CV45" i="2"/>
  <c r="CZ45" i="2"/>
  <c r="CK45" i="2"/>
  <c r="DQ45" i="2"/>
  <c r="BY46" i="2"/>
  <c r="CC46" i="2"/>
  <c r="CG46" i="2"/>
  <c r="CK46" i="2"/>
  <c r="CO46" i="2"/>
  <c r="CG47" i="2"/>
  <c r="BY48" i="2"/>
  <c r="CC48" i="2"/>
  <c r="CG48" i="2"/>
  <c r="CK48" i="2"/>
  <c r="CO48" i="2"/>
  <c r="CS48" i="2"/>
  <c r="CW48" i="2"/>
  <c r="DA48" i="2"/>
  <c r="DE48" i="2"/>
  <c r="DI48" i="2"/>
  <c r="DM48" i="2"/>
  <c r="DQ48" i="2"/>
  <c r="DU48" i="2"/>
  <c r="DY48" i="2"/>
  <c r="EC48" i="2"/>
  <c r="EG48" i="2"/>
  <c r="EK48" i="2"/>
  <c r="EO48" i="2"/>
  <c r="EK53" i="2"/>
  <c r="EC53" i="2"/>
  <c r="DU53" i="2"/>
  <c r="DM53" i="2"/>
  <c r="EP53" i="2"/>
  <c r="EG53" i="2"/>
  <c r="DV53" i="2"/>
  <c r="DJ53" i="2"/>
  <c r="DB53" i="2"/>
  <c r="CP53" i="2"/>
  <c r="CG53" i="2"/>
  <c r="EO53" i="2"/>
  <c r="ED53" i="2"/>
  <c r="DR53" i="2"/>
  <c r="DI53" i="2"/>
  <c r="CX53" i="2"/>
  <c r="CO53" i="2"/>
  <c r="CD53" i="2"/>
  <c r="EL53" i="2"/>
  <c r="DZ53" i="2"/>
  <c r="DQ53" i="2"/>
  <c r="DF53" i="2"/>
  <c r="CW53" i="2"/>
  <c r="CL53" i="2"/>
  <c r="BZ53" i="2"/>
  <c r="CA53" i="2"/>
  <c r="CE53" i="2"/>
  <c r="CI53" i="2"/>
  <c r="CM53" i="2"/>
  <c r="CQ53" i="2"/>
  <c r="CU53" i="2"/>
  <c r="CY53" i="2"/>
  <c r="DC53" i="2"/>
  <c r="DG53" i="2"/>
  <c r="DK53" i="2"/>
  <c r="DO53" i="2"/>
  <c r="DS53" i="2"/>
  <c r="DW53" i="2"/>
  <c r="EA53" i="2"/>
  <c r="EE53" i="2"/>
  <c r="EI53" i="2"/>
  <c r="EM53" i="2"/>
  <c r="BY53" i="2"/>
  <c r="DN53" i="2"/>
  <c r="EF54" i="2"/>
  <c r="DL54" i="2"/>
  <c r="CR54" i="2"/>
  <c r="EB54" i="2"/>
  <c r="DH54" i="2"/>
  <c r="CJ54" i="2"/>
  <c r="DX54" i="2"/>
  <c r="CF54" i="2"/>
  <c r="DP54" i="2"/>
  <c r="CB54" i="2"/>
  <c r="CZ54" i="2"/>
  <c r="CV54" i="2"/>
  <c r="CD43" i="2"/>
  <c r="EP43" i="2"/>
  <c r="BZ49" i="2"/>
  <c r="CD49" i="2"/>
  <c r="CH49" i="2"/>
  <c r="CL49" i="2"/>
  <c r="CP49" i="2"/>
  <c r="CT49" i="2"/>
  <c r="CX49" i="2"/>
  <c r="DB49" i="2"/>
  <c r="DF49" i="2"/>
  <c r="DJ49" i="2"/>
  <c r="DN49" i="2"/>
  <c r="DR49" i="2"/>
  <c r="DV49" i="2"/>
  <c r="CH53" i="2"/>
  <c r="DY53" i="2"/>
  <c r="EH56" i="2"/>
  <c r="DN56" i="2"/>
  <c r="CX56" i="2"/>
  <c r="ED56" i="2"/>
  <c r="CH56" i="2"/>
  <c r="DD49" i="2"/>
  <c r="DH49" i="2"/>
  <c r="DL49" i="2"/>
  <c r="DP49" i="2"/>
  <c r="DT49" i="2"/>
  <c r="DX49" i="2"/>
  <c r="EB49" i="2"/>
  <c r="EF49" i="2"/>
  <c r="EJ49" i="2"/>
  <c r="EN49" i="2"/>
  <c r="CL50" i="2"/>
  <c r="DB50" i="2"/>
  <c r="DR50" i="2"/>
  <c r="BY51" i="2"/>
  <c r="CC51" i="2"/>
  <c r="CG51" i="2"/>
  <c r="CK51" i="2"/>
  <c r="CO51" i="2"/>
  <c r="CS51" i="2"/>
  <c r="CW51" i="2"/>
  <c r="DA51" i="2"/>
  <c r="DE51" i="2"/>
  <c r="DI51" i="2"/>
  <c r="DM51" i="2"/>
  <c r="DQ51" i="2"/>
  <c r="DU51" i="2"/>
  <c r="DY51" i="2"/>
  <c r="EC51" i="2"/>
  <c r="EG51" i="2"/>
  <c r="EK51" i="2"/>
  <c r="EO51" i="2"/>
  <c r="CL51" i="2"/>
  <c r="DG51" i="2"/>
  <c r="EB51" i="2"/>
  <c r="CD52" i="2"/>
  <c r="DJ52" i="2"/>
  <c r="EP52" i="2"/>
  <c r="BX53" i="2"/>
  <c r="CB53" i="2"/>
  <c r="CF53" i="2"/>
  <c r="CJ53" i="2"/>
  <c r="CN53" i="2"/>
  <c r="CR53" i="2"/>
  <c r="CV53" i="2"/>
  <c r="CZ53" i="2"/>
  <c r="DD53" i="2"/>
  <c r="DH53" i="2"/>
  <c r="DL53" i="2"/>
  <c r="DP53" i="2"/>
  <c r="DT53" i="2"/>
  <c r="DX53" i="2"/>
  <c r="EB53" i="2"/>
  <c r="EF53" i="2"/>
  <c r="EJ53" i="2"/>
  <c r="EN53" i="2"/>
  <c r="BZ54" i="2"/>
  <c r="CD54" i="2"/>
  <c r="CH54" i="2"/>
  <c r="CL54" i="2"/>
  <c r="CP54" i="2"/>
  <c r="CT54" i="2"/>
  <c r="CX54" i="2"/>
  <c r="DB54" i="2"/>
  <c r="DS63" i="2"/>
  <c r="EI63" i="2"/>
  <c r="CE63" i="2"/>
  <c r="CA50" i="2"/>
  <c r="CE50" i="2"/>
  <c r="CI50" i="2"/>
  <c r="CM50" i="2"/>
  <c r="CQ50" i="2"/>
  <c r="CU50" i="2"/>
  <c r="CY50" i="2"/>
  <c r="DC50" i="2"/>
  <c r="DG50" i="2"/>
  <c r="DK50" i="2"/>
  <c r="DO50" i="2"/>
  <c r="DS50" i="2"/>
  <c r="DW50" i="2"/>
  <c r="EE50" i="2"/>
  <c r="EI50" i="2"/>
  <c r="EM50" i="2"/>
  <c r="BZ50" i="2"/>
  <c r="CP50" i="2"/>
  <c r="DF50" i="2"/>
  <c r="DV50" i="2"/>
  <c r="CH51" i="2"/>
  <c r="CX51" i="2"/>
  <c r="DN51" i="2"/>
  <c r="ED51" i="2"/>
  <c r="CQ51" i="2"/>
  <c r="DL51" i="2"/>
  <c r="EH51" i="2"/>
  <c r="CL52" i="2"/>
  <c r="DR52" i="2"/>
  <c r="CC53" i="2"/>
  <c r="CK53" i="2"/>
  <c r="CS53" i="2"/>
  <c r="DA53" i="2"/>
  <c r="BZ59" i="2"/>
  <c r="CD59" i="2"/>
  <c r="CH59" i="2"/>
  <c r="CL59" i="2"/>
  <c r="CP59" i="2"/>
  <c r="CT59" i="2"/>
  <c r="CX59" i="2"/>
  <c r="DB59" i="2"/>
  <c r="DF59" i="2"/>
  <c r="DJ59" i="2"/>
  <c r="DN59" i="2"/>
  <c r="DR59" i="2"/>
  <c r="DV59" i="2"/>
  <c r="DZ59" i="2"/>
  <c r="ED59" i="2"/>
  <c r="EH59" i="2"/>
  <c r="EL59" i="2"/>
  <c r="EP59" i="2"/>
  <c r="DC63" i="2"/>
  <c r="DZ49" i="2"/>
  <c r="ED49" i="2"/>
  <c r="EH49" i="2"/>
  <c r="EL49" i="2"/>
  <c r="EP49" i="2"/>
  <c r="EB50" i="2"/>
  <c r="EJ50" i="2"/>
  <c r="CD50" i="2"/>
  <c r="CT50" i="2"/>
  <c r="DJ50" i="2"/>
  <c r="EA50" i="2"/>
  <c r="CE51" i="2"/>
  <c r="CI51" i="2"/>
  <c r="CM51" i="2"/>
  <c r="CU51" i="2"/>
  <c r="CY51" i="2"/>
  <c r="DC51" i="2"/>
  <c r="DK51" i="2"/>
  <c r="DO51" i="2"/>
  <c r="DS51" i="2"/>
  <c r="EA51" i="2"/>
  <c r="EE51" i="2"/>
  <c r="EI51" i="2"/>
  <c r="EM51" i="2"/>
  <c r="CA51" i="2"/>
  <c r="CV51" i="2"/>
  <c r="DR51" i="2"/>
  <c r="EN51" i="2"/>
  <c r="CC52" i="2"/>
  <c r="CG52" i="2"/>
  <c r="CK52" i="2"/>
  <c r="CO52" i="2"/>
  <c r="CS52" i="2"/>
  <c r="CW52" i="2"/>
  <c r="DA52" i="2"/>
  <c r="DE52" i="2"/>
  <c r="DI52" i="2"/>
  <c r="DM52" i="2"/>
  <c r="DQ52" i="2"/>
  <c r="DU52" i="2"/>
  <c r="DY52" i="2"/>
  <c r="EC52" i="2"/>
  <c r="EG52" i="2"/>
  <c r="EK52" i="2"/>
  <c r="EO52" i="2"/>
  <c r="CT52" i="2"/>
  <c r="DZ52" i="2"/>
  <c r="CQ55" i="2"/>
  <c r="CD57" i="2"/>
  <c r="CL57" i="2"/>
  <c r="CT57" i="2"/>
  <c r="DB57" i="2"/>
  <c r="DU57" i="2"/>
  <c r="DG60" i="2"/>
  <c r="BX61" i="2"/>
  <c r="CB61" i="2"/>
  <c r="CF61" i="2"/>
  <c r="CJ61" i="2"/>
  <c r="CN61" i="2"/>
  <c r="CR61" i="2"/>
  <c r="CV61" i="2"/>
  <c r="CZ61" i="2"/>
  <c r="DD61" i="2"/>
  <c r="DH61" i="2"/>
  <c r="DL61" i="2"/>
  <c r="DP61" i="2"/>
  <c r="DT61" i="2"/>
  <c r="DX61" i="2"/>
  <c r="EB61" i="2"/>
  <c r="EF61" i="2"/>
  <c r="EJ61" i="2"/>
  <c r="EN61" i="2"/>
  <c r="DF54" i="2"/>
  <c r="DJ54" i="2"/>
  <c r="DN54" i="2"/>
  <c r="DR54" i="2"/>
  <c r="DV54" i="2"/>
  <c r="DZ54" i="2"/>
  <c r="ED54" i="2"/>
  <c r="EH54" i="2"/>
  <c r="EL54" i="2"/>
  <c r="EP54" i="2"/>
  <c r="BY56" i="2"/>
  <c r="CC56" i="2"/>
  <c r="CG56" i="2"/>
  <c r="CK56" i="2"/>
  <c r="CO56" i="2"/>
  <c r="CS56" i="2"/>
  <c r="CW56" i="2"/>
  <c r="DA56" i="2"/>
  <c r="DE56" i="2"/>
  <c r="DI56" i="2"/>
  <c r="DM56" i="2"/>
  <c r="DQ56" i="2"/>
  <c r="DU56" i="2"/>
  <c r="DY56" i="2"/>
  <c r="EC56" i="2"/>
  <c r="EG56" i="2"/>
  <c r="EK56" i="2"/>
  <c r="EO56" i="2"/>
  <c r="CA57" i="2"/>
  <c r="CE57" i="2"/>
  <c r="CI57" i="2"/>
  <c r="CM57" i="2"/>
  <c r="CQ57" i="2"/>
  <c r="CU57" i="2"/>
  <c r="CY57" i="2"/>
  <c r="DC57" i="2"/>
  <c r="DO57" i="2"/>
  <c r="DS57" i="2"/>
  <c r="EE57" i="2"/>
  <c r="EI57" i="2"/>
  <c r="BY57" i="2"/>
  <c r="CG57" i="2"/>
  <c r="CO57" i="2"/>
  <c r="CW57" i="2"/>
  <c r="DE57" i="2"/>
  <c r="EA57" i="2"/>
  <c r="BY61" i="2"/>
  <c r="CC61" i="2"/>
  <c r="CG61" i="2"/>
  <c r="CK61" i="2"/>
  <c r="CO61" i="2"/>
  <c r="CS61" i="2"/>
  <c r="CW61" i="2"/>
  <c r="DA61" i="2"/>
  <c r="DE61" i="2"/>
  <c r="DI61" i="2"/>
  <c r="DM61" i="2"/>
  <c r="DQ61" i="2"/>
  <c r="DU61" i="2"/>
  <c r="DY61" i="2"/>
  <c r="EC61" i="2"/>
  <c r="EG61" i="2"/>
  <c r="EK61" i="2"/>
  <c r="EO61" i="2"/>
  <c r="BX7" i="2"/>
  <c r="CF7" i="2"/>
  <c r="CN7" i="2"/>
  <c r="CV7" i="2"/>
  <c r="DD7" i="2"/>
  <c r="DP7" i="2"/>
  <c r="DX7" i="2"/>
  <c r="EJ7" i="2"/>
  <c r="BZ6" i="2"/>
  <c r="CD6" i="2"/>
  <c r="CH6" i="2"/>
  <c r="CL6" i="2"/>
  <c r="CP6" i="2"/>
  <c r="CT6" i="2"/>
  <c r="CX6" i="2"/>
  <c r="DB6" i="2"/>
  <c r="DF6" i="2"/>
  <c r="DJ6" i="2"/>
  <c r="DN6" i="2"/>
  <c r="DR6" i="2"/>
  <c r="DV6" i="2"/>
  <c r="DZ6" i="2"/>
  <c r="ED6" i="2"/>
  <c r="EH6" i="2"/>
  <c r="EL6" i="2"/>
  <c r="EP6" i="2"/>
  <c r="BY7" i="2"/>
  <c r="CC7" i="2"/>
  <c r="CG7" i="2"/>
  <c r="CK7" i="2"/>
  <c r="CO7" i="2"/>
  <c r="CS7" i="2"/>
  <c r="CW7" i="2"/>
  <c r="DA7" i="2"/>
  <c r="DE7" i="2"/>
  <c r="DI7" i="2"/>
  <c r="DM7" i="2"/>
  <c r="DQ7" i="2"/>
  <c r="DU7" i="2"/>
  <c r="DY7" i="2"/>
  <c r="EC7" i="2"/>
  <c r="EG7" i="2"/>
  <c r="EK7" i="2"/>
  <c r="EO7" i="2"/>
  <c r="EA7" i="2"/>
  <c r="DS7" i="2"/>
  <c r="DG7" i="2"/>
  <c r="CY7" i="2"/>
  <c r="CQ7" i="2"/>
  <c r="CE7" i="2"/>
  <c r="EL7" i="2"/>
  <c r="DZ7" i="2"/>
  <c r="DR7" i="2"/>
  <c r="DF7" i="2"/>
  <c r="CX7" i="2"/>
  <c r="CL7" i="2"/>
  <c r="CD7" i="2"/>
  <c r="EM7" i="2"/>
  <c r="EI7" i="2"/>
  <c r="EE7" i="2"/>
  <c r="DW7" i="2"/>
  <c r="DO7" i="2"/>
  <c r="DK7" i="2"/>
  <c r="DC7" i="2"/>
  <c r="CU7" i="2"/>
  <c r="CM7" i="2"/>
  <c r="CI7" i="2"/>
  <c r="CA7" i="2"/>
  <c r="EP7" i="2"/>
  <c r="EH7" i="2"/>
  <c r="ED7" i="2"/>
  <c r="DV7" i="2"/>
  <c r="DN7" i="2"/>
  <c r="DJ7" i="2"/>
  <c r="DB7" i="2"/>
  <c r="CT7" i="2"/>
  <c r="CP7" i="2"/>
  <c r="CH7" i="2"/>
  <c r="BZ7" i="2"/>
  <c r="CB7" i="2"/>
  <c r="CJ7" i="2"/>
  <c r="CR7" i="2"/>
  <c r="CZ7" i="2"/>
  <c r="DH7" i="2"/>
  <c r="DL7" i="2"/>
  <c r="DT7" i="2"/>
  <c r="EB7" i="2"/>
  <c r="EF7" i="2"/>
  <c r="EN7" i="2"/>
  <c r="EN6" i="2"/>
  <c r="EJ6" i="2"/>
  <c r="EF6" i="2"/>
  <c r="EB6" i="2"/>
  <c r="DX6" i="2"/>
  <c r="DP6" i="2"/>
  <c r="DH6" i="2"/>
  <c r="CZ6" i="2"/>
  <c r="CN6" i="2"/>
  <c r="CF6" i="2"/>
  <c r="CB6" i="2"/>
  <c r="EM6" i="2"/>
  <c r="EI6" i="2"/>
  <c r="EA6" i="2"/>
  <c r="DS6" i="2"/>
  <c r="DG6" i="2"/>
  <c r="CQ6" i="2"/>
  <c r="CI6" i="2"/>
  <c r="CA6" i="2"/>
  <c r="DT6" i="2"/>
  <c r="DL6" i="2"/>
  <c r="DD6" i="2"/>
  <c r="CV6" i="2"/>
  <c r="CR6" i="2"/>
  <c r="CJ6" i="2"/>
  <c r="BX6" i="2"/>
  <c r="EE6" i="2"/>
  <c r="DW6" i="2"/>
  <c r="DO6" i="2"/>
  <c r="DK6" i="2"/>
  <c r="DC6" i="2"/>
  <c r="CY6" i="2"/>
  <c r="CU6" i="2"/>
  <c r="CM6" i="2"/>
  <c r="CE6" i="2"/>
  <c r="CF5" i="2"/>
  <c r="CN5" i="2"/>
  <c r="CR5" i="2"/>
  <c r="CZ5" i="2"/>
  <c r="DD5" i="2"/>
  <c r="DT5" i="2"/>
  <c r="BX9" i="2"/>
  <c r="CF9" i="2"/>
  <c r="CN9" i="2"/>
  <c r="CR9" i="2"/>
  <c r="CZ9" i="2"/>
  <c r="DH9" i="2"/>
  <c r="DP9" i="2"/>
  <c r="CA14" i="2"/>
  <c r="CI14" i="2"/>
  <c r="CQ14" i="2"/>
  <c r="CU14" i="2"/>
  <c r="DC14" i="2"/>
  <c r="DK14" i="2"/>
  <c r="DO14" i="2"/>
  <c r="DW14" i="2"/>
  <c r="EA14" i="2"/>
  <c r="EI14" i="2"/>
  <c r="BZ14" i="2"/>
  <c r="DF14" i="2"/>
  <c r="EL14" i="2"/>
  <c r="CE16" i="2"/>
  <c r="CI16" i="2"/>
  <c r="CQ16" i="2"/>
  <c r="CY16" i="2"/>
  <c r="DG16" i="2"/>
  <c r="DK16" i="2"/>
  <c r="DS16" i="2"/>
  <c r="DW16" i="2"/>
  <c r="EE16" i="2"/>
  <c r="EM16" i="2"/>
  <c r="CN16" i="2"/>
  <c r="DD16" i="2"/>
  <c r="EJ16" i="2"/>
  <c r="CA19" i="2"/>
  <c r="CE19" i="2"/>
  <c r="CM19" i="2"/>
  <c r="CU19" i="2"/>
  <c r="CY19" i="2"/>
  <c r="DG19" i="2"/>
  <c r="DO19" i="2"/>
  <c r="DW19" i="2"/>
  <c r="EE19" i="2"/>
  <c r="BY19" i="2"/>
  <c r="CE20" i="2"/>
  <c r="CM20" i="2"/>
  <c r="CQ20" i="2"/>
  <c r="CY20" i="2"/>
  <c r="DG20" i="2"/>
  <c r="DK20" i="2"/>
  <c r="DS20" i="2"/>
  <c r="DW20" i="2"/>
  <c r="EE20" i="2"/>
  <c r="EI20" i="2"/>
  <c r="BX20" i="2"/>
  <c r="CN20" i="2"/>
  <c r="DT20" i="2"/>
  <c r="BY5" i="2"/>
  <c r="CC5" i="2"/>
  <c r="CK5" i="2"/>
  <c r="CS5" i="2"/>
  <c r="CW5" i="2"/>
  <c r="DE5" i="2"/>
  <c r="DM5" i="2"/>
  <c r="DU5" i="2"/>
  <c r="EC5" i="2"/>
  <c r="EK5" i="2"/>
  <c r="DX9" i="2"/>
  <c r="EB9" i="2"/>
  <c r="EJ9" i="2"/>
  <c r="BY9" i="2"/>
  <c r="CG9" i="2"/>
  <c r="CO9" i="2"/>
  <c r="CW9" i="2"/>
  <c r="DE9" i="2"/>
  <c r="DM9" i="2"/>
  <c r="DZ9" i="2"/>
  <c r="EP9" i="2"/>
  <c r="BX14" i="2"/>
  <c r="CB14" i="2"/>
  <c r="CF14" i="2"/>
  <c r="CJ14" i="2"/>
  <c r="CN14" i="2"/>
  <c r="CR14" i="2"/>
  <c r="CV14" i="2"/>
  <c r="CZ14" i="2"/>
  <c r="DD14" i="2"/>
  <c r="DH14" i="2"/>
  <c r="DL14" i="2"/>
  <c r="DP14" i="2"/>
  <c r="DT14" i="2"/>
  <c r="DX14" i="2"/>
  <c r="EF14" i="2"/>
  <c r="EN14" i="2"/>
  <c r="CT14" i="2"/>
  <c r="DZ14" i="2"/>
  <c r="CR16" i="2"/>
  <c r="EN16" i="2"/>
  <c r="CE18" i="2"/>
  <c r="CQ18" i="2"/>
  <c r="CY18" i="2"/>
  <c r="DG18" i="2"/>
  <c r="DO18" i="2"/>
  <c r="DW18" i="2"/>
  <c r="EI18" i="2"/>
  <c r="BZ18" i="2"/>
  <c r="DF18" i="2"/>
  <c r="EL18" i="2"/>
  <c r="CB19" i="2"/>
  <c r="CJ19" i="2"/>
  <c r="CR19" i="2"/>
  <c r="CV19" i="2"/>
  <c r="DD19" i="2"/>
  <c r="DL19" i="2"/>
  <c r="DP19" i="2"/>
  <c r="DX19" i="2"/>
  <c r="EJ19" i="2"/>
  <c r="DH20" i="2"/>
  <c r="EN20" i="2"/>
  <c r="DQ9" i="2"/>
  <c r="DU9" i="2"/>
  <c r="DY9" i="2"/>
  <c r="EC9" i="2"/>
  <c r="EG9" i="2"/>
  <c r="EK9" i="2"/>
  <c r="EO9" i="2"/>
  <c r="CL10" i="2"/>
  <c r="DB10" i="2"/>
  <c r="DR10" i="2"/>
  <c r="EH10" i="2"/>
  <c r="BZ12" i="2"/>
  <c r="CD12" i="2"/>
  <c r="CH12" i="2"/>
  <c r="CL12" i="2"/>
  <c r="CP12" i="2"/>
  <c r="CT12" i="2"/>
  <c r="CX12" i="2"/>
  <c r="DB12" i="2"/>
  <c r="DF12" i="2"/>
  <c r="DJ12" i="2"/>
  <c r="DN12" i="2"/>
  <c r="DR12" i="2"/>
  <c r="DV12" i="2"/>
  <c r="DZ12" i="2"/>
  <c r="ED12" i="2"/>
  <c r="EH12" i="2"/>
  <c r="EL12" i="2"/>
  <c r="EP12" i="2"/>
  <c r="CJ12" i="2"/>
  <c r="CZ12" i="2"/>
  <c r="DP12" i="2"/>
  <c r="EF12" i="2"/>
  <c r="CA13" i="2"/>
  <c r="CQ13" i="2"/>
  <c r="DG13" i="2"/>
  <c r="DW13" i="2"/>
  <c r="BY14" i="2"/>
  <c r="CC14" i="2"/>
  <c r="CG14" i="2"/>
  <c r="CK14" i="2"/>
  <c r="CO14" i="2"/>
  <c r="CS14" i="2"/>
  <c r="CW14" i="2"/>
  <c r="DA14" i="2"/>
  <c r="DE14" i="2"/>
  <c r="DI14" i="2"/>
  <c r="DM14" i="2"/>
  <c r="DQ14" i="2"/>
  <c r="DU14" i="2"/>
  <c r="DY14" i="2"/>
  <c r="EC14" i="2"/>
  <c r="EG14" i="2"/>
  <c r="EK14" i="2"/>
  <c r="EO14" i="2"/>
  <c r="CH14" i="2"/>
  <c r="CX14" i="2"/>
  <c r="DN14" i="2"/>
  <c r="ED14" i="2"/>
  <c r="BY16" i="2"/>
  <c r="CC16" i="2"/>
  <c r="CG16" i="2"/>
  <c r="CK16" i="2"/>
  <c r="CO16" i="2"/>
  <c r="CS16" i="2"/>
  <c r="CW16" i="2"/>
  <c r="DA16" i="2"/>
  <c r="DE16" i="2"/>
  <c r="DI16" i="2"/>
  <c r="DM16" i="2"/>
  <c r="DQ16" i="2"/>
  <c r="DU16" i="2"/>
  <c r="DY16" i="2"/>
  <c r="EC16" i="2"/>
  <c r="EG16" i="2"/>
  <c r="EK16" i="2"/>
  <c r="EO16" i="2"/>
  <c r="CF16" i="2"/>
  <c r="CV16" i="2"/>
  <c r="DL16" i="2"/>
  <c r="EB16" i="2"/>
  <c r="BZ17" i="2"/>
  <c r="CD17" i="2"/>
  <c r="CH17" i="2"/>
  <c r="CL17" i="2"/>
  <c r="CP17" i="2"/>
  <c r="CT17" i="2"/>
  <c r="CX17" i="2"/>
  <c r="DB17" i="2"/>
  <c r="DF17" i="2"/>
  <c r="DJ17" i="2"/>
  <c r="DN17" i="2"/>
  <c r="DR17" i="2"/>
  <c r="DV17" i="2"/>
  <c r="DZ17" i="2"/>
  <c r="ED17" i="2"/>
  <c r="EH17" i="2"/>
  <c r="EL17" i="2"/>
  <c r="EP17" i="2"/>
  <c r="CM17" i="2"/>
  <c r="DC17" i="2"/>
  <c r="DS17" i="2"/>
  <c r="EI17" i="2"/>
  <c r="BX18" i="2"/>
  <c r="CB18" i="2"/>
  <c r="CF18" i="2"/>
  <c r="CJ18" i="2"/>
  <c r="CN18" i="2"/>
  <c r="CR18" i="2"/>
  <c r="CV18" i="2"/>
  <c r="CZ18" i="2"/>
  <c r="DD18" i="2"/>
  <c r="DH18" i="2"/>
  <c r="DL18" i="2"/>
  <c r="DP18" i="2"/>
  <c r="DT18" i="2"/>
  <c r="DX18" i="2"/>
  <c r="EB18" i="2"/>
  <c r="EF18" i="2"/>
  <c r="EJ18" i="2"/>
  <c r="EN18" i="2"/>
  <c r="CD18" i="2"/>
  <c r="CT18" i="2"/>
  <c r="DJ18" i="2"/>
  <c r="DZ18" i="2"/>
  <c r="EP18" i="2"/>
  <c r="CG19" i="2"/>
  <c r="CW19" i="2"/>
  <c r="DM19" i="2"/>
  <c r="EC19" i="2"/>
  <c r="BY20" i="2"/>
  <c r="CC20" i="2"/>
  <c r="CG20" i="2"/>
  <c r="CK20" i="2"/>
  <c r="CO20" i="2"/>
  <c r="CS20" i="2"/>
  <c r="CW20" i="2"/>
  <c r="DA20" i="2"/>
  <c r="DE20" i="2"/>
  <c r="DI20" i="2"/>
  <c r="DM20" i="2"/>
  <c r="DQ20" i="2"/>
  <c r="DU20" i="2"/>
  <c r="DY20" i="2"/>
  <c r="EC20" i="2"/>
  <c r="EG20" i="2"/>
  <c r="EK20" i="2"/>
  <c r="EO20" i="2"/>
  <c r="CF20" i="2"/>
  <c r="CV20" i="2"/>
  <c r="DL20" i="2"/>
  <c r="EB20" i="2"/>
  <c r="BZ21" i="2"/>
  <c r="CD21" i="2"/>
  <c r="CH21" i="2"/>
  <c r="CL21" i="2"/>
  <c r="CP21" i="2"/>
  <c r="CT21" i="2"/>
  <c r="CX21" i="2"/>
  <c r="DB21" i="2"/>
  <c r="DF21" i="2"/>
  <c r="DJ21" i="2"/>
  <c r="DN21" i="2"/>
  <c r="DR21" i="2"/>
  <c r="DV21" i="2"/>
  <c r="DZ21" i="2"/>
  <c r="ED21" i="2"/>
  <c r="EL21" i="2"/>
  <c r="EP21" i="2"/>
  <c r="CM21" i="2"/>
  <c r="DC21" i="2"/>
  <c r="DS21" i="2"/>
  <c r="EM21" i="2"/>
  <c r="BZ23" i="2"/>
  <c r="CD23" i="2"/>
  <c r="CH23" i="2"/>
  <c r="CL23" i="2"/>
  <c r="CP23" i="2"/>
  <c r="CT23" i="2"/>
  <c r="CX23" i="2"/>
  <c r="DB23" i="2"/>
  <c r="DF23" i="2"/>
  <c r="DJ23" i="2"/>
  <c r="DN23" i="2"/>
  <c r="DR23" i="2"/>
  <c r="DV23" i="2"/>
  <c r="DZ23" i="2"/>
  <c r="ED23" i="2"/>
  <c r="EH23" i="2"/>
  <c r="EL23" i="2"/>
  <c r="EP23" i="2"/>
  <c r="DC23" i="2"/>
  <c r="BX5" i="2"/>
  <c r="CB5" i="2"/>
  <c r="CJ5" i="2"/>
  <c r="CV5" i="2"/>
  <c r="DH5" i="2"/>
  <c r="DL5" i="2"/>
  <c r="DP5" i="2"/>
  <c r="DX5" i="2"/>
  <c r="EB5" i="2"/>
  <c r="EF5" i="2"/>
  <c r="EJ5" i="2"/>
  <c r="EN5" i="2"/>
  <c r="CB9" i="2"/>
  <c r="CJ9" i="2"/>
  <c r="CV9" i="2"/>
  <c r="DD9" i="2"/>
  <c r="DL9" i="2"/>
  <c r="CE14" i="2"/>
  <c r="CM14" i="2"/>
  <c r="CY14" i="2"/>
  <c r="DG14" i="2"/>
  <c r="DS14" i="2"/>
  <c r="EE14" i="2"/>
  <c r="EM14" i="2"/>
  <c r="CP14" i="2"/>
  <c r="DV14" i="2"/>
  <c r="CA16" i="2"/>
  <c r="CM16" i="2"/>
  <c r="CU16" i="2"/>
  <c r="DC16" i="2"/>
  <c r="DO16" i="2"/>
  <c r="EA16" i="2"/>
  <c r="EI16" i="2"/>
  <c r="BX16" i="2"/>
  <c r="DT16" i="2"/>
  <c r="CI19" i="2"/>
  <c r="CQ19" i="2"/>
  <c r="DC19" i="2"/>
  <c r="DK19" i="2"/>
  <c r="DS19" i="2"/>
  <c r="EA19" i="2"/>
  <c r="EI19" i="2"/>
  <c r="EM19" i="2"/>
  <c r="CO19" i="2"/>
  <c r="DE19" i="2"/>
  <c r="DU19" i="2"/>
  <c r="EK19" i="2"/>
  <c r="CA20" i="2"/>
  <c r="CI20" i="2"/>
  <c r="CU20" i="2"/>
  <c r="DC20" i="2"/>
  <c r="DO20" i="2"/>
  <c r="EA20" i="2"/>
  <c r="EM20" i="2"/>
  <c r="DD20" i="2"/>
  <c r="EJ20" i="2"/>
  <c r="CG5" i="2"/>
  <c r="CO5" i="2"/>
  <c r="DA5" i="2"/>
  <c r="DI5" i="2"/>
  <c r="DQ5" i="2"/>
  <c r="DY5" i="2"/>
  <c r="EG5" i="2"/>
  <c r="DT9" i="2"/>
  <c r="EF9" i="2"/>
  <c r="EN9" i="2"/>
  <c r="CC9" i="2"/>
  <c r="CK9" i="2"/>
  <c r="CS9" i="2"/>
  <c r="DA9" i="2"/>
  <c r="DI9" i="2"/>
  <c r="DR9" i="2"/>
  <c r="EB14" i="2"/>
  <c r="EJ14" i="2"/>
  <c r="CD14" i="2"/>
  <c r="DJ14" i="2"/>
  <c r="EP14" i="2"/>
  <c r="CB16" i="2"/>
  <c r="DH16" i="2"/>
  <c r="DX16" i="2"/>
  <c r="CA18" i="2"/>
  <c r="CI18" i="2"/>
  <c r="CM18" i="2"/>
  <c r="CU18" i="2"/>
  <c r="DC18" i="2"/>
  <c r="DK18" i="2"/>
  <c r="DS18" i="2"/>
  <c r="EA18" i="2"/>
  <c r="EE18" i="2"/>
  <c r="EM18" i="2"/>
  <c r="CP18" i="2"/>
  <c r="DV18" i="2"/>
  <c r="BX19" i="2"/>
  <c r="CF19" i="2"/>
  <c r="CN19" i="2"/>
  <c r="CZ19" i="2"/>
  <c r="DH19" i="2"/>
  <c r="DT19" i="2"/>
  <c r="EB19" i="2"/>
  <c r="EF19" i="2"/>
  <c r="EN19" i="2"/>
  <c r="CC19" i="2"/>
  <c r="CS19" i="2"/>
  <c r="DI19" i="2"/>
  <c r="DY19" i="2"/>
  <c r="EO19" i="2"/>
  <c r="CB20" i="2"/>
  <c r="CR20" i="2"/>
  <c r="DX20" i="2"/>
  <c r="C64" i="2"/>
  <c r="EE64" i="2" s="1"/>
  <c r="CA10" i="2"/>
  <c r="CE10" i="2"/>
  <c r="CI10" i="2"/>
  <c r="CM10" i="2"/>
  <c r="CQ10" i="2"/>
  <c r="CU10" i="2"/>
  <c r="CY10" i="2"/>
  <c r="DC10" i="2"/>
  <c r="DG10" i="2"/>
  <c r="DK10" i="2"/>
  <c r="DO10" i="2"/>
  <c r="DS10" i="2"/>
  <c r="DW10" i="2"/>
  <c r="EA10" i="2"/>
  <c r="EE10" i="2"/>
  <c r="EI10" i="2"/>
  <c r="EM10" i="2"/>
  <c r="BZ10" i="2"/>
  <c r="CP10" i="2"/>
  <c r="DF10" i="2"/>
  <c r="DV10" i="2"/>
  <c r="CA12" i="2"/>
  <c r="CE12" i="2"/>
  <c r="CI12" i="2"/>
  <c r="CM12" i="2"/>
  <c r="CQ12" i="2"/>
  <c r="CU12" i="2"/>
  <c r="CY12" i="2"/>
  <c r="DC12" i="2"/>
  <c r="DG12" i="2"/>
  <c r="DK12" i="2"/>
  <c r="DO12" i="2"/>
  <c r="DS12" i="2"/>
  <c r="DW12" i="2"/>
  <c r="EA12" i="2"/>
  <c r="EE12" i="2"/>
  <c r="EI12" i="2"/>
  <c r="EM12" i="2"/>
  <c r="BX12" i="2"/>
  <c r="CN12" i="2"/>
  <c r="DD12" i="2"/>
  <c r="DT12" i="2"/>
  <c r="CL14" i="2"/>
  <c r="DB14" i="2"/>
  <c r="DR14" i="2"/>
  <c r="BZ16" i="2"/>
  <c r="CD16" i="2"/>
  <c r="CH16" i="2"/>
  <c r="CL16" i="2"/>
  <c r="CP16" i="2"/>
  <c r="CT16" i="2"/>
  <c r="CX16" i="2"/>
  <c r="DB16" i="2"/>
  <c r="DF16" i="2"/>
  <c r="DJ16" i="2"/>
  <c r="DN16" i="2"/>
  <c r="DR16" i="2"/>
  <c r="DV16" i="2"/>
  <c r="DZ16" i="2"/>
  <c r="ED16" i="2"/>
  <c r="EH16" i="2"/>
  <c r="EL16" i="2"/>
  <c r="EP16" i="2"/>
  <c r="CJ16" i="2"/>
  <c r="CZ16" i="2"/>
  <c r="DP16" i="2"/>
  <c r="CA17" i="2"/>
  <c r="CQ17" i="2"/>
  <c r="DG17" i="2"/>
  <c r="DW17" i="2"/>
  <c r="BY18" i="2"/>
  <c r="CC18" i="2"/>
  <c r="CG18" i="2"/>
  <c r="CK18" i="2"/>
  <c r="CO18" i="2"/>
  <c r="CS18" i="2"/>
  <c r="CW18" i="2"/>
  <c r="DA18" i="2"/>
  <c r="DE18" i="2"/>
  <c r="DI18" i="2"/>
  <c r="DM18" i="2"/>
  <c r="DQ18" i="2"/>
  <c r="DU18" i="2"/>
  <c r="DY18" i="2"/>
  <c r="EC18" i="2"/>
  <c r="EG18" i="2"/>
  <c r="EK18" i="2"/>
  <c r="EO18" i="2"/>
  <c r="CH18" i="2"/>
  <c r="CX18" i="2"/>
  <c r="DN18" i="2"/>
  <c r="BZ19" i="2"/>
  <c r="CD19" i="2"/>
  <c r="CH19" i="2"/>
  <c r="CL19" i="2"/>
  <c r="CP19" i="2"/>
  <c r="CT19" i="2"/>
  <c r="CX19" i="2"/>
  <c r="DB19" i="2"/>
  <c r="DF19" i="2"/>
  <c r="DJ19" i="2"/>
  <c r="DN19" i="2"/>
  <c r="DR19" i="2"/>
  <c r="DV19" i="2"/>
  <c r="DZ19" i="2"/>
  <c r="ED19" i="2"/>
  <c r="EH19" i="2"/>
  <c r="EL19" i="2"/>
  <c r="EP19" i="2"/>
  <c r="CK19" i="2"/>
  <c r="DA19" i="2"/>
  <c r="DQ19" i="2"/>
  <c r="BZ20" i="2"/>
  <c r="CD20" i="2"/>
  <c r="CH20" i="2"/>
  <c r="CL20" i="2"/>
  <c r="CP20" i="2"/>
  <c r="CT20" i="2"/>
  <c r="CX20" i="2"/>
  <c r="DB20" i="2"/>
  <c r="DF20" i="2"/>
  <c r="DJ20" i="2"/>
  <c r="DN20" i="2"/>
  <c r="DR20" i="2"/>
  <c r="DV20" i="2"/>
  <c r="DZ20" i="2"/>
  <c r="ED20" i="2"/>
  <c r="EH20" i="2"/>
  <c r="EL20" i="2"/>
  <c r="EP20" i="2"/>
  <c r="CJ20" i="2"/>
  <c r="CZ20" i="2"/>
  <c r="DP20" i="2"/>
  <c r="EA21" i="2"/>
  <c r="EE21" i="2"/>
  <c r="EI21" i="2"/>
  <c r="CA21" i="2"/>
  <c r="CQ21" i="2"/>
  <c r="DG21" i="2"/>
  <c r="DW21" i="2"/>
  <c r="EO23" i="2"/>
  <c r="EK23" i="2"/>
  <c r="EG23" i="2"/>
  <c r="EC23" i="2"/>
  <c r="DY23" i="2"/>
  <c r="DU23" i="2"/>
  <c r="DQ23" i="2"/>
  <c r="DM23" i="2"/>
  <c r="DI23" i="2"/>
  <c r="DE23" i="2"/>
  <c r="DA23" i="2"/>
  <c r="CW23" i="2"/>
  <c r="CS23" i="2"/>
  <c r="CO23" i="2"/>
  <c r="CK23" i="2"/>
  <c r="CG23" i="2"/>
  <c r="CC23" i="2"/>
  <c r="BY23" i="2"/>
  <c r="EN23" i="2"/>
  <c r="EF23" i="2"/>
  <c r="DX23" i="2"/>
  <c r="DP23" i="2"/>
  <c r="EM23" i="2"/>
  <c r="EE23" i="2"/>
  <c r="DW23" i="2"/>
  <c r="DO23" i="2"/>
  <c r="DG23" i="2"/>
  <c r="CY23" i="2"/>
  <c r="CQ23" i="2"/>
  <c r="CI23" i="2"/>
  <c r="CA23" i="2"/>
  <c r="EJ23" i="2"/>
  <c r="EB23" i="2"/>
  <c r="DT23" i="2"/>
  <c r="CE23" i="2"/>
  <c r="DK23" i="2"/>
  <c r="EM29" i="2"/>
  <c r="EI29" i="2"/>
  <c r="EE29" i="2"/>
  <c r="EA29" i="2"/>
  <c r="DW29" i="2"/>
  <c r="DS29" i="2"/>
  <c r="DO29" i="2"/>
  <c r="DK29" i="2"/>
  <c r="DG29" i="2"/>
  <c r="DC29" i="2"/>
  <c r="CY29" i="2"/>
  <c r="CU29" i="2"/>
  <c r="CQ29" i="2"/>
  <c r="CM29" i="2"/>
  <c r="CI29" i="2"/>
  <c r="CE29" i="2"/>
  <c r="CA29" i="2"/>
  <c r="EH29" i="2"/>
  <c r="DR29" i="2"/>
  <c r="DB29" i="2"/>
  <c r="CL29" i="2"/>
  <c r="ED29" i="2"/>
  <c r="DN29" i="2"/>
  <c r="CX29" i="2"/>
  <c r="CH29" i="2"/>
  <c r="EP29" i="2"/>
  <c r="DZ29" i="2"/>
  <c r="DJ29" i="2"/>
  <c r="CT29" i="2"/>
  <c r="CD29" i="2"/>
  <c r="BZ29" i="2"/>
  <c r="EL29" i="2"/>
  <c r="EI38" i="2"/>
  <c r="DS38" i="2"/>
  <c r="DC38" i="2"/>
  <c r="CM38" i="2"/>
  <c r="EE38" i="2"/>
  <c r="DO38" i="2"/>
  <c r="CY38" i="2"/>
  <c r="CI38" i="2"/>
  <c r="EA38" i="2"/>
  <c r="DK38" i="2"/>
  <c r="CU38" i="2"/>
  <c r="CE38" i="2"/>
  <c r="DW38" i="2"/>
  <c r="DG38" i="2"/>
  <c r="CQ38" i="2"/>
  <c r="CA38" i="2"/>
  <c r="CA22" i="2"/>
  <c r="CE22" i="2"/>
  <c r="CI22" i="2"/>
  <c r="CM22" i="2"/>
  <c r="CQ22" i="2"/>
  <c r="CU22" i="2"/>
  <c r="CY22" i="2"/>
  <c r="DC22" i="2"/>
  <c r="DG22" i="2"/>
  <c r="DK22" i="2"/>
  <c r="DO22" i="2"/>
  <c r="DS22" i="2"/>
  <c r="DW22" i="2"/>
  <c r="EA22" i="2"/>
  <c r="EE22" i="2"/>
  <c r="EI22" i="2"/>
  <c r="EM22" i="2"/>
  <c r="CH22" i="2"/>
  <c r="CX22" i="2"/>
  <c r="DN22" i="2"/>
  <c r="ED22" i="2"/>
  <c r="EN24" i="2"/>
  <c r="EJ24" i="2"/>
  <c r="EF24" i="2"/>
  <c r="EB24" i="2"/>
  <c r="DX24" i="2"/>
  <c r="DT24" i="2"/>
  <c r="DP24" i="2"/>
  <c r="DL24" i="2"/>
  <c r="DH24" i="2"/>
  <c r="DD24" i="2"/>
  <c r="CZ24" i="2"/>
  <c r="CV24" i="2"/>
  <c r="CR24" i="2"/>
  <c r="CN24" i="2"/>
  <c r="CJ24" i="2"/>
  <c r="CF24" i="2"/>
  <c r="CB24" i="2"/>
  <c r="BX24" i="2"/>
  <c r="CA24" i="2"/>
  <c r="CQ24" i="2"/>
  <c r="DG24" i="2"/>
  <c r="DW24" i="2"/>
  <c r="EM24" i="2"/>
  <c r="BY25" i="2"/>
  <c r="CC25" i="2"/>
  <c r="CG25" i="2"/>
  <c r="CK25" i="2"/>
  <c r="CO25" i="2"/>
  <c r="CS25" i="2"/>
  <c r="CW25" i="2"/>
  <c r="DA25" i="2"/>
  <c r="DE25" i="2"/>
  <c r="DI25" i="2"/>
  <c r="DM25" i="2"/>
  <c r="DQ25" i="2"/>
  <c r="DU25" i="2"/>
  <c r="DY25" i="2"/>
  <c r="EC25" i="2"/>
  <c r="EG25" i="2"/>
  <c r="EK25" i="2"/>
  <c r="EO25" i="2"/>
  <c r="CH25" i="2"/>
  <c r="CX25" i="2"/>
  <c r="DN25" i="2"/>
  <c r="CF27" i="2"/>
  <c r="CV27" i="2"/>
  <c r="DL27" i="2"/>
  <c r="BZ28" i="2"/>
  <c r="CD28" i="2"/>
  <c r="CH28" i="2"/>
  <c r="CL28" i="2"/>
  <c r="CP28" i="2"/>
  <c r="CT28" i="2"/>
  <c r="CX28" i="2"/>
  <c r="DB28" i="2"/>
  <c r="DF28" i="2"/>
  <c r="DJ28" i="2"/>
  <c r="DN28" i="2"/>
  <c r="DR28" i="2"/>
  <c r="DV28" i="2"/>
  <c r="DZ28" i="2"/>
  <c r="ED28" i="2"/>
  <c r="EH28" i="2"/>
  <c r="EL28" i="2"/>
  <c r="EP28" i="2"/>
  <c r="CM28" i="2"/>
  <c r="DC28" i="2"/>
  <c r="DS28" i="2"/>
  <c r="BX29" i="2"/>
  <c r="CB29" i="2"/>
  <c r="CF29" i="2"/>
  <c r="CJ29" i="2"/>
  <c r="CN29" i="2"/>
  <c r="CR29" i="2"/>
  <c r="CV29" i="2"/>
  <c r="CZ29" i="2"/>
  <c r="DD29" i="2"/>
  <c r="DH29" i="2"/>
  <c r="DL29" i="2"/>
  <c r="DP29" i="2"/>
  <c r="DT29" i="2"/>
  <c r="DX29" i="2"/>
  <c r="EB29" i="2"/>
  <c r="EF29" i="2"/>
  <c r="EJ29" i="2"/>
  <c r="EN29" i="2"/>
  <c r="DX21" i="2"/>
  <c r="EB21" i="2"/>
  <c r="EF21" i="2"/>
  <c r="EJ21" i="2"/>
  <c r="EN21" i="2"/>
  <c r="CD22" i="2"/>
  <c r="CT22" i="2"/>
  <c r="DE22" i="2"/>
  <c r="DJ22" i="2"/>
  <c r="DU22" i="2"/>
  <c r="DZ22" i="2"/>
  <c r="EK22" i="2"/>
  <c r="EP22" i="2"/>
  <c r="EN28" i="2"/>
  <c r="EJ28" i="2"/>
  <c r="EF28" i="2"/>
  <c r="EB28" i="2"/>
  <c r="DX28" i="2"/>
  <c r="DT28" i="2"/>
  <c r="DP28" i="2"/>
  <c r="DL28" i="2"/>
  <c r="DH28" i="2"/>
  <c r="DD28" i="2"/>
  <c r="CZ28" i="2"/>
  <c r="CV28" i="2"/>
  <c r="CR28" i="2"/>
  <c r="CN28" i="2"/>
  <c r="CJ28" i="2"/>
  <c r="CF28" i="2"/>
  <c r="CB28" i="2"/>
  <c r="BX28" i="2"/>
  <c r="CA28" i="2"/>
  <c r="CQ28" i="2"/>
  <c r="DG28" i="2"/>
  <c r="DW28" i="2"/>
  <c r="EM28" i="2"/>
  <c r="BY29" i="2"/>
  <c r="CC29" i="2"/>
  <c r="CG29" i="2"/>
  <c r="CK29" i="2"/>
  <c r="CO29" i="2"/>
  <c r="CS29" i="2"/>
  <c r="CW29" i="2"/>
  <c r="DA29" i="2"/>
  <c r="DE29" i="2"/>
  <c r="DI29" i="2"/>
  <c r="DM29" i="2"/>
  <c r="DQ29" i="2"/>
  <c r="DU29" i="2"/>
  <c r="DY29" i="2"/>
  <c r="EC29" i="2"/>
  <c r="EG29" i="2"/>
  <c r="EK29" i="2"/>
  <c r="EO29" i="2"/>
  <c r="EF33" i="2"/>
  <c r="DP33" i="2"/>
  <c r="CZ33" i="2"/>
  <c r="CJ33" i="2"/>
  <c r="EB33" i="2"/>
  <c r="DL33" i="2"/>
  <c r="CV33" i="2"/>
  <c r="CF33" i="2"/>
  <c r="EN33" i="2"/>
  <c r="DX33" i="2"/>
  <c r="DH33" i="2"/>
  <c r="CR33" i="2"/>
  <c r="CB33" i="2"/>
  <c r="CA33" i="2"/>
  <c r="CE33" i="2"/>
  <c r="CI33" i="2"/>
  <c r="CM33" i="2"/>
  <c r="CQ33" i="2"/>
  <c r="CU33" i="2"/>
  <c r="CY33" i="2"/>
  <c r="DC33" i="2"/>
  <c r="DG33" i="2"/>
  <c r="DK33" i="2"/>
  <c r="DO33" i="2"/>
  <c r="DS33" i="2"/>
  <c r="DW33" i="2"/>
  <c r="EA33" i="2"/>
  <c r="EE33" i="2"/>
  <c r="EI33" i="2"/>
  <c r="EM33" i="2"/>
  <c r="BX33" i="2"/>
  <c r="EJ33" i="2"/>
  <c r="BZ22" i="2"/>
  <c r="CP22" i="2"/>
  <c r="DF22" i="2"/>
  <c r="DV22" i="2"/>
  <c r="EM25" i="2"/>
  <c r="EI25" i="2"/>
  <c r="EE25" i="2"/>
  <c r="EA25" i="2"/>
  <c r="DW25" i="2"/>
  <c r="DS25" i="2"/>
  <c r="DO25" i="2"/>
  <c r="DK25" i="2"/>
  <c r="DG25" i="2"/>
  <c r="DC25" i="2"/>
  <c r="CY25" i="2"/>
  <c r="CU25" i="2"/>
  <c r="CQ25" i="2"/>
  <c r="CM25" i="2"/>
  <c r="CI25" i="2"/>
  <c r="CE25" i="2"/>
  <c r="CA25" i="2"/>
  <c r="BZ25" i="2"/>
  <c r="CP25" i="2"/>
  <c r="DF25" i="2"/>
  <c r="DV25" i="2"/>
  <c r="EL25" i="2"/>
  <c r="EO27" i="2"/>
  <c r="EK27" i="2"/>
  <c r="EG27" i="2"/>
  <c r="EC27" i="2"/>
  <c r="DY27" i="2"/>
  <c r="DU27" i="2"/>
  <c r="DQ27" i="2"/>
  <c r="DM27" i="2"/>
  <c r="DI27" i="2"/>
  <c r="DE27" i="2"/>
  <c r="DA27" i="2"/>
  <c r="CW27" i="2"/>
  <c r="CS27" i="2"/>
  <c r="CO27" i="2"/>
  <c r="CK27" i="2"/>
  <c r="CG27" i="2"/>
  <c r="CC27" i="2"/>
  <c r="BY27" i="2"/>
  <c r="CA27" i="2"/>
  <c r="CE27" i="2"/>
  <c r="CI27" i="2"/>
  <c r="CM27" i="2"/>
  <c r="CQ27" i="2"/>
  <c r="CU27" i="2"/>
  <c r="CY27" i="2"/>
  <c r="DC27" i="2"/>
  <c r="DG27" i="2"/>
  <c r="DK27" i="2"/>
  <c r="DO27" i="2"/>
  <c r="DS27" i="2"/>
  <c r="DW27" i="2"/>
  <c r="EA27" i="2"/>
  <c r="EE27" i="2"/>
  <c r="EI27" i="2"/>
  <c r="EM27" i="2"/>
  <c r="BX27" i="2"/>
  <c r="CN27" i="2"/>
  <c r="DD27" i="2"/>
  <c r="DT27" i="2"/>
  <c r="EJ27" i="2"/>
  <c r="CE28" i="2"/>
  <c r="CU28" i="2"/>
  <c r="DK28" i="2"/>
  <c r="EA28" i="2"/>
  <c r="EG32" i="2"/>
  <c r="DQ32" i="2"/>
  <c r="DA32" i="2"/>
  <c r="CK32" i="2"/>
  <c r="EC32" i="2"/>
  <c r="DM32" i="2"/>
  <c r="CW32" i="2"/>
  <c r="CG32" i="2"/>
  <c r="EO32" i="2"/>
  <c r="DY32" i="2"/>
  <c r="DI32" i="2"/>
  <c r="CS32" i="2"/>
  <c r="CC32" i="2"/>
  <c r="CA32" i="2"/>
  <c r="CE32" i="2"/>
  <c r="CI32" i="2"/>
  <c r="CM32" i="2"/>
  <c r="CQ32" i="2"/>
  <c r="CU32" i="2"/>
  <c r="CY32" i="2"/>
  <c r="DC32" i="2"/>
  <c r="DG32" i="2"/>
  <c r="DK32" i="2"/>
  <c r="DO32" i="2"/>
  <c r="DS32" i="2"/>
  <c r="DW32" i="2"/>
  <c r="EA32" i="2"/>
  <c r="EE32" i="2"/>
  <c r="EI32" i="2"/>
  <c r="EM32" i="2"/>
  <c r="BY32" i="2"/>
  <c r="EK32" i="2"/>
  <c r="CN33" i="2"/>
  <c r="BZ26" i="2"/>
  <c r="CD26" i="2"/>
  <c r="CH26" i="2"/>
  <c r="CL26" i="2"/>
  <c r="CP26" i="2"/>
  <c r="CT26" i="2"/>
  <c r="CX26" i="2"/>
  <c r="DB26" i="2"/>
  <c r="DF26" i="2"/>
  <c r="DJ26" i="2"/>
  <c r="DN26" i="2"/>
  <c r="DR26" i="2"/>
  <c r="DV26" i="2"/>
  <c r="DZ26" i="2"/>
  <c r="ED26" i="2"/>
  <c r="EH26" i="2"/>
  <c r="EL26" i="2"/>
  <c r="BY30" i="2"/>
  <c r="CC30" i="2"/>
  <c r="CG30" i="2"/>
  <c r="CK30" i="2"/>
  <c r="CO30" i="2"/>
  <c r="CS30" i="2"/>
  <c r="CW30" i="2"/>
  <c r="DA30" i="2"/>
  <c r="DE30" i="2"/>
  <c r="DI30" i="2"/>
  <c r="DM30" i="2"/>
  <c r="DQ30" i="2"/>
  <c r="DU30" i="2"/>
  <c r="DY30" i="2"/>
  <c r="EC30" i="2"/>
  <c r="EG30" i="2"/>
  <c r="EK30" i="2"/>
  <c r="EO30" i="2"/>
  <c r="CD30" i="2"/>
  <c r="CL30" i="2"/>
  <c r="EE30" i="2"/>
  <c r="CA31" i="2"/>
  <c r="CE31" i="2"/>
  <c r="CI31" i="2"/>
  <c r="CM31" i="2"/>
  <c r="CQ31" i="2"/>
  <c r="CU31" i="2"/>
  <c r="CY31" i="2"/>
  <c r="DC31" i="2"/>
  <c r="DG31" i="2"/>
  <c r="DK31" i="2"/>
  <c r="DO31" i="2"/>
  <c r="DS31" i="2"/>
  <c r="DW31" i="2"/>
  <c r="EA31" i="2"/>
  <c r="EE31" i="2"/>
  <c r="EI31" i="2"/>
  <c r="EM31" i="2"/>
  <c r="BZ31" i="2"/>
  <c r="CP31" i="2"/>
  <c r="DF31" i="2"/>
  <c r="DV31" i="2"/>
  <c r="EL31" i="2"/>
  <c r="BX32" i="2"/>
  <c r="CB32" i="2"/>
  <c r="CF32" i="2"/>
  <c r="CJ32" i="2"/>
  <c r="CN32" i="2"/>
  <c r="CR32" i="2"/>
  <c r="CV32" i="2"/>
  <c r="CZ32" i="2"/>
  <c r="DD32" i="2"/>
  <c r="DH32" i="2"/>
  <c r="DL32" i="2"/>
  <c r="DP32" i="2"/>
  <c r="DT32" i="2"/>
  <c r="DX32" i="2"/>
  <c r="EB32" i="2"/>
  <c r="EF32" i="2"/>
  <c r="EJ32" i="2"/>
  <c r="EN32" i="2"/>
  <c r="BY34" i="2"/>
  <c r="CC34" i="2"/>
  <c r="CG34" i="2"/>
  <c r="CK34" i="2"/>
  <c r="CO34" i="2"/>
  <c r="CS34" i="2"/>
  <c r="CW34" i="2"/>
  <c r="DA34" i="2"/>
  <c r="DE34" i="2"/>
  <c r="DI34" i="2"/>
  <c r="DM34" i="2"/>
  <c r="DQ34" i="2"/>
  <c r="DU34" i="2"/>
  <c r="DY34" i="2"/>
  <c r="EC34" i="2"/>
  <c r="EG34" i="2"/>
  <c r="EK34" i="2"/>
  <c r="EO34" i="2"/>
  <c r="CI34" i="2"/>
  <c r="CY34" i="2"/>
  <c r="DO34" i="2"/>
  <c r="EE34" i="2"/>
  <c r="CA35" i="2"/>
  <c r="CE35" i="2"/>
  <c r="CI35" i="2"/>
  <c r="CM35" i="2"/>
  <c r="CQ35" i="2"/>
  <c r="CU35" i="2"/>
  <c r="CY35" i="2"/>
  <c r="DC35" i="2"/>
  <c r="DG35" i="2"/>
  <c r="DK35" i="2"/>
  <c r="DO35" i="2"/>
  <c r="DS35" i="2"/>
  <c r="DW35" i="2"/>
  <c r="EA35" i="2"/>
  <c r="EE35" i="2"/>
  <c r="EI35" i="2"/>
  <c r="EM35" i="2"/>
  <c r="BZ35" i="2"/>
  <c r="CP35" i="2"/>
  <c r="DF35" i="2"/>
  <c r="DV35" i="2"/>
  <c r="EL35" i="2"/>
  <c r="CA37" i="2"/>
  <c r="CE37" i="2"/>
  <c r="CI37" i="2"/>
  <c r="CM37" i="2"/>
  <c r="CQ37" i="2"/>
  <c r="CU37" i="2"/>
  <c r="CY37" i="2"/>
  <c r="DC37" i="2"/>
  <c r="DG37" i="2"/>
  <c r="DK37" i="2"/>
  <c r="DO37" i="2"/>
  <c r="DS37" i="2"/>
  <c r="DW37" i="2"/>
  <c r="EA37" i="2"/>
  <c r="EE37" i="2"/>
  <c r="EI37" i="2"/>
  <c r="EM37" i="2"/>
  <c r="BX37" i="2"/>
  <c r="CN37" i="2"/>
  <c r="DD37" i="2"/>
  <c r="DT37" i="2"/>
  <c r="EJ37" i="2"/>
  <c r="BX38" i="2"/>
  <c r="CB38" i="2"/>
  <c r="CF38" i="2"/>
  <c r="CJ38" i="2"/>
  <c r="CN38" i="2"/>
  <c r="CR38" i="2"/>
  <c r="CV38" i="2"/>
  <c r="CZ38" i="2"/>
  <c r="DD38" i="2"/>
  <c r="DH38" i="2"/>
  <c r="DL38" i="2"/>
  <c r="DP38" i="2"/>
  <c r="DT38" i="2"/>
  <c r="DX38" i="2"/>
  <c r="EB38" i="2"/>
  <c r="EF38" i="2"/>
  <c r="EJ38" i="2"/>
  <c r="EN38" i="2"/>
  <c r="EN42" i="2"/>
  <c r="EJ42" i="2"/>
  <c r="EF42" i="2"/>
  <c r="EB42" i="2"/>
  <c r="DX42" i="2"/>
  <c r="DT42" i="2"/>
  <c r="DP42" i="2"/>
  <c r="DL42" i="2"/>
  <c r="DH42" i="2"/>
  <c r="DD42" i="2"/>
  <c r="CZ42" i="2"/>
  <c r="CV42" i="2"/>
  <c r="CR42" i="2"/>
  <c r="CN42" i="2"/>
  <c r="CJ42" i="2"/>
  <c r="CF42" i="2"/>
  <c r="CB42" i="2"/>
  <c r="BX42" i="2"/>
  <c r="CA42" i="2"/>
  <c r="CQ42" i="2"/>
  <c r="DG42" i="2"/>
  <c r="DW42" i="2"/>
  <c r="EM42" i="2"/>
  <c r="BY43" i="2"/>
  <c r="CC43" i="2"/>
  <c r="CG43" i="2"/>
  <c r="CK43" i="2"/>
  <c r="CO43" i="2"/>
  <c r="CS43" i="2"/>
  <c r="CW43" i="2"/>
  <c r="DA43" i="2"/>
  <c r="DE43" i="2"/>
  <c r="DI43" i="2"/>
  <c r="DM43" i="2"/>
  <c r="DQ43" i="2"/>
  <c r="DU43" i="2"/>
  <c r="DY43" i="2"/>
  <c r="EC43" i="2"/>
  <c r="EG43" i="2"/>
  <c r="EK43" i="2"/>
  <c r="EO43" i="2"/>
  <c r="CH43" i="2"/>
  <c r="CX43" i="2"/>
  <c r="DN43" i="2"/>
  <c r="ED43" i="2"/>
  <c r="CP30" i="2"/>
  <c r="CT30" i="2"/>
  <c r="CX30" i="2"/>
  <c r="DB30" i="2"/>
  <c r="DF30" i="2"/>
  <c r="DJ30" i="2"/>
  <c r="DN30" i="2"/>
  <c r="DR30" i="2"/>
  <c r="DV30" i="2"/>
  <c r="DZ30" i="2"/>
  <c r="ED30" i="2"/>
  <c r="EH30" i="2"/>
  <c r="EL30" i="2"/>
  <c r="EP30" i="2"/>
  <c r="EI30" i="2"/>
  <c r="BX31" i="2"/>
  <c r="CB31" i="2"/>
  <c r="CF31" i="2"/>
  <c r="CJ31" i="2"/>
  <c r="CN31" i="2"/>
  <c r="CR31" i="2"/>
  <c r="CV31" i="2"/>
  <c r="CZ31" i="2"/>
  <c r="DD31" i="2"/>
  <c r="DH31" i="2"/>
  <c r="DL31" i="2"/>
  <c r="DP31" i="2"/>
  <c r="DT31" i="2"/>
  <c r="DX31" i="2"/>
  <c r="EB31" i="2"/>
  <c r="EF31" i="2"/>
  <c r="EJ31" i="2"/>
  <c r="EN31" i="2"/>
  <c r="CD31" i="2"/>
  <c r="CT31" i="2"/>
  <c r="DJ31" i="2"/>
  <c r="DZ31" i="2"/>
  <c r="BY33" i="2"/>
  <c r="CC33" i="2"/>
  <c r="CG33" i="2"/>
  <c r="CK33" i="2"/>
  <c r="CO33" i="2"/>
  <c r="CS33" i="2"/>
  <c r="CW33" i="2"/>
  <c r="DA33" i="2"/>
  <c r="DE33" i="2"/>
  <c r="DI33" i="2"/>
  <c r="DM33" i="2"/>
  <c r="DQ33" i="2"/>
  <c r="DU33" i="2"/>
  <c r="DY33" i="2"/>
  <c r="EC33" i="2"/>
  <c r="EG33" i="2"/>
  <c r="EK33" i="2"/>
  <c r="EO33" i="2"/>
  <c r="BZ34" i="2"/>
  <c r="CD34" i="2"/>
  <c r="CH34" i="2"/>
  <c r="CL34" i="2"/>
  <c r="CP34" i="2"/>
  <c r="CT34" i="2"/>
  <c r="CX34" i="2"/>
  <c r="DB34" i="2"/>
  <c r="DF34" i="2"/>
  <c r="DJ34" i="2"/>
  <c r="DN34" i="2"/>
  <c r="DR34" i="2"/>
  <c r="DV34" i="2"/>
  <c r="DZ34" i="2"/>
  <c r="ED34" i="2"/>
  <c r="EH34" i="2"/>
  <c r="EL34" i="2"/>
  <c r="EP34" i="2"/>
  <c r="CM34" i="2"/>
  <c r="DC34" i="2"/>
  <c r="DS34" i="2"/>
  <c r="EI34" i="2"/>
  <c r="BX35" i="2"/>
  <c r="CB35" i="2"/>
  <c r="CF35" i="2"/>
  <c r="CJ35" i="2"/>
  <c r="CN35" i="2"/>
  <c r="CR35" i="2"/>
  <c r="CV35" i="2"/>
  <c r="CZ35" i="2"/>
  <c r="DD35" i="2"/>
  <c r="DH35" i="2"/>
  <c r="DL35" i="2"/>
  <c r="DP35" i="2"/>
  <c r="DT35" i="2"/>
  <c r="DX35" i="2"/>
  <c r="EB35" i="2"/>
  <c r="EF35" i="2"/>
  <c r="EJ35" i="2"/>
  <c r="EN35" i="2"/>
  <c r="CD35" i="2"/>
  <c r="CT35" i="2"/>
  <c r="DJ35" i="2"/>
  <c r="DZ35" i="2"/>
  <c r="CB37" i="2"/>
  <c r="CR37" i="2"/>
  <c r="DH37" i="2"/>
  <c r="DX37" i="2"/>
  <c r="BY38" i="2"/>
  <c r="CC38" i="2"/>
  <c r="CG38" i="2"/>
  <c r="CK38" i="2"/>
  <c r="CO38" i="2"/>
  <c r="CS38" i="2"/>
  <c r="CW38" i="2"/>
  <c r="DA38" i="2"/>
  <c r="DE38" i="2"/>
  <c r="DI38" i="2"/>
  <c r="DM38" i="2"/>
  <c r="DQ38" i="2"/>
  <c r="DU38" i="2"/>
  <c r="DY38" i="2"/>
  <c r="EC38" i="2"/>
  <c r="EG38" i="2"/>
  <c r="EK38" i="2"/>
  <c r="EO38" i="2"/>
  <c r="CA39" i="2"/>
  <c r="CE39" i="2"/>
  <c r="CI39" i="2"/>
  <c r="CM39" i="2"/>
  <c r="CQ39" i="2"/>
  <c r="CU39" i="2"/>
  <c r="CY39" i="2"/>
  <c r="DC39" i="2"/>
  <c r="DG39" i="2"/>
  <c r="DK39" i="2"/>
  <c r="DO39" i="2"/>
  <c r="DS39" i="2"/>
  <c r="DW39" i="2"/>
  <c r="EA39" i="2"/>
  <c r="EE39" i="2"/>
  <c r="EI39" i="2"/>
  <c r="EM39" i="2"/>
  <c r="BZ39" i="2"/>
  <c r="CP39" i="2"/>
  <c r="DF39" i="2"/>
  <c r="DV39" i="2"/>
  <c r="EO41" i="2"/>
  <c r="EK41" i="2"/>
  <c r="EG41" i="2"/>
  <c r="EC41" i="2"/>
  <c r="DY41" i="2"/>
  <c r="DU41" i="2"/>
  <c r="DQ41" i="2"/>
  <c r="DM41" i="2"/>
  <c r="DI41" i="2"/>
  <c r="DE41" i="2"/>
  <c r="DA41" i="2"/>
  <c r="CW41" i="2"/>
  <c r="CS41" i="2"/>
  <c r="CO41" i="2"/>
  <c r="CK41" i="2"/>
  <c r="CA41" i="2"/>
  <c r="CE41" i="2"/>
  <c r="CI41" i="2"/>
  <c r="CM41" i="2"/>
  <c r="CQ41" i="2"/>
  <c r="CU41" i="2"/>
  <c r="CY41" i="2"/>
  <c r="DC41" i="2"/>
  <c r="DG41" i="2"/>
  <c r="DK41" i="2"/>
  <c r="DO41" i="2"/>
  <c r="DS41" i="2"/>
  <c r="DW41" i="2"/>
  <c r="EA41" i="2"/>
  <c r="EE41" i="2"/>
  <c r="EI41" i="2"/>
  <c r="EM41" i="2"/>
  <c r="BX41" i="2"/>
  <c r="CN41" i="2"/>
  <c r="DD41" i="2"/>
  <c r="DT41" i="2"/>
  <c r="EJ41" i="2"/>
  <c r="CE42" i="2"/>
  <c r="CU42" i="2"/>
  <c r="DK42" i="2"/>
  <c r="EA42" i="2"/>
  <c r="CL43" i="2"/>
  <c r="DB43" i="2"/>
  <c r="DR43" i="2"/>
  <c r="BZ30" i="2"/>
  <c r="CH30" i="2"/>
  <c r="BZ32" i="2"/>
  <c r="CD32" i="2"/>
  <c r="CH32" i="2"/>
  <c r="CL32" i="2"/>
  <c r="CP32" i="2"/>
  <c r="CT32" i="2"/>
  <c r="CX32" i="2"/>
  <c r="DB32" i="2"/>
  <c r="DF32" i="2"/>
  <c r="DJ32" i="2"/>
  <c r="DN32" i="2"/>
  <c r="DR32" i="2"/>
  <c r="DV32" i="2"/>
  <c r="DZ32" i="2"/>
  <c r="ED32" i="2"/>
  <c r="EH32" i="2"/>
  <c r="EL32" i="2"/>
  <c r="EP32" i="2"/>
  <c r="BZ33" i="2"/>
  <c r="CD33" i="2"/>
  <c r="CH33" i="2"/>
  <c r="CL33" i="2"/>
  <c r="CP33" i="2"/>
  <c r="CT33" i="2"/>
  <c r="CX33" i="2"/>
  <c r="DB33" i="2"/>
  <c r="DF33" i="2"/>
  <c r="DJ33" i="2"/>
  <c r="DN33" i="2"/>
  <c r="DR33" i="2"/>
  <c r="DV33" i="2"/>
  <c r="DZ33" i="2"/>
  <c r="ED33" i="2"/>
  <c r="EH33" i="2"/>
  <c r="EL33" i="2"/>
  <c r="EP33" i="2"/>
  <c r="CA34" i="2"/>
  <c r="CQ34" i="2"/>
  <c r="DG34" i="2"/>
  <c r="DW34" i="2"/>
  <c r="BZ38" i="2"/>
  <c r="CD38" i="2"/>
  <c r="CH38" i="2"/>
  <c r="CL38" i="2"/>
  <c r="CP38" i="2"/>
  <c r="CT38" i="2"/>
  <c r="CX38" i="2"/>
  <c r="DB38" i="2"/>
  <c r="DF38" i="2"/>
  <c r="DJ38" i="2"/>
  <c r="DN38" i="2"/>
  <c r="DR38" i="2"/>
  <c r="DV38" i="2"/>
  <c r="DZ38" i="2"/>
  <c r="ED38" i="2"/>
  <c r="EH38" i="2"/>
  <c r="EL38" i="2"/>
  <c r="EP38" i="2"/>
  <c r="EM43" i="2"/>
  <c r="EI43" i="2"/>
  <c r="EE43" i="2"/>
  <c r="EA43" i="2"/>
  <c r="DW43" i="2"/>
  <c r="DS43" i="2"/>
  <c r="DO43" i="2"/>
  <c r="DK43" i="2"/>
  <c r="DG43" i="2"/>
  <c r="DC43" i="2"/>
  <c r="CY43" i="2"/>
  <c r="CU43" i="2"/>
  <c r="CQ43" i="2"/>
  <c r="CM43" i="2"/>
  <c r="CI43" i="2"/>
  <c r="CE43" i="2"/>
  <c r="CA43" i="2"/>
  <c r="BZ43" i="2"/>
  <c r="CP43" i="2"/>
  <c r="DF43" i="2"/>
  <c r="DV43" i="2"/>
  <c r="EL43" i="2"/>
  <c r="DV40" i="2"/>
  <c r="DZ40" i="2"/>
  <c r="ED40" i="2"/>
  <c r="EH40" i="2"/>
  <c r="EL40" i="2"/>
  <c r="DZ45" i="2"/>
  <c r="ED45" i="2"/>
  <c r="EH45" i="2"/>
  <c r="EL45" i="2"/>
  <c r="EP45" i="2"/>
  <c r="CE45" i="2"/>
  <c r="CM45" i="2"/>
  <c r="CU45" i="2"/>
  <c r="DC45" i="2"/>
  <c r="DK45" i="2"/>
  <c r="DS45" i="2"/>
  <c r="EA45" i="2"/>
  <c r="EI45" i="2"/>
  <c r="CS46" i="2"/>
  <c r="CW46" i="2"/>
  <c r="DA46" i="2"/>
  <c r="DE46" i="2"/>
  <c r="DI46" i="2"/>
  <c r="DM46" i="2"/>
  <c r="DQ46" i="2"/>
  <c r="DU46" i="2"/>
  <c r="DY46" i="2"/>
  <c r="EC46" i="2"/>
  <c r="EG46" i="2"/>
  <c r="EK46" i="2"/>
  <c r="EO46" i="2"/>
  <c r="CH46" i="2"/>
  <c r="CX46" i="2"/>
  <c r="DN46" i="2"/>
  <c r="BZ47" i="2"/>
  <c r="CD47" i="2"/>
  <c r="CH47" i="2"/>
  <c r="CL47" i="2"/>
  <c r="CP47" i="2"/>
  <c r="CT47" i="2"/>
  <c r="CX47" i="2"/>
  <c r="DB47" i="2"/>
  <c r="DF47" i="2"/>
  <c r="DJ47" i="2"/>
  <c r="DN47" i="2"/>
  <c r="DR47" i="2"/>
  <c r="DV47" i="2"/>
  <c r="DZ47" i="2"/>
  <c r="ED47" i="2"/>
  <c r="EH47" i="2"/>
  <c r="EL47" i="2"/>
  <c r="EP47" i="2"/>
  <c r="CK47" i="2"/>
  <c r="DA47" i="2"/>
  <c r="DQ47" i="2"/>
  <c r="CJ48" i="2"/>
  <c r="CZ48" i="2"/>
  <c r="DP48" i="2"/>
  <c r="EO49" i="2"/>
  <c r="EK49" i="2"/>
  <c r="EG49" i="2"/>
  <c r="EC49" i="2"/>
  <c r="DY49" i="2"/>
  <c r="DU49" i="2"/>
  <c r="DQ49" i="2"/>
  <c r="DM49" i="2"/>
  <c r="DI49" i="2"/>
  <c r="DE49" i="2"/>
  <c r="DA49" i="2"/>
  <c r="CW49" i="2"/>
  <c r="CS49" i="2"/>
  <c r="CO49" i="2"/>
  <c r="CK49" i="2"/>
  <c r="CG49" i="2"/>
  <c r="CC49" i="2"/>
  <c r="BY49" i="2"/>
  <c r="CA49" i="2"/>
  <c r="CQ49" i="2"/>
  <c r="DG49" i="2"/>
  <c r="DW49" i="2"/>
  <c r="EM49" i="2"/>
  <c r="BY45" i="2"/>
  <c r="CG45" i="2"/>
  <c r="CO45" i="2"/>
  <c r="CW45" i="2"/>
  <c r="DE45" i="2"/>
  <c r="DM45" i="2"/>
  <c r="DU45" i="2"/>
  <c r="EC45" i="2"/>
  <c r="EK45" i="2"/>
  <c r="EM47" i="2"/>
  <c r="EI47" i="2"/>
  <c r="EE47" i="2"/>
  <c r="EA47" i="2"/>
  <c r="DW47" i="2"/>
  <c r="DS47" i="2"/>
  <c r="DO47" i="2"/>
  <c r="DK47" i="2"/>
  <c r="DG47" i="2"/>
  <c r="DC47" i="2"/>
  <c r="CY47" i="2"/>
  <c r="CU47" i="2"/>
  <c r="CQ47" i="2"/>
  <c r="CM47" i="2"/>
  <c r="CI47" i="2"/>
  <c r="CE47" i="2"/>
  <c r="CA47" i="2"/>
  <c r="BY47" i="2"/>
  <c r="CO47" i="2"/>
  <c r="DE47" i="2"/>
  <c r="DU47" i="2"/>
  <c r="EK47" i="2"/>
  <c r="EP48" i="2"/>
  <c r="EL48" i="2"/>
  <c r="EH48" i="2"/>
  <c r="ED48" i="2"/>
  <c r="DZ48" i="2"/>
  <c r="DV48" i="2"/>
  <c r="DR48" i="2"/>
  <c r="DN48" i="2"/>
  <c r="DJ48" i="2"/>
  <c r="DF48" i="2"/>
  <c r="DB48" i="2"/>
  <c r="CX48" i="2"/>
  <c r="CT48" i="2"/>
  <c r="CP48" i="2"/>
  <c r="CL48" i="2"/>
  <c r="CH48" i="2"/>
  <c r="CD48" i="2"/>
  <c r="BZ48" i="2"/>
  <c r="CA48" i="2"/>
  <c r="CE48" i="2"/>
  <c r="CI48" i="2"/>
  <c r="CM48" i="2"/>
  <c r="CQ48" i="2"/>
  <c r="CU48" i="2"/>
  <c r="CY48" i="2"/>
  <c r="DC48" i="2"/>
  <c r="DG48" i="2"/>
  <c r="DK48" i="2"/>
  <c r="DO48" i="2"/>
  <c r="DS48" i="2"/>
  <c r="DW48" i="2"/>
  <c r="EA48" i="2"/>
  <c r="EE48" i="2"/>
  <c r="EI48" i="2"/>
  <c r="EM48" i="2"/>
  <c r="BX48" i="2"/>
  <c r="CN48" i="2"/>
  <c r="DD48" i="2"/>
  <c r="DT48" i="2"/>
  <c r="EJ48" i="2"/>
  <c r="DD45" i="2"/>
  <c r="DH45" i="2"/>
  <c r="DL45" i="2"/>
  <c r="DP45" i="2"/>
  <c r="DT45" i="2"/>
  <c r="DX45" i="2"/>
  <c r="EB45" i="2"/>
  <c r="EF45" i="2"/>
  <c r="EJ45" i="2"/>
  <c r="EN45" i="2"/>
  <c r="CA45" i="2"/>
  <c r="CI45" i="2"/>
  <c r="CQ45" i="2"/>
  <c r="CY45" i="2"/>
  <c r="DG45" i="2"/>
  <c r="DO45" i="2"/>
  <c r="DW45" i="2"/>
  <c r="EE45" i="2"/>
  <c r="EN46" i="2"/>
  <c r="EJ46" i="2"/>
  <c r="EF46" i="2"/>
  <c r="EB46" i="2"/>
  <c r="DX46" i="2"/>
  <c r="DT46" i="2"/>
  <c r="DP46" i="2"/>
  <c r="DL46" i="2"/>
  <c r="DH46" i="2"/>
  <c r="DD46" i="2"/>
  <c r="CZ46" i="2"/>
  <c r="CV46" i="2"/>
  <c r="CR46" i="2"/>
  <c r="CN46" i="2"/>
  <c r="CJ46" i="2"/>
  <c r="CF46" i="2"/>
  <c r="CB46" i="2"/>
  <c r="BX46" i="2"/>
  <c r="CA46" i="2"/>
  <c r="CE46" i="2"/>
  <c r="CI46" i="2"/>
  <c r="CM46" i="2"/>
  <c r="CQ46" i="2"/>
  <c r="CU46" i="2"/>
  <c r="CY46" i="2"/>
  <c r="DC46" i="2"/>
  <c r="DG46" i="2"/>
  <c r="DK46" i="2"/>
  <c r="DO46" i="2"/>
  <c r="DS46" i="2"/>
  <c r="DW46" i="2"/>
  <c r="EA46" i="2"/>
  <c r="EE46" i="2"/>
  <c r="EI46" i="2"/>
  <c r="EM46" i="2"/>
  <c r="BZ46" i="2"/>
  <c r="CP46" i="2"/>
  <c r="DF46" i="2"/>
  <c r="DV46" i="2"/>
  <c r="EL46" i="2"/>
  <c r="BX47" i="2"/>
  <c r="CB47" i="2"/>
  <c r="CF47" i="2"/>
  <c r="CJ47" i="2"/>
  <c r="CN47" i="2"/>
  <c r="CR47" i="2"/>
  <c r="CV47" i="2"/>
  <c r="CZ47" i="2"/>
  <c r="DD47" i="2"/>
  <c r="DH47" i="2"/>
  <c r="DL47" i="2"/>
  <c r="DP47" i="2"/>
  <c r="DT47" i="2"/>
  <c r="DX47" i="2"/>
  <c r="EB47" i="2"/>
  <c r="EF47" i="2"/>
  <c r="EJ47" i="2"/>
  <c r="EN47" i="2"/>
  <c r="CC47" i="2"/>
  <c r="CS47" i="2"/>
  <c r="DI47" i="2"/>
  <c r="DY47" i="2"/>
  <c r="EO47" i="2"/>
  <c r="CB48" i="2"/>
  <c r="CR48" i="2"/>
  <c r="DH48" i="2"/>
  <c r="DX48" i="2"/>
  <c r="EN48" i="2"/>
  <c r="CI49" i="2"/>
  <c r="CY49" i="2"/>
  <c r="DO49" i="2"/>
  <c r="EE49" i="2"/>
  <c r="EN55" i="2"/>
  <c r="EJ55" i="2"/>
  <c r="EF55" i="2"/>
  <c r="EB55" i="2"/>
  <c r="DX55" i="2"/>
  <c r="DT55" i="2"/>
  <c r="DP55" i="2"/>
  <c r="DL55" i="2"/>
  <c r="DH55" i="2"/>
  <c r="DD55" i="2"/>
  <c r="CZ55" i="2"/>
  <c r="CV55" i="2"/>
  <c r="CR55" i="2"/>
  <c r="CN55" i="2"/>
  <c r="CJ55" i="2"/>
  <c r="CF55" i="2"/>
  <c r="CB55" i="2"/>
  <c r="BX55" i="2"/>
  <c r="EI55" i="2"/>
  <c r="DS55" i="2"/>
  <c r="DC55" i="2"/>
  <c r="CM55" i="2"/>
  <c r="EE55" i="2"/>
  <c r="DO55" i="2"/>
  <c r="CY55" i="2"/>
  <c r="CI55" i="2"/>
  <c r="EA55" i="2"/>
  <c r="DK55" i="2"/>
  <c r="CU55" i="2"/>
  <c r="CE55" i="2"/>
  <c r="CA55" i="2"/>
  <c r="EM55" i="2"/>
  <c r="DZ50" i="2"/>
  <c r="ED50" i="2"/>
  <c r="EH50" i="2"/>
  <c r="EL50" i="2"/>
  <c r="EP50" i="2"/>
  <c r="EL51" i="2"/>
  <c r="EP51" i="2"/>
  <c r="CB51" i="2"/>
  <c r="CR51" i="2"/>
  <c r="DH51" i="2"/>
  <c r="DX51" i="2"/>
  <c r="CE52" i="2"/>
  <c r="CM52" i="2"/>
  <c r="CU52" i="2"/>
  <c r="DC52" i="2"/>
  <c r="DK52" i="2"/>
  <c r="DS52" i="2"/>
  <c r="EA52" i="2"/>
  <c r="EI52" i="2"/>
  <c r="EO54" i="2"/>
  <c r="EK54" i="2"/>
  <c r="EG54" i="2"/>
  <c r="EC54" i="2"/>
  <c r="DY54" i="2"/>
  <c r="DU54" i="2"/>
  <c r="DQ54" i="2"/>
  <c r="DM54" i="2"/>
  <c r="DI54" i="2"/>
  <c r="DE54" i="2"/>
  <c r="DA54" i="2"/>
  <c r="CW54" i="2"/>
  <c r="CS54" i="2"/>
  <c r="CO54" i="2"/>
  <c r="CK54" i="2"/>
  <c r="CG54" i="2"/>
  <c r="CC54" i="2"/>
  <c r="BY54" i="2"/>
  <c r="CA54" i="2"/>
  <c r="CE54" i="2"/>
  <c r="CI54" i="2"/>
  <c r="CM54" i="2"/>
  <c r="CQ54" i="2"/>
  <c r="CU54" i="2"/>
  <c r="CY54" i="2"/>
  <c r="DC54" i="2"/>
  <c r="DG54" i="2"/>
  <c r="DK54" i="2"/>
  <c r="DO54" i="2"/>
  <c r="DS54" i="2"/>
  <c r="DW54" i="2"/>
  <c r="EA54" i="2"/>
  <c r="EE54" i="2"/>
  <c r="EI54" i="2"/>
  <c r="EM54" i="2"/>
  <c r="BX54" i="2"/>
  <c r="CN54" i="2"/>
  <c r="DD54" i="2"/>
  <c r="DT54" i="2"/>
  <c r="EJ54" i="2"/>
  <c r="CL56" i="2"/>
  <c r="DB56" i="2"/>
  <c r="DR56" i="2"/>
  <c r="BX50" i="2"/>
  <c r="CB50" i="2"/>
  <c r="CF50" i="2"/>
  <c r="CJ50" i="2"/>
  <c r="CN50" i="2"/>
  <c r="CR50" i="2"/>
  <c r="CV50" i="2"/>
  <c r="CZ50" i="2"/>
  <c r="DD50" i="2"/>
  <c r="DH50" i="2"/>
  <c r="DL50" i="2"/>
  <c r="DP50" i="2"/>
  <c r="DT50" i="2"/>
  <c r="DX50" i="2"/>
  <c r="BX51" i="2"/>
  <c r="CD51" i="2"/>
  <c r="CN51" i="2"/>
  <c r="CT51" i="2"/>
  <c r="DD51" i="2"/>
  <c r="DJ51" i="2"/>
  <c r="DT51" i="2"/>
  <c r="DZ51" i="2"/>
  <c r="EJ51" i="2"/>
  <c r="BZ52" i="2"/>
  <c r="CH52" i="2"/>
  <c r="CP52" i="2"/>
  <c r="CX52" i="2"/>
  <c r="DF52" i="2"/>
  <c r="DN52" i="2"/>
  <c r="DV52" i="2"/>
  <c r="ED52" i="2"/>
  <c r="EL52" i="2"/>
  <c r="BY55" i="2"/>
  <c r="CC55" i="2"/>
  <c r="CG55" i="2"/>
  <c r="CK55" i="2"/>
  <c r="CO55" i="2"/>
  <c r="CS55" i="2"/>
  <c r="CW55" i="2"/>
  <c r="DA55" i="2"/>
  <c r="DE55" i="2"/>
  <c r="DI55" i="2"/>
  <c r="DM55" i="2"/>
  <c r="DQ55" i="2"/>
  <c r="DU55" i="2"/>
  <c r="DY55" i="2"/>
  <c r="EC55" i="2"/>
  <c r="EG55" i="2"/>
  <c r="EK55" i="2"/>
  <c r="EO55" i="2"/>
  <c r="EM56" i="2"/>
  <c r="EI56" i="2"/>
  <c r="EE56" i="2"/>
  <c r="EA56" i="2"/>
  <c r="DW56" i="2"/>
  <c r="DS56" i="2"/>
  <c r="DO56" i="2"/>
  <c r="DK56" i="2"/>
  <c r="DG56" i="2"/>
  <c r="DC56" i="2"/>
  <c r="CY56" i="2"/>
  <c r="CU56" i="2"/>
  <c r="CQ56" i="2"/>
  <c r="CM56" i="2"/>
  <c r="CI56" i="2"/>
  <c r="CE56" i="2"/>
  <c r="CA56" i="2"/>
  <c r="BZ56" i="2"/>
  <c r="CP56" i="2"/>
  <c r="DF56" i="2"/>
  <c r="DV56" i="2"/>
  <c r="EL56" i="2"/>
  <c r="EI60" i="2"/>
  <c r="DS60" i="2"/>
  <c r="DC60" i="2"/>
  <c r="CM60" i="2"/>
  <c r="EE60" i="2"/>
  <c r="DO60" i="2"/>
  <c r="CY60" i="2"/>
  <c r="CI60" i="2"/>
  <c r="EA60" i="2"/>
  <c r="DK60" i="2"/>
  <c r="CU60" i="2"/>
  <c r="CE60" i="2"/>
  <c r="CA60" i="2"/>
  <c r="EM60" i="2"/>
  <c r="BZ51" i="2"/>
  <c r="CJ51" i="2"/>
  <c r="CP51" i="2"/>
  <c r="CZ51" i="2"/>
  <c r="DF51" i="2"/>
  <c r="DP51" i="2"/>
  <c r="DV51" i="2"/>
  <c r="BX52" i="2"/>
  <c r="CB52" i="2"/>
  <c r="CF52" i="2"/>
  <c r="CJ52" i="2"/>
  <c r="CN52" i="2"/>
  <c r="CR52" i="2"/>
  <c r="CV52" i="2"/>
  <c r="CZ52" i="2"/>
  <c r="DD52" i="2"/>
  <c r="DH52" i="2"/>
  <c r="DL52" i="2"/>
  <c r="DP52" i="2"/>
  <c r="DT52" i="2"/>
  <c r="DX52" i="2"/>
  <c r="EB52" i="2"/>
  <c r="EF52" i="2"/>
  <c r="EJ52" i="2"/>
  <c r="EN52" i="2"/>
  <c r="CA52" i="2"/>
  <c r="CI52" i="2"/>
  <c r="CQ52" i="2"/>
  <c r="CY52" i="2"/>
  <c r="DG52" i="2"/>
  <c r="DO52" i="2"/>
  <c r="DW52" i="2"/>
  <c r="EE52" i="2"/>
  <c r="BZ55" i="2"/>
  <c r="CD55" i="2"/>
  <c r="CH55" i="2"/>
  <c r="CL55" i="2"/>
  <c r="CP55" i="2"/>
  <c r="CT55" i="2"/>
  <c r="CX55" i="2"/>
  <c r="DB55" i="2"/>
  <c r="DF55" i="2"/>
  <c r="DJ55" i="2"/>
  <c r="DN55" i="2"/>
  <c r="DR55" i="2"/>
  <c r="DV55" i="2"/>
  <c r="DZ55" i="2"/>
  <c r="ED55" i="2"/>
  <c r="EH55" i="2"/>
  <c r="EL55" i="2"/>
  <c r="EP55" i="2"/>
  <c r="BX56" i="2"/>
  <c r="CB56" i="2"/>
  <c r="CF56" i="2"/>
  <c r="CJ56" i="2"/>
  <c r="CN56" i="2"/>
  <c r="CR56" i="2"/>
  <c r="CV56" i="2"/>
  <c r="CZ56" i="2"/>
  <c r="DD56" i="2"/>
  <c r="DH56" i="2"/>
  <c r="DL56" i="2"/>
  <c r="DP56" i="2"/>
  <c r="DT56" i="2"/>
  <c r="DX56" i="2"/>
  <c r="EB56" i="2"/>
  <c r="EF56" i="2"/>
  <c r="EJ56" i="2"/>
  <c r="EN56" i="2"/>
  <c r="CD56" i="2"/>
  <c r="CT56" i="2"/>
  <c r="DJ56" i="2"/>
  <c r="DZ56" i="2"/>
  <c r="EP56" i="2"/>
  <c r="CQ60" i="2"/>
  <c r="DW57" i="2"/>
  <c r="CA59" i="2"/>
  <c r="CE59" i="2"/>
  <c r="CI59" i="2"/>
  <c r="CM59" i="2"/>
  <c r="CQ59" i="2"/>
  <c r="CU59" i="2"/>
  <c r="CY59" i="2"/>
  <c r="DC59" i="2"/>
  <c r="DG59" i="2"/>
  <c r="DK59" i="2"/>
  <c r="DO59" i="2"/>
  <c r="DS59" i="2"/>
  <c r="DW59" i="2"/>
  <c r="EA59" i="2"/>
  <c r="EE59" i="2"/>
  <c r="EI59" i="2"/>
  <c r="EM59" i="2"/>
  <c r="BX59" i="2"/>
  <c r="CN59" i="2"/>
  <c r="DD59" i="2"/>
  <c r="DT59" i="2"/>
  <c r="EJ59" i="2"/>
  <c r="BX60" i="2"/>
  <c r="CB60" i="2"/>
  <c r="CF60" i="2"/>
  <c r="CJ60" i="2"/>
  <c r="CN60" i="2"/>
  <c r="CR60" i="2"/>
  <c r="CV60" i="2"/>
  <c r="CZ60" i="2"/>
  <c r="DD60" i="2"/>
  <c r="DH60" i="2"/>
  <c r="DL60" i="2"/>
  <c r="DP60" i="2"/>
  <c r="DT60" i="2"/>
  <c r="DX60" i="2"/>
  <c r="EB60" i="2"/>
  <c r="EF60" i="2"/>
  <c r="EJ60" i="2"/>
  <c r="EN60" i="2"/>
  <c r="DF57" i="2"/>
  <c r="DJ57" i="2"/>
  <c r="DN57" i="2"/>
  <c r="DR57" i="2"/>
  <c r="DV57" i="2"/>
  <c r="DZ57" i="2"/>
  <c r="ED57" i="2"/>
  <c r="EH57" i="2"/>
  <c r="EL57" i="2"/>
  <c r="EP57" i="2"/>
  <c r="CB59" i="2"/>
  <c r="CR59" i="2"/>
  <c r="DH59" i="2"/>
  <c r="DX59" i="2"/>
  <c r="EN59" i="2"/>
  <c r="BY60" i="2"/>
  <c r="CC60" i="2"/>
  <c r="CG60" i="2"/>
  <c r="CK60" i="2"/>
  <c r="CO60" i="2"/>
  <c r="CS60" i="2"/>
  <c r="CW60" i="2"/>
  <c r="DA60" i="2"/>
  <c r="DE60" i="2"/>
  <c r="DI60" i="2"/>
  <c r="DM60" i="2"/>
  <c r="DQ60" i="2"/>
  <c r="DU60" i="2"/>
  <c r="DY60" i="2"/>
  <c r="EC60" i="2"/>
  <c r="EG60" i="2"/>
  <c r="EK60" i="2"/>
  <c r="EO60" i="2"/>
  <c r="BY59" i="2"/>
  <c r="CC59" i="2"/>
  <c r="CG59" i="2"/>
  <c r="CK59" i="2"/>
  <c r="CO59" i="2"/>
  <c r="CS59" i="2"/>
  <c r="CW59" i="2"/>
  <c r="DA59" i="2"/>
  <c r="DE59" i="2"/>
  <c r="DI59" i="2"/>
  <c r="DM59" i="2"/>
  <c r="DQ59" i="2"/>
  <c r="DU59" i="2"/>
  <c r="DY59" i="2"/>
  <c r="EC59" i="2"/>
  <c r="EG59" i="2"/>
  <c r="EK59" i="2"/>
  <c r="EO59" i="2"/>
  <c r="CF59" i="2"/>
  <c r="CV59" i="2"/>
  <c r="DL59" i="2"/>
  <c r="BZ60" i="2"/>
  <c r="CD60" i="2"/>
  <c r="CH60" i="2"/>
  <c r="CL60" i="2"/>
  <c r="CP60" i="2"/>
  <c r="CT60" i="2"/>
  <c r="CX60" i="2"/>
  <c r="DB60" i="2"/>
  <c r="DF60" i="2"/>
  <c r="DJ60" i="2"/>
  <c r="DN60" i="2"/>
  <c r="DR60" i="2"/>
  <c r="DV60" i="2"/>
  <c r="DZ60" i="2"/>
  <c r="ED60" i="2"/>
  <c r="EH60" i="2"/>
  <c r="EL60" i="2"/>
  <c r="EP60" i="2"/>
  <c r="CG64" i="2"/>
  <c r="CW64" i="2"/>
  <c r="DM64" i="2"/>
  <c r="EJ64" i="2"/>
  <c r="CX61" i="2"/>
  <c r="DB61" i="2"/>
  <c r="DF61" i="2"/>
  <c r="DJ61" i="2"/>
  <c r="DN61" i="2"/>
  <c r="DR61" i="2"/>
  <c r="DV61" i="2"/>
  <c r="DZ61" i="2"/>
  <c r="ED61" i="2"/>
  <c r="EH61" i="2"/>
  <c r="EL61" i="2"/>
  <c r="EP61" i="2"/>
  <c r="CC63" i="2"/>
  <c r="CK63" i="2"/>
  <c r="CG63" i="2"/>
  <c r="DG63" i="2"/>
  <c r="EM63" i="2"/>
  <c r="DX64" i="2"/>
  <c r="EO64" i="2"/>
  <c r="BZ63" i="2"/>
  <c r="CD63" i="2"/>
  <c r="CH63" i="2"/>
  <c r="CL63" i="2"/>
  <c r="CP63" i="2"/>
  <c r="CT63" i="2"/>
  <c r="CX63" i="2"/>
  <c r="DB63" i="2"/>
  <c r="DF63" i="2"/>
  <c r="DJ63" i="2"/>
  <c r="DN63" i="2"/>
  <c r="DR63" i="2"/>
  <c r="DV63" i="2"/>
  <c r="DZ63" i="2"/>
  <c r="ED63" i="2"/>
  <c r="EH63" i="2"/>
  <c r="EL63" i="2"/>
  <c r="EP63" i="2"/>
  <c r="CM63" i="2"/>
  <c r="EO63" i="2"/>
  <c r="EK63" i="2"/>
  <c r="EG63" i="2"/>
  <c r="EC63" i="2"/>
  <c r="DY63" i="2"/>
  <c r="DU63" i="2"/>
  <c r="EE63" i="2"/>
  <c r="DO63" i="2"/>
  <c r="CY63" i="2"/>
  <c r="EA63" i="2"/>
  <c r="DK63" i="2"/>
  <c r="CU63" i="2"/>
  <c r="CI63" i="2"/>
  <c r="CA63" i="2"/>
  <c r="BY63" i="2"/>
  <c r="CQ63" i="2"/>
  <c r="DW63" i="2"/>
  <c r="BX63" i="2"/>
  <c r="CB63" i="2"/>
  <c r="CF63" i="2"/>
  <c r="CJ63" i="2"/>
  <c r="CN63" i="2"/>
  <c r="CR63" i="2"/>
  <c r="CV63" i="2"/>
  <c r="CZ63" i="2"/>
  <c r="DD63" i="2"/>
  <c r="DH63" i="2"/>
  <c r="DL63" i="2"/>
  <c r="DP63" i="2"/>
  <c r="DT63" i="2"/>
  <c r="DX63" i="2"/>
  <c r="EB63" i="2"/>
  <c r="EF63" i="2"/>
  <c r="EJ63" i="2"/>
  <c r="EN63" i="2"/>
  <c r="CE64" i="2"/>
  <c r="CU64" i="2"/>
  <c r="DK64" i="2"/>
  <c r="EC64" i="2"/>
  <c r="B3" i="8"/>
  <c r="B7" i="8"/>
  <c r="B11" i="8"/>
  <c r="B15" i="8"/>
  <c r="B19" i="8"/>
  <c r="B23" i="8"/>
  <c r="B27" i="8"/>
  <c r="B31" i="8"/>
  <c r="B35" i="8"/>
  <c r="B39" i="8"/>
  <c r="B43" i="8"/>
  <c r="B47" i="8"/>
  <c r="B51" i="8"/>
  <c r="B55" i="8"/>
  <c r="B59" i="8"/>
  <c r="B63" i="8"/>
  <c r="B67" i="8"/>
  <c r="B71" i="8"/>
  <c r="CO63" i="2"/>
  <c r="CS63" i="2"/>
  <c r="CW63" i="2"/>
  <c r="DA63" i="2"/>
  <c r="DE63" i="2"/>
  <c r="DI63" i="2"/>
  <c r="DM63" i="2"/>
  <c r="DQ63" i="2"/>
  <c r="BX64" i="2"/>
  <c r="CN64" i="2"/>
  <c r="DD64" i="2"/>
  <c r="EI64" i="2"/>
  <c r="B68" i="8"/>
  <c r="B64" i="8"/>
  <c r="B60" i="8"/>
  <c r="B56" i="8"/>
  <c r="B52" i="8"/>
  <c r="B48" i="8"/>
  <c r="B44" i="8"/>
  <c r="B40" i="8"/>
  <c r="B36" i="8"/>
  <c r="B32" i="8"/>
  <c r="B28" i="8"/>
  <c r="B24" i="8"/>
  <c r="B20" i="8"/>
  <c r="B16" i="8"/>
  <c r="B12" i="8"/>
  <c r="B8" i="8"/>
  <c r="B4" i="8"/>
  <c r="B69" i="8"/>
  <c r="B65" i="8"/>
  <c r="B61" i="8"/>
  <c r="B57" i="8"/>
  <c r="B53" i="8"/>
  <c r="B49" i="8"/>
  <c r="B45" i="8"/>
  <c r="B41" i="8"/>
  <c r="B37" i="8"/>
  <c r="B33" i="8"/>
  <c r="B29" i="8"/>
  <c r="B25" i="8"/>
  <c r="B21" i="8"/>
  <c r="B17" i="8"/>
  <c r="B13" i="8"/>
  <c r="B9" i="8"/>
  <c r="B5" i="8"/>
  <c r="B2" i="8"/>
  <c r="B6" i="8"/>
  <c r="B10" i="8"/>
  <c r="B14" i="8"/>
  <c r="B18" i="8"/>
  <c r="B22" i="8"/>
  <c r="B26" i="8"/>
  <c r="B30" i="8"/>
  <c r="B34" i="8"/>
  <c r="B38" i="8"/>
  <c r="B42" i="8"/>
  <c r="B46" i="8"/>
  <c r="B50" i="8"/>
  <c r="B54" i="8"/>
  <c r="B58" i="8"/>
  <c r="B62" i="8"/>
  <c r="B66" i="8"/>
  <c r="B70" i="8"/>
  <c r="B72" i="8"/>
  <c r="B2" i="7"/>
  <c r="B64" i="7" s="1"/>
  <c r="K3" i="12"/>
  <c r="U4" i="12"/>
  <c r="K7" i="12"/>
  <c r="K11" i="12"/>
  <c r="K15" i="12"/>
  <c r="K19" i="12"/>
  <c r="K23" i="12"/>
  <c r="U2" i="12"/>
  <c r="K9" i="12"/>
  <c r="K13" i="12"/>
  <c r="K17" i="12"/>
  <c r="K21" i="12"/>
  <c r="K4" i="12"/>
  <c r="K6" i="12"/>
  <c r="K10" i="12"/>
  <c r="K14" i="12"/>
  <c r="K18" i="12"/>
  <c r="CZ64" i="2" l="1"/>
  <c r="DG64" i="2"/>
  <c r="CA64" i="2"/>
  <c r="EK64" i="2"/>
  <c r="EK2" i="2" s="1"/>
  <c r="CC64" i="2"/>
  <c r="DI64" i="2"/>
  <c r="DT64" i="2"/>
  <c r="DL64" i="2"/>
  <c r="DL2" i="2" s="1"/>
  <c r="CV64" i="2"/>
  <c r="CF64" i="2"/>
  <c r="DU64" i="2"/>
  <c r="DC64" i="2"/>
  <c r="DC2" i="2" s="1"/>
  <c r="CM64" i="2"/>
  <c r="EG64" i="2"/>
  <c r="EA64" i="2"/>
  <c r="DE64" i="2"/>
  <c r="DE2" i="2" s="1"/>
  <c r="CO64" i="2"/>
  <c r="BY64" i="2"/>
  <c r="DQ64" i="2"/>
  <c r="DQ2" i="2" s="1"/>
  <c r="CJ64" i="2"/>
  <c r="DP64" i="2"/>
  <c r="DY64" i="2"/>
  <c r="CQ64" i="2"/>
  <c r="DS64" i="2"/>
  <c r="EF64" i="2"/>
  <c r="CS64" i="2"/>
  <c r="EM64" i="2"/>
  <c r="EM2" i="2" s="1"/>
  <c r="DH64" i="2"/>
  <c r="DH2" i="2" s="1"/>
  <c r="CR64" i="2"/>
  <c r="CB64" i="2"/>
  <c r="DO64" i="2"/>
  <c r="CY64" i="2"/>
  <c r="CI64" i="2"/>
  <c r="EB64" i="2"/>
  <c r="EN64" i="2"/>
  <c r="EN2" i="2" s="1"/>
  <c r="DW64" i="2"/>
  <c r="DW2" i="2" s="1"/>
  <c r="DA64" i="2"/>
  <c r="CK64" i="2"/>
  <c r="EA2" i="2"/>
  <c r="DK2" i="2"/>
  <c r="CU2" i="2"/>
  <c r="CE2" i="2"/>
  <c r="DI2" i="2"/>
  <c r="CB2" i="2"/>
  <c r="EB2" i="2"/>
  <c r="BX2" i="2"/>
  <c r="EO2" i="2"/>
  <c r="DY2" i="2"/>
  <c r="DM2" i="2"/>
  <c r="CK2" i="2"/>
  <c r="BY2" i="2"/>
  <c r="CN2" i="2"/>
  <c r="DD2" i="2"/>
  <c r="CF2" i="2"/>
  <c r="CY2" i="2"/>
  <c r="CR2" i="2"/>
  <c r="DT2" i="2"/>
  <c r="DG2" i="2"/>
  <c r="CZ2" i="2"/>
  <c r="EC2" i="2"/>
  <c r="CW2" i="2"/>
  <c r="CQ2" i="2"/>
  <c r="EG2" i="2"/>
  <c r="DA2" i="2"/>
  <c r="DX2" i="2"/>
  <c r="CV2" i="2"/>
  <c r="DU2" i="2"/>
  <c r="CC2" i="2"/>
  <c r="EE2" i="2"/>
  <c r="CA2" i="2"/>
  <c r="DS2" i="2"/>
  <c r="EF2" i="2"/>
  <c r="CS2" i="2"/>
  <c r="CG2" i="2"/>
  <c r="DO2" i="2"/>
  <c r="CO2" i="2"/>
  <c r="EJ2" i="2"/>
  <c r="DP2" i="2"/>
  <c r="CJ2" i="2"/>
  <c r="CM2" i="2"/>
  <c r="CI2" i="2"/>
  <c r="EI2" i="2"/>
  <c r="B64" i="2"/>
  <c r="EL64" i="2"/>
  <c r="EL2" i="2" s="1"/>
  <c r="DV64" i="2"/>
  <c r="DV2" i="2" s="1"/>
  <c r="DF64" i="2"/>
  <c r="DF2" i="2" s="1"/>
  <c r="CP64" i="2"/>
  <c r="CP2" i="2" s="1"/>
  <c r="BZ64" i="2"/>
  <c r="BZ2" i="2" s="1"/>
  <c r="EH64" i="2"/>
  <c r="EH2" i="2" s="1"/>
  <c r="DR64" i="2"/>
  <c r="DR2" i="2" s="1"/>
  <c r="DB64" i="2"/>
  <c r="DB2" i="2" s="1"/>
  <c r="CL64" i="2"/>
  <c r="CL2" i="2" s="1"/>
  <c r="EP64" i="2"/>
  <c r="EP2" i="2" s="1"/>
  <c r="DJ64" i="2"/>
  <c r="DJ2" i="2" s="1"/>
  <c r="CD64" i="2"/>
  <c r="CD2" i="2" s="1"/>
  <c r="ED64" i="2"/>
  <c r="ED2" i="2" s="1"/>
  <c r="CX64" i="2"/>
  <c r="CX2" i="2" s="1"/>
  <c r="DZ64" i="2"/>
  <c r="DZ2" i="2" s="1"/>
  <c r="CT64" i="2"/>
  <c r="CT2" i="2" s="1"/>
  <c r="DN64" i="2"/>
  <c r="DN2" i="2" s="1"/>
  <c r="CH64" i="2"/>
  <c r="CH2" i="2" s="1"/>
  <c r="U5" i="12"/>
</calcChain>
</file>

<file path=xl/sharedStrings.xml><?xml version="1.0" encoding="utf-8"?>
<sst xmlns="http://schemas.openxmlformats.org/spreadsheetml/2006/main" count="2679" uniqueCount="769">
  <si>
    <t>Country</t>
  </si>
  <si>
    <t>Country Code</t>
  </si>
  <si>
    <t>Shipped Quantity</t>
  </si>
  <si>
    <t>Revenue</t>
  </si>
  <si>
    <t>Tax</t>
  </si>
  <si>
    <t>Shipping Price</t>
  </si>
  <si>
    <t>Share of  Shipping Price in Revenue</t>
  </si>
  <si>
    <t>Shipping Tax</t>
  </si>
  <si>
    <t>Gift Wrap Price</t>
  </si>
  <si>
    <t>Gift Wrap Tax</t>
  </si>
  <si>
    <t>Value of Promo Discount</t>
  </si>
  <si>
    <t>Shipment Promo Discount</t>
  </si>
  <si>
    <t>US</t>
  </si>
  <si>
    <t>CA</t>
  </si>
  <si>
    <t>CO</t>
  </si>
  <si>
    <t>IL</t>
  </si>
  <si>
    <t>MX</t>
  </si>
  <si>
    <t>AU</t>
  </si>
  <si>
    <t>GB</t>
  </si>
  <si>
    <t>HK</t>
  </si>
  <si>
    <t>NZ</t>
  </si>
  <si>
    <t>SG</t>
  </si>
  <si>
    <t>CL</t>
  </si>
  <si>
    <t>PR</t>
  </si>
  <si>
    <t>SA</t>
  </si>
  <si>
    <t>KR</t>
  </si>
  <si>
    <t>PH</t>
  </si>
  <si>
    <t>IE</t>
  </si>
  <si>
    <t>DE</t>
  </si>
  <si>
    <t>FR</t>
  </si>
  <si>
    <t>JP</t>
  </si>
  <si>
    <t>ZA</t>
  </si>
  <si>
    <t>TW</t>
  </si>
  <si>
    <t>ES</t>
  </si>
  <si>
    <t>NL</t>
  </si>
  <si>
    <t>BE</t>
  </si>
  <si>
    <t>PE</t>
  </si>
  <si>
    <t>MY</t>
  </si>
  <si>
    <t>SE</t>
  </si>
  <si>
    <t>TH</t>
  </si>
  <si>
    <t>KW</t>
  </si>
  <si>
    <t>BH</t>
  </si>
  <si>
    <t>NO</t>
  </si>
  <si>
    <t>CR</t>
  </si>
  <si>
    <t>AE</t>
  </si>
  <si>
    <t>CY</t>
  </si>
  <si>
    <t>GH</t>
  </si>
  <si>
    <t>DK</t>
  </si>
  <si>
    <t>PT</t>
  </si>
  <si>
    <t>NG</t>
  </si>
  <si>
    <t>TR</t>
  </si>
  <si>
    <t>BR</t>
  </si>
  <si>
    <t>AT</t>
  </si>
  <si>
    <t>IS</t>
  </si>
  <si>
    <t>IT</t>
  </si>
  <si>
    <t>CZ</t>
  </si>
  <si>
    <t>EE</t>
  </si>
  <si>
    <t>BM</t>
  </si>
  <si>
    <t>SI</t>
  </si>
  <si>
    <t>HU</t>
  </si>
  <si>
    <t>OM</t>
  </si>
  <si>
    <t>RU</t>
  </si>
  <si>
    <t>GF</t>
  </si>
  <si>
    <t>ID</t>
  </si>
  <si>
    <t>TT</t>
  </si>
  <si>
    <t>QA</t>
  </si>
  <si>
    <t>VI</t>
  </si>
  <si>
    <t>MU</t>
  </si>
  <si>
    <t>GU</t>
  </si>
  <si>
    <t>RS</t>
  </si>
  <si>
    <t>BB</t>
  </si>
  <si>
    <t>KH</t>
  </si>
  <si>
    <t>JO</t>
  </si>
  <si>
    <t>MO</t>
  </si>
  <si>
    <t>GP</t>
  </si>
  <si>
    <t>LT</t>
  </si>
  <si>
    <t>UY</t>
  </si>
  <si>
    <t>PL</t>
  </si>
  <si>
    <t>FI</t>
  </si>
  <si>
    <t>LV</t>
  </si>
  <si>
    <t>RO</t>
  </si>
  <si>
    <t>CN</t>
  </si>
  <si>
    <t>SK</t>
  </si>
  <si>
    <t>Total</t>
  </si>
  <si>
    <t>Allegro</t>
  </si>
  <si>
    <t>Amazon AE</t>
  </si>
  <si>
    <t>Amazon AU</t>
  </si>
  <si>
    <t>Amazon BR</t>
  </si>
  <si>
    <t>Amazon CA</t>
  </si>
  <si>
    <t>Amazon DE</t>
  </si>
  <si>
    <t>Amazon ES</t>
  </si>
  <si>
    <t>Amazon IT</t>
  </si>
  <si>
    <t>Amazon JP</t>
  </si>
  <si>
    <t>Amazon MX</t>
  </si>
  <si>
    <t>Amazon NL</t>
  </si>
  <si>
    <t>Amazon UK</t>
  </si>
  <si>
    <t>Amazon US</t>
  </si>
  <si>
    <t>Americanas</t>
  </si>
  <si>
    <t>argos</t>
  </si>
  <si>
    <t>blibli</t>
  </si>
  <si>
    <t>bol</t>
  </si>
  <si>
    <t>bukalapak</t>
  </si>
  <si>
    <t>canadiantire</t>
  </si>
  <si>
    <t>Casasbahia</t>
  </si>
  <si>
    <t>catch</t>
  </si>
  <si>
    <t>cdiscount</t>
  </si>
  <si>
    <t>clasohlson</t>
  </si>
  <si>
    <t>coolblue</t>
  </si>
  <si>
    <t>costco</t>
  </si>
  <si>
    <t>Costco CA</t>
  </si>
  <si>
    <t>ebay</t>
  </si>
  <si>
    <t>ebay DE</t>
  </si>
  <si>
    <t>ebay UK</t>
  </si>
  <si>
    <t>elcorteingles</t>
  </si>
  <si>
    <t>etsy</t>
  </si>
  <si>
    <t>Extra</t>
  </si>
  <si>
    <t>Falabella</t>
  </si>
  <si>
    <t>falabella PE</t>
  </si>
  <si>
    <t>fishpond</t>
  </si>
  <si>
    <t>fnac</t>
  </si>
  <si>
    <t>grays</t>
  </si>
  <si>
    <t>hepsiburada</t>
  </si>
  <si>
    <t>homecenter</t>
  </si>
  <si>
    <t>jumia</t>
  </si>
  <si>
    <t>kijiji</t>
  </si>
  <si>
    <t>kmart</t>
  </si>
  <si>
    <t>kohls</t>
  </si>
  <si>
    <t>lazada</t>
  </si>
  <si>
    <t>Linio</t>
  </si>
  <si>
    <t>liverpool</t>
  </si>
  <si>
    <t>magazineluiza</t>
  </si>
  <si>
    <t>marktplaats</t>
  </si>
  <si>
    <t>Mercado Libre</t>
  </si>
  <si>
    <t>mydeal</t>
  </si>
  <si>
    <t>newegg</t>
  </si>
  <si>
    <t>noon</t>
  </si>
  <si>
    <t>otto</t>
  </si>
  <si>
    <t>pgmall</t>
  </si>
  <si>
    <t>plazavea</t>
  </si>
  <si>
    <t>Pontofrio</t>
  </si>
  <si>
    <t>price</t>
  </si>
  <si>
    <t>Rakuten</t>
  </si>
  <si>
    <t>ripley</t>
  </si>
  <si>
    <t>Shopee</t>
  </si>
  <si>
    <t>Submarino</t>
  </si>
  <si>
    <t>taobao</t>
  </si>
  <si>
    <t>Target</t>
  </si>
  <si>
    <t>thewarehouse</t>
  </si>
  <si>
    <t>tokopedia</t>
  </si>
  <si>
    <t>trademe</t>
  </si>
  <si>
    <t>Trendyol</t>
  </si>
  <si>
    <t>walmart</t>
  </si>
  <si>
    <t>walmart CA</t>
  </si>
  <si>
    <t>wayfair</t>
  </si>
  <si>
    <t>worten</t>
  </si>
  <si>
    <t>Marketplace</t>
  </si>
  <si>
    <t>GDP factor</t>
  </si>
  <si>
    <t>ln (GDP)</t>
  </si>
  <si>
    <t>Australia</t>
  </si>
  <si>
    <t>Argentina</t>
  </si>
  <si>
    <t>Austria</t>
  </si>
  <si>
    <t>Bahrain</t>
  </si>
  <si>
    <t>Belgium</t>
  </si>
  <si>
    <t>Bermuda</t>
  </si>
  <si>
    <t>Brazil</t>
  </si>
  <si>
    <t>Canada</t>
  </si>
  <si>
    <t>Chile</t>
  </si>
  <si>
    <t>Colombia</t>
  </si>
  <si>
    <t>Costa Rica</t>
  </si>
  <si>
    <t>Cyprus</t>
  </si>
  <si>
    <t>Czech Republic</t>
  </si>
  <si>
    <t>Denmark</t>
  </si>
  <si>
    <t>Estonia</t>
  </si>
  <si>
    <t>France</t>
  </si>
  <si>
    <t>French Guiana</t>
  </si>
  <si>
    <t>Germany</t>
  </si>
  <si>
    <t>Ghana</t>
  </si>
  <si>
    <t>Guam</t>
  </si>
  <si>
    <t>Hong Kong</t>
  </si>
  <si>
    <t>Hungary</t>
  </si>
  <si>
    <t>Iceland</t>
  </si>
  <si>
    <t>Indonesia</t>
  </si>
  <si>
    <t>Ireland</t>
  </si>
  <si>
    <t>Israel</t>
  </si>
  <si>
    <t>Italy</t>
  </si>
  <si>
    <t>Japan</t>
  </si>
  <si>
    <t>Korea, Republic</t>
  </si>
  <si>
    <t>Kuwait</t>
  </si>
  <si>
    <t>Malaysia</t>
  </si>
  <si>
    <t>Mauritius</t>
  </si>
  <si>
    <t>Mexico</t>
  </si>
  <si>
    <t>Netherlands</t>
  </si>
  <si>
    <t>New Zealand</t>
  </si>
  <si>
    <t>Nigeria</t>
  </si>
  <si>
    <t>Norway</t>
  </si>
  <si>
    <t>Oman</t>
  </si>
  <si>
    <t>Peru</t>
  </si>
  <si>
    <t>Philippines</t>
  </si>
  <si>
    <t>Portugal</t>
  </si>
  <si>
    <t>Poland</t>
  </si>
  <si>
    <t>Puerto Rico</t>
  </si>
  <si>
    <t>Qatar</t>
  </si>
  <si>
    <t>Russian Federation</t>
  </si>
  <si>
    <t>Saudi Arabia</t>
  </si>
  <si>
    <t>Singapore</t>
  </si>
  <si>
    <t>Slovenia</t>
  </si>
  <si>
    <t>South Africa</t>
  </si>
  <si>
    <t>Spain</t>
  </si>
  <si>
    <t>Sweden</t>
  </si>
  <si>
    <t>Taiwan</t>
  </si>
  <si>
    <t>Thailand</t>
  </si>
  <si>
    <t>Trinidad and Tobago</t>
  </si>
  <si>
    <t>Turkey</t>
  </si>
  <si>
    <t>Uruguay</t>
  </si>
  <si>
    <t>United Arab Emirates</t>
  </si>
  <si>
    <t>United Kingdom</t>
  </si>
  <si>
    <t>United States</t>
  </si>
  <si>
    <t>Vietnam</t>
  </si>
  <si>
    <t xml:space="preserve">Virgin Islands </t>
  </si>
  <si>
    <t>rest</t>
  </si>
  <si>
    <t>List</t>
  </si>
  <si>
    <t>Describe</t>
  </si>
  <si>
    <t>Model</t>
  </si>
  <si>
    <t>Regression model</t>
  </si>
  <si>
    <t>Countries markets attractiveness</t>
  </si>
  <si>
    <t>Marketplace attractiveness</t>
  </si>
  <si>
    <t>Marketplace_customer</t>
  </si>
  <si>
    <t xml:space="preserve">1. Correlation Analysis
</t>
  </si>
  <si>
    <t>Initial data</t>
  </si>
  <si>
    <t>Pearson correlation coefficient</t>
  </si>
  <si>
    <t>GDP per capita (2020)</t>
  </si>
  <si>
    <t>GDP (2020)</t>
  </si>
  <si>
    <t>GINI</t>
  </si>
  <si>
    <t>English knowledge</t>
  </si>
  <si>
    <t>Amazon traffic, mln.</t>
  </si>
  <si>
    <t>GDP per capita</t>
  </si>
  <si>
    <t xml:space="preserve">GDP per capita (2020) and GINI are excluded due to low correlation
</t>
  </si>
  <si>
    <t>Conclusions: No covariance. The indicators can be used in regression analysis.</t>
  </si>
  <si>
    <t>CONCLUSION</t>
  </si>
  <si>
    <t>Regression statistics</t>
  </si>
  <si>
    <t>F-critical</t>
  </si>
  <si>
    <t>Multiple R</t>
  </si>
  <si>
    <t>T-critical</t>
  </si>
  <si>
    <t>R-squared</t>
  </si>
  <si>
    <t>MSE</t>
  </si>
  <si>
    <t>Adjusted R-squared</t>
  </si>
  <si>
    <t>F-critical and T-critical are less than F-statistic and T-statistic values</t>
  </si>
  <si>
    <t>Standard error</t>
  </si>
  <si>
    <t>Observations</t>
  </si>
  <si>
    <t>Дисперсионный анализ</t>
  </si>
  <si>
    <t>df</t>
  </si>
  <si>
    <t>SS</t>
  </si>
  <si>
    <t>MS</t>
  </si>
  <si>
    <t>F</t>
  </si>
  <si>
    <t>Significance F</t>
  </si>
  <si>
    <t>Regression</t>
  </si>
  <si>
    <t>Residual</t>
  </si>
  <si>
    <t xml:space="preserve"> Coefficients</t>
  </si>
  <si>
    <t>Standard Error</t>
  </si>
  <si>
    <t>T-Statistic</t>
  </si>
  <si>
    <t>P-Value</t>
  </si>
  <si>
    <t>95% Lower Confidence Interval</t>
  </si>
  <si>
    <t>95% Upper Confidence Interval</t>
  </si>
  <si>
    <t>Rest</t>
  </si>
  <si>
    <t>Predicted Y</t>
  </si>
  <si>
    <t>Residuals</t>
  </si>
  <si>
    <t>Squared Residuals</t>
  </si>
  <si>
    <t>Market attractiveness</t>
  </si>
  <si>
    <t>Total marketplace traffic, mln.</t>
  </si>
  <si>
    <t>-</t>
  </si>
  <si>
    <t>Name</t>
  </si>
  <si>
    <t>URL</t>
  </si>
  <si>
    <t>Traffic, mln</t>
  </si>
  <si>
    <t>Amazon</t>
  </si>
  <si>
    <t>amazon.com</t>
  </si>
  <si>
    <t>walmart.com</t>
  </si>
  <si>
    <t>https://www.amazon.co.jp/</t>
  </si>
  <si>
    <t>www.etsy.com</t>
  </si>
  <si>
    <t>ebay.com</t>
  </si>
  <si>
    <t>https://www.amazon.de/</t>
  </si>
  <si>
    <t>Asia</t>
  </si>
  <si>
    <t>https://shopee.com/</t>
  </si>
  <si>
    <t>https://www.amazon.co.uk/</t>
  </si>
  <si>
    <t>https://www.target.com/</t>
  </si>
  <si>
    <t>https://www.wayfair.com/</t>
  </si>
  <si>
    <t>costco.com</t>
  </si>
  <si>
    <t>tokopedia.com</t>
  </si>
  <si>
    <t>http://kohls.com/</t>
  </si>
  <si>
    <t>allegro.pl</t>
  </si>
  <si>
    <t>https://www.amazon.it/</t>
  </si>
  <si>
    <t>UK</t>
  </si>
  <si>
    <t>https://www.ebay.co.uk/</t>
  </si>
  <si>
    <t>www.americanas.com.br/</t>
  </si>
  <si>
    <t>https://www.magazineluiza.com.br/</t>
  </si>
  <si>
    <t>https://www.hepsiburada.com/</t>
  </si>
  <si>
    <t>German</t>
  </si>
  <si>
    <t>https://www.ebay.de/</t>
  </si>
  <si>
    <t>www.trendyol.com/</t>
  </si>
  <si>
    <t>https://www.amazon.es</t>
  </si>
  <si>
    <t>argos.co.uk</t>
  </si>
  <si>
    <t>https://www.cdiscount.com/</t>
  </si>
  <si>
    <t>otto.de</t>
  </si>
  <si>
    <t>https://www.amazon.ca/</t>
  </si>
  <si>
    <t>www.rakuten.co.jp</t>
  </si>
  <si>
    <t>Latin America</t>
  </si>
  <si>
    <t>https://www.mercadolibre.com</t>
  </si>
  <si>
    <t>www.casasbahia.com.br/</t>
  </si>
  <si>
    <t>https://www.amazon.com.br/</t>
  </si>
  <si>
    <t>www.kijiji.ca/</t>
  </si>
  <si>
    <t>www.bukalapak.com/</t>
  </si>
  <si>
    <t>www.walmart.ca</t>
  </si>
  <si>
    <t>www.lazada.co.id/</t>
  </si>
  <si>
    <t>www.elcorteingles.es/</t>
  </si>
  <si>
    <t>https://www.canadiantire.ca/en.html</t>
  </si>
  <si>
    <t>www.bol.com/</t>
  </si>
  <si>
    <t>blibli.com</t>
  </si>
  <si>
    <t>www.extra.com.br/</t>
  </si>
  <si>
    <t>https://www.kmart.com.au/</t>
  </si>
  <si>
    <t>www.submarino.com.br</t>
  </si>
  <si>
    <t>https://www.costco.ca/</t>
  </si>
  <si>
    <t>www.pontofrio.com.br/</t>
  </si>
  <si>
    <t>Amazon.AU</t>
  </si>
  <si>
    <t>www.amazon.com.mx</t>
  </si>
  <si>
    <t>www.liverpool.com.mx/</t>
  </si>
  <si>
    <t>https://www.catch.com.au/</t>
  </si>
  <si>
    <t>www.newegg.ca</t>
  </si>
  <si>
    <t>https://www.grays.com/</t>
  </si>
  <si>
    <t>www.mydeal.com.au/</t>
  </si>
  <si>
    <t>https://www.fishpond.com.au/</t>
  </si>
  <si>
    <t>www.marktplaats.nl/</t>
  </si>
  <si>
    <t>www.coolblue.nl/</t>
  </si>
  <si>
    <t>www.clasohlson.com/</t>
  </si>
  <si>
    <t>taobao.com</t>
  </si>
  <si>
    <t>www.amazon.nl/</t>
  </si>
  <si>
    <t>AUE</t>
  </si>
  <si>
    <t>noon.com</t>
  </si>
  <si>
    <t>https://www.linio.com/</t>
  </si>
  <si>
    <t>http://pgmall.my/</t>
  </si>
  <si>
    <t>https://www.jumia.com.ng/</t>
  </si>
  <si>
    <t>https://www.amazon.ae/</t>
  </si>
  <si>
    <t>www.falabella.com</t>
  </si>
  <si>
    <t>Columbia</t>
  </si>
  <si>
    <t>https://www.homecenter.com.co/</t>
  </si>
  <si>
    <t>price.com.hk</t>
  </si>
  <si>
    <t>www.fnac.pt</t>
  </si>
  <si>
    <t>simple.ripley.com.pe/</t>
  </si>
  <si>
    <t>www.falabella.com.pe/</t>
  </si>
  <si>
    <t>New Zeland</t>
  </si>
  <si>
    <t>www.trademe.co.nz</t>
  </si>
  <si>
    <t>https://www.worten.pt/</t>
  </si>
  <si>
    <t>www.thewarehouse.co.nz</t>
  </si>
  <si>
    <t>www.plazavea.com.pe</t>
  </si>
  <si>
    <t>Serbia</t>
  </si>
  <si>
    <t>Barbados</t>
  </si>
  <si>
    <t>Cambodia</t>
  </si>
  <si>
    <t>Jordan</t>
  </si>
  <si>
    <t>Macao</t>
  </si>
  <si>
    <t>Guadeloupe</t>
  </si>
  <si>
    <t>Lithuania</t>
  </si>
  <si>
    <t>Finland</t>
  </si>
  <si>
    <t>Latvia</t>
  </si>
  <si>
    <t>Romania</t>
  </si>
  <si>
    <t>China</t>
  </si>
  <si>
    <t>Slovakia (Slovak Republic)</t>
  </si>
  <si>
    <t>Country Name</t>
  </si>
  <si>
    <t>Aruba</t>
  </si>
  <si>
    <t>2020 GDP</t>
  </si>
  <si>
    <t>Знание английского языка</t>
  </si>
  <si>
    <t>Коэф</t>
  </si>
  <si>
    <t>marktplace</t>
  </si>
  <si>
    <t>traffic</t>
  </si>
  <si>
    <t>Africa Eastern and Southern</t>
  </si>
  <si>
    <t>Equatorial Guinea</t>
  </si>
  <si>
    <t>AUS</t>
  </si>
  <si>
    <t>Afghanistan</t>
  </si>
  <si>
    <t>South Sudan</t>
  </si>
  <si>
    <t>AUT</t>
  </si>
  <si>
    <t>Africa Western and Central</t>
  </si>
  <si>
    <t>Madagascar</t>
  </si>
  <si>
    <t>Azerbaijan</t>
  </si>
  <si>
    <t>AZE</t>
  </si>
  <si>
    <t>Angola</t>
  </si>
  <si>
    <t>Guinea-Bissau</t>
  </si>
  <si>
    <t>ARG</t>
  </si>
  <si>
    <t>Albania</t>
  </si>
  <si>
    <t>Eritrea</t>
  </si>
  <si>
    <t>Armenia</t>
  </si>
  <si>
    <t>ARM</t>
  </si>
  <si>
    <t>Andorra</t>
  </si>
  <si>
    <t>Sao Tome and Principe</t>
  </si>
  <si>
    <t>Belarus</t>
  </si>
  <si>
    <t>BLR</t>
  </si>
  <si>
    <t>Arab World</t>
  </si>
  <si>
    <t>Burundi</t>
  </si>
  <si>
    <t>Bulgaria</t>
  </si>
  <si>
    <t>BGR</t>
  </si>
  <si>
    <t>DR Congo</t>
  </si>
  <si>
    <t>BRA</t>
  </si>
  <si>
    <t>Central African Republic</t>
  </si>
  <si>
    <t>GBR</t>
  </si>
  <si>
    <t>Guatemala</t>
  </si>
  <si>
    <t>HUN</t>
  </si>
  <si>
    <t>American Samoa</t>
  </si>
  <si>
    <t>Eswatini</t>
  </si>
  <si>
    <t>DEU</t>
  </si>
  <si>
    <t>Antigua and Barbuda</t>
  </si>
  <si>
    <t>Haiti</t>
  </si>
  <si>
    <t>Greece</t>
  </si>
  <si>
    <t>GRC</t>
  </si>
  <si>
    <t>Sierra Leone</t>
  </si>
  <si>
    <t>Georgia</t>
  </si>
  <si>
    <t>GEO</t>
  </si>
  <si>
    <t>Egypt, Arab Rep.</t>
  </si>
  <si>
    <t>EGY</t>
  </si>
  <si>
    <t>Togo</t>
  </si>
  <si>
    <t>IRL</t>
  </si>
  <si>
    <t>ESP</t>
  </si>
  <si>
    <t>Zambia</t>
  </si>
  <si>
    <t>ITA</t>
  </si>
  <si>
    <t>Benin</t>
  </si>
  <si>
    <t>Malawi</t>
  </si>
  <si>
    <t>Kazakhstan</t>
  </si>
  <si>
    <t>KAZ</t>
  </si>
  <si>
    <t>Burkina Faso</t>
  </si>
  <si>
    <t>Liberia</t>
  </si>
  <si>
    <t>CAN</t>
  </si>
  <si>
    <t>Bangladesh</t>
  </si>
  <si>
    <t>Lesotho</t>
  </si>
  <si>
    <t>CHN</t>
  </si>
  <si>
    <t>Gambia</t>
  </si>
  <si>
    <t>LVA</t>
  </si>
  <si>
    <t>Yemen</t>
  </si>
  <si>
    <t>LTU</t>
  </si>
  <si>
    <t>Bahamas, The</t>
  </si>
  <si>
    <t>Honduras</t>
  </si>
  <si>
    <t>Moldova</t>
  </si>
  <si>
    <t>MDA</t>
  </si>
  <si>
    <t>Bosnia and Herzegovina</t>
  </si>
  <si>
    <t>Senegal</t>
  </si>
  <si>
    <t>POL</t>
  </si>
  <si>
    <t>Sudan</t>
  </si>
  <si>
    <t>PRT</t>
  </si>
  <si>
    <t>Belize</t>
  </si>
  <si>
    <t>Mozambique</t>
  </si>
  <si>
    <t>RUS</t>
  </si>
  <si>
    <t>Guinea</t>
  </si>
  <si>
    <t>ROU</t>
  </si>
  <si>
    <t>Bolivia</t>
  </si>
  <si>
    <t>Comoros</t>
  </si>
  <si>
    <t>Slovak Republic</t>
  </si>
  <si>
    <t>SVK</t>
  </si>
  <si>
    <t>Chad</t>
  </si>
  <si>
    <t>USA</t>
  </si>
  <si>
    <t>Mali</t>
  </si>
  <si>
    <t>TUR</t>
  </si>
  <si>
    <t>Brunei Darussalam</t>
  </si>
  <si>
    <t>FRA</t>
  </si>
  <si>
    <t>Bhutan</t>
  </si>
  <si>
    <t>Timor-Leste</t>
  </si>
  <si>
    <t>SWE</t>
  </si>
  <si>
    <t>Botswana</t>
  </si>
  <si>
    <t>EST</t>
  </si>
  <si>
    <t>Micronesia</t>
  </si>
  <si>
    <t>ZAF</t>
  </si>
  <si>
    <t>Republic of the Congo</t>
  </si>
  <si>
    <t>JPN</t>
  </si>
  <si>
    <t>Central Europe and the Baltics</t>
  </si>
  <si>
    <t>Niger</t>
  </si>
  <si>
    <t>Switzerland</t>
  </si>
  <si>
    <t>Channel Islands</t>
  </si>
  <si>
    <t>Papua New Guinea</t>
  </si>
  <si>
    <t>Ivory Coast</t>
  </si>
  <si>
    <t>Cote d'Ivoire</t>
  </si>
  <si>
    <t>Zimbabwe</t>
  </si>
  <si>
    <t>Cameroon</t>
  </si>
  <si>
    <t>Rwanda</t>
  </si>
  <si>
    <t>Congo, Dem. Rep.</t>
  </si>
  <si>
    <t>Congo, Rep.</t>
  </si>
  <si>
    <t>Kenya</t>
  </si>
  <si>
    <t>Cabo Verde</t>
  </si>
  <si>
    <t>Syria</t>
  </si>
  <si>
    <t>Caribbean small states</t>
  </si>
  <si>
    <t>Gabon</t>
  </si>
  <si>
    <t>Cuba</t>
  </si>
  <si>
    <t>Venezuela</t>
  </si>
  <si>
    <t>Curacao</t>
  </si>
  <si>
    <t>Egypt</t>
  </si>
  <si>
    <t>Cayman Islands</t>
  </si>
  <si>
    <t>Mauritania</t>
  </si>
  <si>
    <t>Fiji</t>
  </si>
  <si>
    <t>Palestine</t>
  </si>
  <si>
    <t>Djibouti</t>
  </si>
  <si>
    <t>Mongolia</t>
  </si>
  <si>
    <t>Dominica</t>
  </si>
  <si>
    <t>Lebanon</t>
  </si>
  <si>
    <t>Dominican Republic</t>
  </si>
  <si>
    <t>Algeria</t>
  </si>
  <si>
    <t>Tanzania</t>
  </si>
  <si>
    <t>East Asia &amp; Pacific (excluding high income)</t>
  </si>
  <si>
    <t>Tuvalu</t>
  </si>
  <si>
    <t>Early-demographic dividend</t>
  </si>
  <si>
    <t>Tajikistan</t>
  </si>
  <si>
    <t>East Asia &amp; Pacific</t>
  </si>
  <si>
    <t>Seychelles</t>
  </si>
  <si>
    <t>Europe &amp; Central Asia (excluding high income)</t>
  </si>
  <si>
    <t>Nepal</t>
  </si>
  <si>
    <t>Europe &amp; Central Asia</t>
  </si>
  <si>
    <t>Saint Lucia</t>
  </si>
  <si>
    <t>Ecuador</t>
  </si>
  <si>
    <t>Palau</t>
  </si>
  <si>
    <t>Euro area</t>
  </si>
  <si>
    <t>Nicaragua</t>
  </si>
  <si>
    <t>Myanmar</t>
  </si>
  <si>
    <t>Montenegro</t>
  </si>
  <si>
    <t>Ethiopia</t>
  </si>
  <si>
    <t>Pakistan</t>
  </si>
  <si>
    <t>European Union</t>
  </si>
  <si>
    <t>Fragile and conflict affected situations</t>
  </si>
  <si>
    <t>Paraguay</t>
  </si>
  <si>
    <t>Faroe Islands</t>
  </si>
  <si>
    <t>Micronesia, Fed. Sts.</t>
  </si>
  <si>
    <t>El Salvador</t>
  </si>
  <si>
    <t>Tonga</t>
  </si>
  <si>
    <t>Panama</t>
  </si>
  <si>
    <t>India</t>
  </si>
  <si>
    <t>Gibraltar</t>
  </si>
  <si>
    <t>Kiribati</t>
  </si>
  <si>
    <t>Gambia, The</t>
  </si>
  <si>
    <t>North Macedonia</t>
  </si>
  <si>
    <t>Uganda</t>
  </si>
  <si>
    <t>Grenada</t>
  </si>
  <si>
    <t>Greenland</t>
  </si>
  <si>
    <t>Samoa</t>
  </si>
  <si>
    <t>Guyana</t>
  </si>
  <si>
    <t>High income</t>
  </si>
  <si>
    <t>Kyrgyzstan</t>
  </si>
  <si>
    <t>Hong Kong SAR, China</t>
  </si>
  <si>
    <t>Jamaica</t>
  </si>
  <si>
    <t>Heavily indebted poor countries (HIPC)</t>
  </si>
  <si>
    <t>Croatia</t>
  </si>
  <si>
    <t>Iraq</t>
  </si>
  <si>
    <t>IBRD only</t>
  </si>
  <si>
    <t>IDA &amp; IBRD total</t>
  </si>
  <si>
    <t>Laos</t>
  </si>
  <si>
    <t>IDA total</t>
  </si>
  <si>
    <t>IDA blend</t>
  </si>
  <si>
    <t>IDA only</t>
  </si>
  <si>
    <t>Luxembourg</t>
  </si>
  <si>
    <t>Isle of Man</t>
  </si>
  <si>
    <t>Namibia</t>
  </si>
  <si>
    <t>Not classified</t>
  </si>
  <si>
    <t>Malta</t>
  </si>
  <si>
    <t>Iran, Islamic Rep.</t>
  </si>
  <si>
    <t>Tunisia</t>
  </si>
  <si>
    <t>Kyrgyz Republic</t>
  </si>
  <si>
    <t>St. Kitts and Nevis</t>
  </si>
  <si>
    <t>Uzbekistan</t>
  </si>
  <si>
    <t>Korea, Rep.</t>
  </si>
  <si>
    <t>Latin America &amp; Caribbean (excluding high income)</t>
  </si>
  <si>
    <t>Lao PDR</t>
  </si>
  <si>
    <t>Vanuatu</t>
  </si>
  <si>
    <t>Solomon Islands</t>
  </si>
  <si>
    <t>Libya</t>
  </si>
  <si>
    <t>St. Lucia</t>
  </si>
  <si>
    <t>Russia</t>
  </si>
  <si>
    <t>Latin America &amp; Caribbean</t>
  </si>
  <si>
    <t>Least developed countries: UN classification</t>
  </si>
  <si>
    <t>Low income</t>
  </si>
  <si>
    <t>Liechtenstein</t>
  </si>
  <si>
    <t>Sri Lanka</t>
  </si>
  <si>
    <t>Lower middle income</t>
  </si>
  <si>
    <t>Low &amp; middle income</t>
  </si>
  <si>
    <t>Late-demographic dividend</t>
  </si>
  <si>
    <t>Macao SAR, China</t>
  </si>
  <si>
    <t>St. Martin (French part)</t>
  </si>
  <si>
    <t>Maldives</t>
  </si>
  <si>
    <t>Morocco</t>
  </si>
  <si>
    <t>Monaco</t>
  </si>
  <si>
    <t>Middle East &amp; North Africa</t>
  </si>
  <si>
    <t>Marshall Islands</t>
  </si>
  <si>
    <t>Middle income</t>
  </si>
  <si>
    <t>Ukraine</t>
  </si>
  <si>
    <t>Nauru</t>
  </si>
  <si>
    <t>Middle East &amp; North Africa (excluding high income)</t>
  </si>
  <si>
    <t>Cape Verde</t>
  </si>
  <si>
    <t>Suriname</t>
  </si>
  <si>
    <t>Northern Mariana Islands</t>
  </si>
  <si>
    <t>Slovakia</t>
  </si>
  <si>
    <t>Turkmenistan</t>
  </si>
  <si>
    <t>Somalia</t>
  </si>
  <si>
    <t>North America</t>
  </si>
  <si>
    <t>South Korea</t>
  </si>
  <si>
    <t>New Caledonia</t>
  </si>
  <si>
    <t>Iran</t>
  </si>
  <si>
    <t>OECD members</t>
  </si>
  <si>
    <t>Other small states</t>
  </si>
  <si>
    <t>Pre-demographic dividend</t>
  </si>
  <si>
    <t>Korea, Dem. People's Rep.</t>
  </si>
  <si>
    <t>West Bank and Gaza</t>
  </si>
  <si>
    <t>Pacific island small states</t>
  </si>
  <si>
    <t>Post-demographic dividend</t>
  </si>
  <si>
    <t>French Polynesia</t>
  </si>
  <si>
    <t>South Asia</t>
  </si>
  <si>
    <t>San Marino</t>
  </si>
  <si>
    <t>Sub-Saharan Africa (excluding high income)</t>
  </si>
  <si>
    <t>Sub-Saharan Africa</t>
  </si>
  <si>
    <t>Small states</t>
  </si>
  <si>
    <t>Sint Maarten (Dutch part)</t>
  </si>
  <si>
    <t>Syrian Arab Republic</t>
  </si>
  <si>
    <t>Turks and Caicos Islands</t>
  </si>
  <si>
    <t>East Asia &amp; Pacific (IDA &amp; IBRD countries)</t>
  </si>
  <si>
    <t>Europe &amp; Central Asia (IDA &amp; IBRD countries)</t>
  </si>
  <si>
    <t>Latin America &amp; the Caribbean (IDA &amp; IBRD countries)</t>
  </si>
  <si>
    <t>Middle East &amp; North Africa (IDA &amp; IBRD countries)</t>
  </si>
  <si>
    <t>South Asia (IDA &amp; IBRD)</t>
  </si>
  <si>
    <t>Sub-Saharan Africa (IDA &amp; IBRD countries)</t>
  </si>
  <si>
    <t>Upper middle income</t>
  </si>
  <si>
    <t>St. Vincent and the Grenadines</t>
  </si>
  <si>
    <t>Venezuela, RB</t>
  </si>
  <si>
    <t>British Virgin Islands</t>
  </si>
  <si>
    <t>Virgin Islands (U.S.)</t>
  </si>
  <si>
    <t>World</t>
  </si>
  <si>
    <t>Kosovo</t>
  </si>
  <si>
    <t>Yemen, Rep.</t>
  </si>
  <si>
    <t>Country (испаноязычные)</t>
  </si>
  <si>
    <t>Country (англоязычные)</t>
  </si>
  <si>
    <t>Other</t>
  </si>
  <si>
    <t>English speaking countries</t>
  </si>
  <si>
    <t>Spanish speaking countries</t>
  </si>
  <si>
    <t>Portugal speaking countries</t>
  </si>
  <si>
    <t>Two-letter Abbreviation</t>
  </si>
  <si>
    <t>AF</t>
  </si>
  <si>
    <t>AL</t>
  </si>
  <si>
    <t>DZ</t>
  </si>
  <si>
    <t>AD</t>
  </si>
  <si>
    <t>AO</t>
  </si>
  <si>
    <t>AG</t>
  </si>
  <si>
    <t>AR</t>
  </si>
  <si>
    <t>AM</t>
  </si>
  <si>
    <t>AZ</t>
  </si>
  <si>
    <t>Bahamas</t>
  </si>
  <si>
    <t>BS</t>
  </si>
  <si>
    <t>BD</t>
  </si>
  <si>
    <t>BY</t>
  </si>
  <si>
    <t>BZ</t>
  </si>
  <si>
    <t>BJ</t>
  </si>
  <si>
    <t>BT</t>
  </si>
  <si>
    <t>BO</t>
  </si>
  <si>
    <t>Bosnia and Herzegowina</t>
  </si>
  <si>
    <t>BA</t>
  </si>
  <si>
    <t>BW</t>
  </si>
  <si>
    <t>BN</t>
  </si>
  <si>
    <t>BG</t>
  </si>
  <si>
    <t>BF</t>
  </si>
  <si>
    <t>BI</t>
  </si>
  <si>
    <t>CM</t>
  </si>
  <si>
    <t>CV</t>
  </si>
  <si>
    <t>CF</t>
  </si>
  <si>
    <t>TD</t>
  </si>
  <si>
    <t>KM</t>
  </si>
  <si>
    <t>Congo, Democratic Republic</t>
  </si>
  <si>
    <t>CD</t>
  </si>
  <si>
    <t>Congo, People’s Republic</t>
  </si>
  <si>
    <t>CG</t>
  </si>
  <si>
    <t>CI</t>
  </si>
  <si>
    <t>Croatia (Local Name: Hrvatska)</t>
  </si>
  <si>
    <t>HR</t>
  </si>
  <si>
    <t>CU</t>
  </si>
  <si>
    <t>DJ</t>
  </si>
  <si>
    <t>DM</t>
  </si>
  <si>
    <t>DO</t>
  </si>
  <si>
    <t>East Timor</t>
  </si>
  <si>
    <t>TL</t>
  </si>
  <si>
    <t>EC</t>
  </si>
  <si>
    <t>SV</t>
  </si>
  <si>
    <t>GQ</t>
  </si>
  <si>
    <t>ER</t>
  </si>
  <si>
    <t>ET</t>
  </si>
  <si>
    <t>FJ</t>
  </si>
  <si>
    <t>GA</t>
  </si>
  <si>
    <t>GM</t>
  </si>
  <si>
    <t>GE</t>
  </si>
  <si>
    <t>GR</t>
  </si>
  <si>
    <t>GD</t>
  </si>
  <si>
    <t>GL</t>
  </si>
  <si>
    <t>GT</t>
  </si>
  <si>
    <t>GN</t>
  </si>
  <si>
    <t>GW</t>
  </si>
  <si>
    <t>GY</t>
  </si>
  <si>
    <t>HT</t>
  </si>
  <si>
    <t>HN</t>
  </si>
  <si>
    <t>IN</t>
  </si>
  <si>
    <t>IR</t>
  </si>
  <si>
    <t>IQ</t>
  </si>
  <si>
    <t>JM</t>
  </si>
  <si>
    <t>KZ</t>
  </si>
  <si>
    <t>KE</t>
  </si>
  <si>
    <t>KI</t>
  </si>
  <si>
    <t>Korea, Democratic People's Republic</t>
  </si>
  <si>
    <t>KP</t>
  </si>
  <si>
    <t>KG</t>
  </si>
  <si>
    <t>LA</t>
  </si>
  <si>
    <t>LB</t>
  </si>
  <si>
    <t>LS</t>
  </si>
  <si>
    <t>LR</t>
  </si>
  <si>
    <t>LY</t>
  </si>
  <si>
    <t>LI</t>
  </si>
  <si>
    <t>LU</t>
  </si>
  <si>
    <t>Macedonia</t>
  </si>
  <si>
    <t>MK</t>
  </si>
  <si>
    <t>MG</t>
  </si>
  <si>
    <t>MW</t>
  </si>
  <si>
    <t>MV</t>
  </si>
  <si>
    <t>ML</t>
  </si>
  <si>
    <t>MT</t>
  </si>
  <si>
    <t>MH</t>
  </si>
  <si>
    <t>MR</t>
  </si>
  <si>
    <t>FM</t>
  </si>
  <si>
    <t>MD</t>
  </si>
  <si>
    <t>MC</t>
  </si>
  <si>
    <t>MN</t>
  </si>
  <si>
    <t>MA</t>
  </si>
  <si>
    <t>MZ</t>
  </si>
  <si>
    <t>MM</t>
  </si>
  <si>
    <t>NA</t>
  </si>
  <si>
    <t>NR</t>
  </si>
  <si>
    <t>NP</t>
  </si>
  <si>
    <t>NI</t>
  </si>
  <si>
    <t>NE</t>
  </si>
  <si>
    <t>PK</t>
  </si>
  <si>
    <t>PW</t>
  </si>
  <si>
    <t>PA</t>
  </si>
  <si>
    <t>PG</t>
  </si>
  <si>
    <t>PY</t>
  </si>
  <si>
    <t>RW</t>
  </si>
  <si>
    <t>Saint Kitts and Nevis</t>
  </si>
  <si>
    <t>KN</t>
  </si>
  <si>
    <t>LC</t>
  </si>
  <si>
    <t>Saint Vincent and the Grenadines</t>
  </si>
  <si>
    <t>VC</t>
  </si>
  <si>
    <t>WS</t>
  </si>
  <si>
    <t>SM</t>
  </si>
  <si>
    <t>Sao Tome and Príncipe</t>
  </si>
  <si>
    <t>ST</t>
  </si>
  <si>
    <t>SN</t>
  </si>
  <si>
    <t>SC</t>
  </si>
  <si>
    <t>SL</t>
  </si>
  <si>
    <t>SB</t>
  </si>
  <si>
    <t>SO</t>
  </si>
  <si>
    <t>LK</t>
  </si>
  <si>
    <t>SD</t>
  </si>
  <si>
    <t>SR</t>
  </si>
  <si>
    <t>Swaziland</t>
  </si>
  <si>
    <t>SZ</t>
  </si>
  <si>
    <t>CH</t>
  </si>
  <si>
    <t>SY</t>
  </si>
  <si>
    <t>TJ</t>
  </si>
  <si>
    <t>TZ</t>
  </si>
  <si>
    <t>TG</t>
  </si>
  <si>
    <t>TO</t>
  </si>
  <si>
    <t>TN</t>
  </si>
  <si>
    <t>TM</t>
  </si>
  <si>
    <t>TV</t>
  </si>
  <si>
    <t>UG</t>
  </si>
  <si>
    <t>UA</t>
  </si>
  <si>
    <t>2. Regression analysis</t>
  </si>
  <si>
    <t>Attractiveness of the countries' markets</t>
  </si>
  <si>
    <t>The Attractiveness of Marketplaces</t>
  </si>
  <si>
    <t>Traffic to marketplaces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</si>
</sst>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0"/>
    <numFmt numFmtId="166" formatCode="0.000%"/>
  </numFmts>
  <fonts count="16">
    <font>
      <sz val="11"/>
      <color theme="1"/>
      <name val="Arial"/>
      <charset val="1"/>
    </font>
    <font>
      <b/>
      <sz val="11"/>
      <color theme="1"/>
      <name val="Calibri"/>
      <family val="2"/>
      <charset val="204"/>
    </font>
    <font>
      <sz val="11"/>
      <color theme="1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000000"/>
      <name val="Roboto"/>
      <charset val="1"/>
    </font>
    <font>
      <sz val="11"/>
      <color rgb="FF222222"/>
      <name val="&quot;Google Sans&quot;"/>
      <charset val="1"/>
    </font>
    <font>
      <b/>
      <sz val="11"/>
      <color theme="1"/>
      <name val="Arial"/>
      <family val="2"/>
      <charset val="204"/>
    </font>
    <font>
      <i/>
      <sz val="11"/>
      <color theme="1"/>
      <name val="Arial"/>
      <family val="2"/>
      <charset val="204"/>
    </font>
    <font>
      <u/>
      <sz val="11"/>
      <color rgb="FF1155CC"/>
      <name val="Cambria"/>
      <family val="1"/>
      <charset val="204"/>
    </font>
    <font>
      <u/>
      <sz val="11"/>
      <color rgb="FF0000FF"/>
      <name val="Cambria"/>
      <family val="1"/>
      <charset val="204"/>
    </font>
    <font>
      <sz val="11"/>
      <color rgb="FF000000"/>
      <name val="Inconsolata"/>
      <charset val="1"/>
    </font>
    <font>
      <b/>
      <sz val="8"/>
      <color rgb="FF000000"/>
      <name val="Helvetica Neue"/>
      <charset val="1"/>
    </font>
    <font>
      <sz val="8"/>
      <color rgb="FF000000"/>
      <name val="Helvetica Neue"/>
      <charset val="1"/>
    </font>
    <font>
      <b/>
      <sz val="12"/>
      <color rgb="FF000000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1"/>
      <color theme="1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D9EAD3"/>
        <bgColor rgb="FFD9D9D9"/>
      </patternFill>
    </fill>
    <fill>
      <patternFill patternType="solid">
        <fgColor rgb="FFB6D7A8"/>
        <bgColor rgb="FFD4D4D4"/>
      </patternFill>
    </fill>
    <fill>
      <patternFill patternType="solid">
        <fgColor rgb="FFFFFFFF"/>
        <bgColor rgb="FFF0F0F0"/>
      </patternFill>
    </fill>
    <fill>
      <patternFill patternType="solid">
        <fgColor rgb="FF93C47D"/>
        <bgColor rgb="FFB6D7A8"/>
      </patternFill>
    </fill>
    <fill>
      <patternFill patternType="solid">
        <fgColor rgb="FFFF0000"/>
        <bgColor rgb="FF993300"/>
      </patternFill>
    </fill>
    <fill>
      <patternFill patternType="solid">
        <fgColor rgb="FFFCE5CD"/>
        <bgColor rgb="FFF0F0F0"/>
      </patternFill>
    </fill>
    <fill>
      <patternFill patternType="solid">
        <fgColor rgb="FFF4CCCC"/>
        <bgColor rgb="FFD9D9D9"/>
      </patternFill>
    </fill>
    <fill>
      <patternFill patternType="solid">
        <fgColor rgb="FFD4D4D4"/>
        <bgColor rgb="FFD9D9D9"/>
      </patternFill>
    </fill>
    <fill>
      <patternFill patternType="solid">
        <fgColor rgb="FFF0F0F0"/>
        <bgColor rgb="FFFFFFFF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2" fillId="2" borderId="0" xfId="0" applyFont="1" applyFill="1" applyAlignment="1">
      <alignment wrapText="1"/>
    </xf>
    <xf numFmtId="0" fontId="7" fillId="0" borderId="2" xfId="0" applyFont="1" applyBorder="1" applyAlignment="1">
      <alignment horizontal="center"/>
    </xf>
    <xf numFmtId="0" fontId="0" fillId="2" borderId="0" xfId="0" applyFill="1" applyAlignment="1">
      <alignment horizontal="center" wrapText="1"/>
    </xf>
    <xf numFmtId="0" fontId="0" fillId="3" borderId="1" xfId="0" applyFill="1" applyBorder="1" applyAlignment="1">
      <alignment horizontal="center"/>
    </xf>
    <xf numFmtId="0" fontId="2" fillId="2" borderId="0" xfId="0" applyFont="1" applyFill="1" applyAlignment="1">
      <alignment horizontal="center" vertical="center" wrapText="1"/>
    </xf>
    <xf numFmtId="0" fontId="6" fillId="2" borderId="1" xfId="0" applyFont="1" applyFill="1" applyBorder="1" applyAlignment="1">
      <alignment horizontal="center" wrapText="1"/>
    </xf>
    <xf numFmtId="0" fontId="6" fillId="5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vertical="top" wrapText="1"/>
    </xf>
    <xf numFmtId="0" fontId="2" fillId="0" borderId="1" xfId="0" applyFont="1" applyBorder="1" applyAlignment="1">
      <alignment wrapText="1"/>
    </xf>
    <xf numFmtId="49" fontId="2" fillId="0" borderId="1" xfId="0" applyNumberFormat="1" applyFont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10" fontId="2" fillId="0" borderId="1" xfId="0" applyNumberFormat="1" applyFont="1" applyBorder="1" applyAlignment="1">
      <alignment horizontal="center" wrapText="1"/>
    </xf>
    <xf numFmtId="0" fontId="2" fillId="2" borderId="1" xfId="0" applyFont="1" applyFill="1" applyBorder="1"/>
    <xf numFmtId="0" fontId="2" fillId="3" borderId="1" xfId="0" applyFont="1" applyFill="1" applyBorder="1"/>
    <xf numFmtId="0" fontId="3" fillId="2" borderId="1" xfId="0" applyFont="1" applyFill="1" applyBorder="1"/>
    <xf numFmtId="0" fontId="4" fillId="2" borderId="1" xfId="0" applyFont="1" applyFill="1" applyBorder="1"/>
    <xf numFmtId="0" fontId="4" fillId="2" borderId="0" xfId="0" applyFont="1" applyFill="1"/>
    <xf numFmtId="10" fontId="2" fillId="0" borderId="1" xfId="0" applyNumberFormat="1" applyFont="1" applyBorder="1"/>
    <xf numFmtId="10" fontId="2" fillId="0" borderId="0" xfId="0" applyNumberFormat="1" applyFont="1"/>
    <xf numFmtId="4" fontId="2" fillId="0" borderId="0" xfId="0" applyNumberFormat="1" applyFont="1"/>
    <xf numFmtId="0" fontId="0" fillId="2" borderId="1" xfId="0" applyFill="1" applyBorder="1"/>
    <xf numFmtId="0" fontId="0" fillId="2" borderId="0" xfId="0" applyFill="1"/>
    <xf numFmtId="0" fontId="2" fillId="3" borderId="0" xfId="0" applyFont="1" applyFill="1"/>
    <xf numFmtId="0" fontId="2" fillId="0" borderId="0" xfId="0" applyFont="1" applyAlignment="1">
      <alignment wrapText="1"/>
    </xf>
    <xf numFmtId="0" fontId="5" fillId="4" borderId="0" xfId="0" applyFont="1" applyFill="1" applyAlignment="1">
      <alignment wrapText="1"/>
    </xf>
    <xf numFmtId="49" fontId="6" fillId="2" borderId="1" xfId="0" applyNumberFormat="1" applyFont="1" applyFill="1" applyBorder="1" applyAlignment="1">
      <alignment wrapText="1"/>
    </xf>
    <xf numFmtId="0" fontId="6" fillId="2" borderId="1" xfId="0" applyFont="1" applyFill="1" applyBorder="1" applyAlignment="1">
      <alignment wrapText="1"/>
    </xf>
    <xf numFmtId="4" fontId="6" fillId="2" borderId="1" xfId="0" applyNumberFormat="1" applyFont="1" applyFill="1" applyBorder="1" applyAlignment="1">
      <alignment wrapText="1"/>
    </xf>
    <xf numFmtId="0" fontId="7" fillId="2" borderId="1" xfId="0" applyFont="1" applyFill="1" applyBorder="1" applyAlignment="1">
      <alignment horizontal="center" wrapText="1"/>
    </xf>
    <xf numFmtId="49" fontId="0" fillId="0" borderId="1" xfId="0" applyNumberFormat="1" applyBorder="1"/>
    <xf numFmtId="0" fontId="0" fillId="0" borderId="1" xfId="0" applyBorder="1"/>
    <xf numFmtId="164" fontId="0" fillId="0" borderId="1" xfId="0" applyNumberFormat="1" applyBorder="1"/>
    <xf numFmtId="0" fontId="0" fillId="2" borderId="1" xfId="0" applyFill="1" applyBorder="1" applyAlignment="1">
      <alignment wrapText="1"/>
    </xf>
    <xf numFmtId="0" fontId="0" fillId="0" borderId="1" xfId="0" applyBorder="1" applyAlignment="1">
      <alignment wrapText="1"/>
    </xf>
    <xf numFmtId="165" fontId="0" fillId="6" borderId="1" xfId="0" applyNumberFormat="1" applyFill="1" applyBorder="1" applyAlignment="1">
      <alignment wrapText="1"/>
    </xf>
    <xf numFmtId="165" fontId="0" fillId="0" borderId="1" xfId="0" applyNumberFormat="1" applyBorder="1" applyAlignment="1">
      <alignment wrapText="1"/>
    </xf>
    <xf numFmtId="0" fontId="2" fillId="0" borderId="0" xfId="0" applyFont="1"/>
    <xf numFmtId="0" fontId="7" fillId="0" borderId="2" xfId="0" applyFont="1" applyBorder="1" applyAlignment="1">
      <alignment horizontal="center"/>
    </xf>
    <xf numFmtId="0" fontId="2" fillId="0" borderId="1" xfId="0" applyFont="1" applyBorder="1"/>
    <xf numFmtId="164" fontId="2" fillId="0" borderId="1" xfId="0" applyNumberFormat="1" applyFont="1" applyBorder="1"/>
    <xf numFmtId="0" fontId="2" fillId="4" borderId="1" xfId="0" applyFont="1" applyFill="1" applyBorder="1"/>
    <xf numFmtId="0" fontId="0" fillId="0" borderId="3" xfId="0" applyBorder="1"/>
    <xf numFmtId="0" fontId="0" fillId="7" borderId="1" xfId="0" applyFill="1" applyBorder="1" applyAlignment="1">
      <alignment wrapText="1"/>
    </xf>
    <xf numFmtId="0" fontId="2" fillId="7" borderId="1" xfId="0" applyFont="1" applyFill="1" applyBorder="1"/>
    <xf numFmtId="0" fontId="0" fillId="0" borderId="1" xfId="0" applyBorder="1" applyAlignment="1">
      <alignment horizontal="center"/>
    </xf>
    <xf numFmtId="0" fontId="3" fillId="0" borderId="0" xfId="0" applyFont="1"/>
    <xf numFmtId="0" fontId="4" fillId="0" borderId="0" xfId="0" applyFont="1"/>
    <xf numFmtId="0" fontId="1" fillId="2" borderId="1" xfId="0" applyFont="1" applyFill="1" applyBorder="1" applyAlignment="1">
      <alignment horizontal="center" wrapText="1"/>
    </xf>
    <xf numFmtId="0" fontId="2" fillId="8" borderId="1" xfId="0" applyFont="1" applyFill="1" applyBorder="1"/>
    <xf numFmtId="0" fontId="8" fillId="0" borderId="1" xfId="0" applyFont="1" applyBorder="1"/>
    <xf numFmtId="4" fontId="2" fillId="0" borderId="1" xfId="0" applyNumberFormat="1" applyFont="1" applyBorder="1"/>
    <xf numFmtId="0" fontId="9" fillId="0" borderId="1" xfId="0" applyFont="1" applyBorder="1"/>
    <xf numFmtId="0" fontId="10" fillId="0" borderId="1" xfId="0" applyFont="1" applyBorder="1"/>
    <xf numFmtId="0" fontId="4" fillId="0" borderId="1" xfId="0" applyFont="1" applyBorder="1"/>
    <xf numFmtId="49" fontId="6" fillId="2" borderId="1" xfId="0" applyNumberFormat="1" applyFont="1" applyFill="1" applyBorder="1" applyAlignment="1">
      <alignment horizontal="center" vertical="top" wrapText="1"/>
    </xf>
    <xf numFmtId="4" fontId="6" fillId="2" borderId="1" xfId="0" applyNumberFormat="1" applyFont="1" applyFill="1" applyBorder="1" applyAlignment="1">
      <alignment horizontal="center" vertical="top" wrapText="1"/>
    </xf>
    <xf numFmtId="49" fontId="0" fillId="0" borderId="1" xfId="0" applyNumberFormat="1" applyBorder="1" applyAlignment="1">
      <alignment wrapText="1"/>
    </xf>
    <xf numFmtId="49" fontId="0" fillId="0" borderId="1" xfId="0" applyNumberFormat="1" applyBorder="1" applyAlignment="1">
      <alignment horizontal="center" wrapText="1"/>
    </xf>
    <xf numFmtId="4" fontId="2" fillId="0" borderId="1" xfId="0" applyNumberFormat="1" applyFont="1" applyBorder="1" applyAlignment="1">
      <alignment horizontal="center" wrapText="1"/>
    </xf>
    <xf numFmtId="4" fontId="0" fillId="0" borderId="1" xfId="0" applyNumberFormat="1" applyBorder="1" applyAlignment="1">
      <alignment horizontal="center" wrapText="1"/>
    </xf>
    <xf numFmtId="49" fontId="11" fillId="9" borderId="1" xfId="0" applyNumberFormat="1" applyFont="1" applyFill="1" applyBorder="1" applyAlignment="1">
      <alignment vertical="top"/>
    </xf>
    <xf numFmtId="0" fontId="12" fillId="0" borderId="1" xfId="0" applyFont="1" applyBorder="1" applyAlignment="1">
      <alignment vertical="top"/>
    </xf>
    <xf numFmtId="0" fontId="11" fillId="9" borderId="1" xfId="0" applyFont="1" applyFill="1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1" xfId="0" applyFont="1" applyBorder="1" applyAlignment="1">
      <alignment vertical="top"/>
    </xf>
    <xf numFmtId="49" fontId="2" fillId="0" borderId="0" xfId="0" applyNumberFormat="1" applyFont="1"/>
    <xf numFmtId="0" fontId="2" fillId="0" borderId="0" xfId="0" applyFont="1" applyAlignment="1">
      <alignment horizontal="right"/>
    </xf>
    <xf numFmtId="0" fontId="2" fillId="0" borderId="0" xfId="0" applyFont="1" applyAlignment="1">
      <alignment vertical="top"/>
    </xf>
    <xf numFmtId="0" fontId="12" fillId="0" borderId="0" xfId="0" applyFont="1" applyAlignment="1">
      <alignment vertical="top"/>
    </xf>
    <xf numFmtId="49" fontId="12" fillId="0" borderId="1" xfId="0" applyNumberFormat="1" applyFont="1" applyBorder="1" applyAlignment="1">
      <alignment vertical="top"/>
    </xf>
    <xf numFmtId="49" fontId="12" fillId="0" borderId="0" xfId="0" applyNumberFormat="1" applyFont="1" applyAlignment="1">
      <alignment vertical="top"/>
    </xf>
    <xf numFmtId="166" fontId="2" fillId="0" borderId="0" xfId="0" applyNumberFormat="1" applyFont="1"/>
    <xf numFmtId="0" fontId="2" fillId="0" borderId="0" xfId="0" applyFont="1" applyAlignment="1">
      <alignment horizontal="center"/>
    </xf>
    <xf numFmtId="10" fontId="2" fillId="0" borderId="0" xfId="0" applyNumberFormat="1" applyFont="1" applyAlignment="1">
      <alignment horizontal="center"/>
    </xf>
    <xf numFmtId="0" fontId="13" fillId="10" borderId="0" xfId="0" applyFont="1" applyFill="1" applyAlignment="1">
      <alignment horizontal="left" vertical="top"/>
    </xf>
    <xf numFmtId="49" fontId="13" fillId="10" borderId="0" xfId="0" applyNumberFormat="1" applyFont="1" applyFill="1" applyAlignment="1">
      <alignment horizontal="left" vertical="top"/>
    </xf>
    <xf numFmtId="0" fontId="14" fillId="4" borderId="0" xfId="0" applyFont="1" applyFill="1" applyAlignment="1">
      <alignment horizontal="left" vertical="top"/>
    </xf>
    <xf numFmtId="49" fontId="14" fillId="4" borderId="0" xfId="0" applyNumberFormat="1" applyFont="1" applyFill="1" applyAlignment="1">
      <alignment horizontal="left" vertical="top"/>
    </xf>
    <xf numFmtId="0" fontId="15" fillId="3" borderId="1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7F6000"/>
      <rgbColor rgb="FF800080"/>
      <rgbColor rgb="FF008080"/>
      <rgbColor rgb="FFB7B7B7"/>
      <rgbColor rgb="FF8B8B8B"/>
      <rgbColor rgb="FF9999FF"/>
      <rgbColor rgb="FF993366"/>
      <rgbColor rgb="FFF0F0F0"/>
      <rgbColor rgb="FFD9D9D9"/>
      <rgbColor rgb="FF660066"/>
      <rgbColor rgb="FFFF8080"/>
      <rgbColor rgb="FF1155CC"/>
      <rgbColor rgb="FFD4D4D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CE5CD"/>
      <rgbColor rgb="FFB6D7A8"/>
      <rgbColor rgb="FFFF99CC"/>
      <rgbColor rgb="FFCC99FF"/>
      <rgbColor rgb="FFF4CCCC"/>
      <rgbColor rgb="FF3366FF"/>
      <rgbColor rgb="FF33CCCC"/>
      <rgbColor rgb="FF99CC00"/>
      <rgbColor rgb="FFFFD966"/>
      <rgbColor rgb="FFFF9900"/>
      <rgbColor rgb="FFFF6600"/>
      <rgbColor rgb="FF4F81BD"/>
      <rgbColor rgb="FF93C47D"/>
      <rgbColor rgb="FF003366"/>
      <rgbColor rgb="FF339966"/>
      <rgbColor rgb="FF003300"/>
      <rgbColor rgb="FF1A1A1A"/>
      <rgbColor rgb="FF993300"/>
      <rgbColor rgb="FF993366"/>
      <rgbColor rgb="FF333399"/>
      <rgbColor rgb="FF22222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c:style val="2"/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4F81BD"/>
            </a:solidFill>
            <a:ln w="0">
              <a:solidFill>
                <a:srgbClr val="000000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Sheet12!$A$1:$A$19</c:f>
              <c:strCache>
                <c:ptCount val="19"/>
                <c:pt idx="0">
                  <c:v>United States</c:v>
                </c:pt>
                <c:pt idx="1">
                  <c:v>Brazil</c:v>
                </c:pt>
                <c:pt idx="2">
                  <c:v>United Kingdom</c:v>
                </c:pt>
                <c:pt idx="3">
                  <c:v>Indonesia</c:v>
                </c:pt>
                <c:pt idx="4">
                  <c:v>Germany</c:v>
                </c:pt>
                <c:pt idx="5">
                  <c:v>Japan</c:v>
                </c:pt>
                <c:pt idx="6">
                  <c:v>Turkey</c:v>
                </c:pt>
                <c:pt idx="7">
                  <c:v>Canada</c:v>
                </c:pt>
                <c:pt idx="8">
                  <c:v>Italy</c:v>
                </c:pt>
                <c:pt idx="9">
                  <c:v>Spain</c:v>
                </c:pt>
                <c:pt idx="10">
                  <c:v>Poland</c:v>
                </c:pt>
                <c:pt idx="11">
                  <c:v>France</c:v>
                </c:pt>
                <c:pt idx="12">
                  <c:v>Australia</c:v>
                </c:pt>
                <c:pt idx="13">
                  <c:v>Netherlands</c:v>
                </c:pt>
                <c:pt idx="14">
                  <c:v>Mexico</c:v>
                </c:pt>
                <c:pt idx="15">
                  <c:v>Taiwan</c:v>
                </c:pt>
                <c:pt idx="16">
                  <c:v>Thailand</c:v>
                </c:pt>
                <c:pt idx="17">
                  <c:v>Korea, Republic</c:v>
                </c:pt>
                <c:pt idx="18">
                  <c:v>Russian Federation</c:v>
                </c:pt>
              </c:strCache>
            </c:strRef>
          </c:cat>
          <c:val>
            <c:numRef>
              <c:f>Sheet12!$B$1:$B$19</c:f>
              <c:numCache>
                <c:formatCode>General</c:formatCode>
                <c:ptCount val="19"/>
                <c:pt idx="0">
                  <c:v>19.169921555256</c:v>
                </c:pt>
                <c:pt idx="1">
                  <c:v>8.0514729943462395</c:v>
                </c:pt>
                <c:pt idx="2">
                  <c:v>7.9037491124343804</c:v>
                </c:pt>
                <c:pt idx="3">
                  <c:v>7.3912848662887303</c:v>
                </c:pt>
                <c:pt idx="4">
                  <c:v>7.2929376023943497</c:v>
                </c:pt>
                <c:pt idx="5">
                  <c:v>7.1739112787222101</c:v>
                </c:pt>
                <c:pt idx="6">
                  <c:v>6.1491929042496896</c:v>
                </c:pt>
                <c:pt idx="7">
                  <c:v>5.8002103540755598</c:v>
                </c:pt>
                <c:pt idx="8">
                  <c:v>5.3746238473135204</c:v>
                </c:pt>
                <c:pt idx="9">
                  <c:v>5.3662001087098998</c:v>
                </c:pt>
                <c:pt idx="10">
                  <c:v>5.3364056845612202</c:v>
                </c:pt>
                <c:pt idx="11">
                  <c:v>5.1127554720891801</c:v>
                </c:pt>
                <c:pt idx="12">
                  <c:v>4.8486294239993804</c:v>
                </c:pt>
                <c:pt idx="13">
                  <c:v>4.8406309210467002</c:v>
                </c:pt>
                <c:pt idx="14">
                  <c:v>4.8228317072855003</c:v>
                </c:pt>
                <c:pt idx="15">
                  <c:v>4.6601155755088604</c:v>
                </c:pt>
                <c:pt idx="16">
                  <c:v>4.52885321460802</c:v>
                </c:pt>
                <c:pt idx="17">
                  <c:v>4.4584221931793797</c:v>
                </c:pt>
                <c:pt idx="18">
                  <c:v>4.4193923018021399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FC-4F2F-9F68-D5458411F3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3423713"/>
        <c:axId val="75358152"/>
      </c:barChart>
      <c:catAx>
        <c:axId val="63423713"/>
        <c:scaling>
          <c:orientation val="maxMin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  <a:ea typeface="Calibri"/>
              </a:defRPr>
            </a:pPr>
            <a:endParaRPr lang="ru-RU"/>
          </a:p>
        </c:txPr>
        <c:crossAx val="75358152"/>
        <c:crosses val="autoZero"/>
        <c:auto val="1"/>
        <c:lblAlgn val="ctr"/>
        <c:lblOffset val="100"/>
        <c:noMultiLvlLbl val="0"/>
      </c:catAx>
      <c:valAx>
        <c:axId val="75358152"/>
        <c:scaling>
          <c:orientation val="minMax"/>
        </c:scaling>
        <c:delete val="0"/>
        <c:axPos val="b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  <a:ea typeface="Calibri"/>
              </a:defRPr>
            </a:pPr>
            <a:endParaRPr lang="ru-RU"/>
          </a:p>
        </c:txPr>
        <c:crossAx val="63423713"/>
        <c:crosses val="max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sz="1000" b="0" strike="noStrike" spc="-1">
              <a:solidFill>
                <a:srgbClr val="1A1A1A"/>
              </a:solidFill>
              <a:latin typeface="Calibri"/>
              <a:ea typeface="Calibri"/>
            </a:defRPr>
          </a:pPr>
          <a:endParaRPr lang="ru-RU"/>
        </a:p>
      </c:txPr>
    </c:legend>
    <c:plotVisOnly val="1"/>
    <c:dispBlanksAs val="zero"/>
    <c:showDLblsOverMax val="1"/>
  </c:chart>
  <c:spPr>
    <a:noFill/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c:style val="2"/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4F81BD"/>
            </a:solidFill>
            <a:ln w="0">
              <a:solidFill>
                <a:srgbClr val="000000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Sheet12!$D$1:$D$19</c:f>
              <c:strCache>
                <c:ptCount val="19"/>
                <c:pt idx="0">
                  <c:v>Amazon US</c:v>
                </c:pt>
                <c:pt idx="1">
                  <c:v>walmart</c:v>
                </c:pt>
                <c:pt idx="2">
                  <c:v>Amazon JP</c:v>
                </c:pt>
                <c:pt idx="3">
                  <c:v>etsy</c:v>
                </c:pt>
                <c:pt idx="4">
                  <c:v>ebay</c:v>
                </c:pt>
                <c:pt idx="5">
                  <c:v>Amazon DE</c:v>
                </c:pt>
                <c:pt idx="6">
                  <c:v>Shopee</c:v>
                </c:pt>
                <c:pt idx="7">
                  <c:v>Amazon UK</c:v>
                </c:pt>
                <c:pt idx="8">
                  <c:v>Target</c:v>
                </c:pt>
                <c:pt idx="9">
                  <c:v>wayfair</c:v>
                </c:pt>
                <c:pt idx="10">
                  <c:v>costco</c:v>
                </c:pt>
                <c:pt idx="11">
                  <c:v>tokopedia</c:v>
                </c:pt>
                <c:pt idx="12">
                  <c:v>kohls</c:v>
                </c:pt>
                <c:pt idx="13">
                  <c:v>Allegro</c:v>
                </c:pt>
                <c:pt idx="14">
                  <c:v>Amazon IT</c:v>
                </c:pt>
                <c:pt idx="15">
                  <c:v>ebay UK</c:v>
                </c:pt>
                <c:pt idx="16">
                  <c:v>Americanas</c:v>
                </c:pt>
                <c:pt idx="17">
                  <c:v>magazineluiza</c:v>
                </c:pt>
                <c:pt idx="18">
                  <c:v>hepsiburada</c:v>
                </c:pt>
              </c:strCache>
            </c:strRef>
          </c:cat>
          <c:val>
            <c:numRef>
              <c:f>Sheet12!$E$1:$E$19</c:f>
              <c:numCache>
                <c:formatCode>General</c:formatCode>
                <c:ptCount val="19"/>
                <c:pt idx="0">
                  <c:v>14.244394971595501</c:v>
                </c:pt>
                <c:pt idx="1">
                  <c:v>7.6122977540535697</c:v>
                </c:pt>
                <c:pt idx="2">
                  <c:v>7.0102892481594896</c:v>
                </c:pt>
                <c:pt idx="3">
                  <c:v>6.9289252156916898</c:v>
                </c:pt>
                <c:pt idx="4">
                  <c:v>6.6837642804613404</c:v>
                </c:pt>
                <c:pt idx="5">
                  <c:v>6.4660802004646101</c:v>
                </c:pt>
                <c:pt idx="6">
                  <c:v>6.4391335800151399</c:v>
                </c:pt>
                <c:pt idx="7">
                  <c:v>6.42651569534776</c:v>
                </c:pt>
                <c:pt idx="8">
                  <c:v>6.3318072065658404</c:v>
                </c:pt>
                <c:pt idx="9">
                  <c:v>5.6186439810728803</c:v>
                </c:pt>
                <c:pt idx="10">
                  <c:v>5.4714883545640003</c:v>
                </c:pt>
                <c:pt idx="11">
                  <c:v>5.4460563712424799</c:v>
                </c:pt>
                <c:pt idx="12">
                  <c:v>5.4185482795084603</c:v>
                </c:pt>
                <c:pt idx="13">
                  <c:v>5.3654362790454604</c:v>
                </c:pt>
                <c:pt idx="14">
                  <c:v>5.3549354168724399</c:v>
                </c:pt>
                <c:pt idx="15">
                  <c:v>5.3291399919084599</c:v>
                </c:pt>
                <c:pt idx="16">
                  <c:v>5.3259849961391303</c:v>
                </c:pt>
                <c:pt idx="17">
                  <c:v>5.2749983119995898</c:v>
                </c:pt>
                <c:pt idx="18">
                  <c:v>5.2668057937091302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EB-4722-90DF-0CAAD17AED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1537015"/>
        <c:axId val="39146998"/>
      </c:barChart>
      <c:catAx>
        <c:axId val="71537015"/>
        <c:scaling>
          <c:orientation val="maxMin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  <a:ea typeface="Calibri"/>
              </a:defRPr>
            </a:pPr>
            <a:endParaRPr lang="ru-RU"/>
          </a:p>
        </c:txPr>
        <c:crossAx val="39146998"/>
        <c:crosses val="autoZero"/>
        <c:auto val="1"/>
        <c:lblAlgn val="ctr"/>
        <c:lblOffset val="100"/>
        <c:noMultiLvlLbl val="0"/>
      </c:catAx>
      <c:valAx>
        <c:axId val="39146998"/>
        <c:scaling>
          <c:orientation val="minMax"/>
        </c:scaling>
        <c:delete val="0"/>
        <c:axPos val="b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  <a:ea typeface="Calibri"/>
              </a:defRPr>
            </a:pPr>
            <a:endParaRPr lang="ru-RU"/>
          </a:p>
        </c:txPr>
        <c:crossAx val="71537015"/>
        <c:crosses val="max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sz="1000" b="0" strike="noStrike" spc="-1">
              <a:solidFill>
                <a:srgbClr val="1A1A1A"/>
              </a:solidFill>
              <a:latin typeface="Calibri"/>
              <a:ea typeface="Calibri"/>
            </a:defRPr>
          </a:pPr>
          <a:endParaRPr lang="ru-RU"/>
        </a:p>
      </c:txPr>
    </c:legend>
    <c:plotVisOnly val="1"/>
    <c:dispBlanksAs val="zero"/>
    <c:showDLblsOverMax val="1"/>
  </c:chart>
  <c:spPr>
    <a:noFill/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c:style val="2"/>
  <c:chart>
    <c:autoTitleDeleted val="1"/>
    <c:plotArea>
      <c:layout/>
      <c:pieChart>
        <c:varyColors val="1"/>
        <c:ser>
          <c:idx val="0"/>
          <c:order val="0"/>
          <c:spPr>
            <a:solidFill>
              <a:srgbClr val="4F81BD"/>
            </a:solidFill>
            <a:ln w="0">
              <a:noFill/>
            </a:ln>
          </c:spPr>
          <c:dPt>
            <c:idx val="0"/>
            <c:bubble3D val="0"/>
            <c:spPr>
              <a:solidFill>
                <a:srgbClr val="7F6000"/>
              </a:solidFill>
              <a:ln w="0">
                <a:noFill/>
              </a:ln>
            </c:spPr>
            <c:extLst>
              <c:ext xmlns:c16="http://schemas.microsoft.com/office/drawing/2014/chart" uri="{C3380CC4-5D6E-409C-BE32-E72D297353CC}">
                <c16:uniqueId val="{00000001-F61F-46EE-AABC-566A9181C03C}"/>
              </c:ext>
            </c:extLst>
          </c:dPt>
          <c:dPt>
            <c:idx val="1"/>
            <c:bubble3D val="0"/>
            <c:spPr>
              <a:solidFill>
                <a:srgbClr val="FFD966"/>
              </a:solidFill>
              <a:ln w="0">
                <a:noFill/>
              </a:ln>
            </c:spPr>
            <c:extLst>
              <c:ext xmlns:c16="http://schemas.microsoft.com/office/drawing/2014/chart" uri="{C3380CC4-5D6E-409C-BE32-E72D297353CC}">
                <c16:uniqueId val="{00000003-F61F-46EE-AABC-566A9181C03C}"/>
              </c:ext>
            </c:extLst>
          </c:dPt>
          <c:dLbls>
            <c:dLbl>
              <c:idx val="0"/>
              <c:spPr/>
              <c: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Calibri"/>
                    </a:defRPr>
                  </a:pPr>
                  <a:endParaRPr lang="ru-RU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1-F61F-46EE-AABC-566A9181C03C}"/>
                </c:ext>
              </c:extLst>
            </c:dLbl>
            <c:dLbl>
              <c:idx val="1"/>
              <c:spPr/>
              <c: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Calibri"/>
                    </a:defRPr>
                  </a:pPr>
                  <a:endParaRPr lang="ru-RU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3-F61F-46EE-AABC-566A9181C03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  <a:endParaRPr lang="ru-RU"/>
              </a:p>
            </c:tx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'Pie diagram'!$A$1:$A$2</c:f>
              <c:strCache>
                <c:ptCount val="2"/>
                <c:pt idx="0">
                  <c:v>US</c:v>
                </c:pt>
                <c:pt idx="1">
                  <c:v>Other</c:v>
                </c:pt>
              </c:strCache>
            </c:strRef>
          </c:cat>
          <c:val>
            <c:numRef>
              <c:f>'Pie diagram'!$B$1:$B$2</c:f>
              <c:numCache>
                <c:formatCode>@</c:formatCode>
                <c:ptCount val="2"/>
                <c:pt idx="0" formatCode="General">
                  <c:v>15075361.950044001</c:v>
                </c:pt>
                <c:pt idx="1">
                  <c:v>108525.01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61F-46EE-AABC-566A9181C0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sz="1000" b="0" strike="noStrike" spc="-1">
              <a:solidFill>
                <a:srgbClr val="1A1A1A"/>
              </a:solidFill>
              <a:latin typeface="Calibri"/>
              <a:ea typeface="Calibri"/>
            </a:defRPr>
          </a:pPr>
          <a:endParaRPr lang="ru-RU"/>
        </a:p>
      </c:txPr>
    </c:legend>
    <c:plotVisOnly val="1"/>
    <c:dispBlanksAs val="zero"/>
    <c:showDLblsOverMax val="1"/>
  </c:chart>
  <c:spPr>
    <a:noFill/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c:style val="2"/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7F6000"/>
            </a:solidFill>
            <a:ln w="0">
              <a:solidFill>
                <a:srgbClr val="000000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'Pie diagram'!$I$2:$I$25</c:f>
              <c:strCache>
                <c:ptCount val="24"/>
                <c:pt idx="0">
                  <c:v>Canada</c:v>
                </c:pt>
                <c:pt idx="1">
                  <c:v>Colombia</c:v>
                </c:pt>
                <c:pt idx="2">
                  <c:v>Israel</c:v>
                </c:pt>
                <c:pt idx="3">
                  <c:v>Mexico</c:v>
                </c:pt>
                <c:pt idx="4">
                  <c:v>Australia</c:v>
                </c:pt>
                <c:pt idx="5">
                  <c:v>Hong Kong</c:v>
                </c:pt>
                <c:pt idx="6">
                  <c:v>United Kingdom</c:v>
                </c:pt>
                <c:pt idx="7">
                  <c:v>New Zealand</c:v>
                </c:pt>
                <c:pt idx="8">
                  <c:v>Singapore</c:v>
                </c:pt>
                <c:pt idx="9">
                  <c:v>Puerto Rico</c:v>
                </c:pt>
                <c:pt idx="10">
                  <c:v>Korea, Republic</c:v>
                </c:pt>
                <c:pt idx="11">
                  <c:v>Chile</c:v>
                </c:pt>
                <c:pt idx="12">
                  <c:v>Philippines</c:v>
                </c:pt>
                <c:pt idx="13">
                  <c:v>Saudi Arabia</c:v>
                </c:pt>
                <c:pt idx="14">
                  <c:v>Ireland</c:v>
                </c:pt>
                <c:pt idx="15">
                  <c:v>Japan</c:v>
                </c:pt>
                <c:pt idx="16">
                  <c:v>France</c:v>
                </c:pt>
                <c:pt idx="17">
                  <c:v>Germany</c:v>
                </c:pt>
                <c:pt idx="18">
                  <c:v>Taiwan</c:v>
                </c:pt>
                <c:pt idx="19">
                  <c:v>South Africa</c:v>
                </c:pt>
                <c:pt idx="20">
                  <c:v>Belgium</c:v>
                </c:pt>
                <c:pt idx="21">
                  <c:v>Peru</c:v>
                </c:pt>
                <c:pt idx="22">
                  <c:v>Netherlands</c:v>
                </c:pt>
                <c:pt idx="23">
                  <c:v>Other</c:v>
                </c:pt>
              </c:strCache>
            </c:strRef>
          </c:cat>
          <c:val>
            <c:numRef>
              <c:f>'Pie diagram'!$J$2:$J$25</c:f>
              <c:numCache>
                <c:formatCode>General</c:formatCode>
                <c:ptCount val="24"/>
                <c:pt idx="0">
                  <c:v>23639.15</c:v>
                </c:pt>
                <c:pt idx="1">
                  <c:v>14421.63</c:v>
                </c:pt>
                <c:pt idx="2">
                  <c:v>6244.95</c:v>
                </c:pt>
                <c:pt idx="3">
                  <c:v>5784.07</c:v>
                </c:pt>
                <c:pt idx="4">
                  <c:v>5185.28</c:v>
                </c:pt>
                <c:pt idx="5">
                  <c:v>4314.71</c:v>
                </c:pt>
                <c:pt idx="6">
                  <c:v>3922.52</c:v>
                </c:pt>
                <c:pt idx="7">
                  <c:v>3165.08</c:v>
                </c:pt>
                <c:pt idx="8">
                  <c:v>2981.79</c:v>
                </c:pt>
                <c:pt idx="9">
                  <c:v>2907.5</c:v>
                </c:pt>
                <c:pt idx="10">
                  <c:v>2877.31</c:v>
                </c:pt>
                <c:pt idx="11">
                  <c:v>2578.62</c:v>
                </c:pt>
                <c:pt idx="12">
                  <c:v>2312.73</c:v>
                </c:pt>
                <c:pt idx="13">
                  <c:v>2155.89</c:v>
                </c:pt>
                <c:pt idx="14">
                  <c:v>1739.06</c:v>
                </c:pt>
                <c:pt idx="15">
                  <c:v>1612.33</c:v>
                </c:pt>
                <c:pt idx="16">
                  <c:v>1420.65</c:v>
                </c:pt>
                <c:pt idx="17">
                  <c:v>1277.3699999999999</c:v>
                </c:pt>
                <c:pt idx="18">
                  <c:v>1200.6400000000001</c:v>
                </c:pt>
                <c:pt idx="19">
                  <c:v>1167.46</c:v>
                </c:pt>
                <c:pt idx="20">
                  <c:v>897.19</c:v>
                </c:pt>
                <c:pt idx="21">
                  <c:v>881.1</c:v>
                </c:pt>
                <c:pt idx="22">
                  <c:v>851.86</c:v>
                </c:pt>
                <c:pt idx="23">
                  <c:v>14986.119999999995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50-413D-88E6-8A5E193007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254234"/>
        <c:axId val="80913092"/>
      </c:barChart>
      <c:catAx>
        <c:axId val="84254234"/>
        <c:scaling>
          <c:orientation val="maxMin"/>
        </c:scaling>
        <c:delete val="0"/>
        <c:axPos val="l"/>
        <c:title>
          <c:tx>
            <c:rich>
              <a:bodyPr rot="-5400000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  <a:r>
                  <a:rPr sz="1000" b="0" strike="noStrike" spc="-1">
                    <a:solidFill>
                      <a:srgbClr val="000000"/>
                    </a:solidFill>
                    <a:latin typeface="Calibri"/>
                    <a:ea typeface="Calibri"/>
                  </a:rPr>
                  <a:t>Country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  <a:ea typeface="Calibri"/>
              </a:defRPr>
            </a:pPr>
            <a:endParaRPr lang="ru-RU"/>
          </a:p>
        </c:txPr>
        <c:crossAx val="80913092"/>
        <c:crosses val="autoZero"/>
        <c:auto val="1"/>
        <c:lblAlgn val="ctr"/>
        <c:lblOffset val="100"/>
        <c:noMultiLvlLbl val="0"/>
      </c:catAx>
      <c:valAx>
        <c:axId val="80913092"/>
        <c:scaling>
          <c:orientation val="minMax"/>
        </c:scaling>
        <c:delete val="0"/>
        <c:axPos val="b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  <a:r>
                  <a:rPr sz="1000" b="0" strike="noStrike" spc="-1">
                    <a:solidFill>
                      <a:srgbClr val="000000"/>
                    </a:solidFill>
                    <a:latin typeface="Calibri"/>
                    <a:ea typeface="Calibri"/>
                  </a:rPr>
                  <a:t>Revenue, $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  <a:ea typeface="Calibri"/>
              </a:defRPr>
            </a:pPr>
            <a:endParaRPr lang="ru-RU"/>
          </a:p>
        </c:txPr>
        <c:crossAx val="84254234"/>
        <c:crosses val="max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sz="1000" b="0" strike="noStrike" spc="-1">
              <a:solidFill>
                <a:srgbClr val="1A1A1A"/>
              </a:solidFill>
              <a:latin typeface="Calibri"/>
              <a:ea typeface="Calibri"/>
            </a:defRPr>
          </a:pPr>
          <a:endParaRPr lang="ru-RU"/>
        </a:p>
      </c:txPr>
    </c:legend>
    <c:plotVisOnly val="1"/>
    <c:dispBlanksAs val="zero"/>
    <c:showDLblsOverMax val="1"/>
  </c:chart>
  <c:spPr>
    <a:noFill/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c:style val="2"/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7F6000"/>
            </a:solidFill>
            <a:ln w="0">
              <a:solidFill>
                <a:srgbClr val="000000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'Pie diagram'!$T$2:$T$5</c:f>
              <c:strCache>
                <c:ptCount val="4"/>
                <c:pt idx="0">
                  <c:v>English speaking countries</c:v>
                </c:pt>
                <c:pt idx="1">
                  <c:v>Spanish speaking countries</c:v>
                </c:pt>
                <c:pt idx="2">
                  <c:v>Portugal speaking countries</c:v>
                </c:pt>
                <c:pt idx="3">
                  <c:v>Other</c:v>
                </c:pt>
              </c:strCache>
            </c:strRef>
          </c:cat>
          <c:val>
            <c:numRef>
              <c:f>'Pie diagram'!$U$2:$U$5</c:f>
              <c:numCache>
                <c:formatCode>0.000%</c:formatCode>
                <c:ptCount val="4"/>
                <c:pt idx="0">
                  <c:v>0.47728740130961528</c:v>
                </c:pt>
                <c:pt idx="1">
                  <c:v>0.25786581360370303</c:v>
                </c:pt>
                <c:pt idx="2">
                  <c:v>6.1662284113127496E-3</c:v>
                </c:pt>
                <c:pt idx="3">
                  <c:v>0.25868055667536888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4F-484D-9797-E6A12D3801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670924"/>
        <c:axId val="24041872"/>
      </c:barChart>
      <c:catAx>
        <c:axId val="36670924"/>
        <c:scaling>
          <c:orientation val="maxMin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  <a:ea typeface="Calibri"/>
              </a:defRPr>
            </a:pPr>
            <a:endParaRPr lang="ru-RU"/>
          </a:p>
        </c:txPr>
        <c:crossAx val="24041872"/>
        <c:crosses val="autoZero"/>
        <c:auto val="1"/>
        <c:lblAlgn val="ctr"/>
        <c:lblOffset val="100"/>
        <c:noMultiLvlLbl val="0"/>
      </c:catAx>
      <c:valAx>
        <c:axId val="24041872"/>
        <c:scaling>
          <c:orientation val="minMax"/>
        </c:scaling>
        <c:delete val="0"/>
        <c:axPos val="b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  <a:ea typeface="Calibri"/>
              </a:defRPr>
            </a:pPr>
            <a:endParaRPr lang="ru-RU"/>
          </a:p>
        </c:txPr>
        <c:crossAx val="36670924"/>
        <c:crosses val="max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sz="1000" b="0" strike="noStrike" spc="-1">
              <a:solidFill>
                <a:srgbClr val="1A1A1A"/>
              </a:solidFill>
              <a:latin typeface="Calibri"/>
              <a:ea typeface="Calibri"/>
            </a:defRPr>
          </a:pPr>
          <a:endParaRPr lang="ru-RU"/>
        </a:p>
      </c:txPr>
    </c:legend>
    <c:plotVisOnly val="1"/>
    <c:dispBlanksAs val="zero"/>
    <c:showDLblsOverMax val="1"/>
  </c:chart>
  <c:spPr>
    <a:noFill/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8</xdr:row>
      <xdr:rowOff>76320</xdr:rowOff>
    </xdr:from>
    <xdr:to>
      <xdr:col>4</xdr:col>
      <xdr:colOff>590040</xdr:colOff>
      <xdr:row>26</xdr:row>
      <xdr:rowOff>180720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638280</xdr:colOff>
      <xdr:row>9</xdr:row>
      <xdr:rowOff>133200</xdr:rowOff>
    </xdr:from>
    <xdr:to>
      <xdr:col>11</xdr:col>
      <xdr:colOff>481680</xdr:colOff>
      <xdr:row>28</xdr:row>
      <xdr:rowOff>47160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152280</xdr:colOff>
      <xdr:row>5</xdr:row>
      <xdr:rowOff>171360</xdr:rowOff>
    </xdr:from>
    <xdr:to>
      <xdr:col>6</xdr:col>
      <xdr:colOff>492120</xdr:colOff>
      <xdr:row>24</xdr:row>
      <xdr:rowOff>85320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28</xdr:row>
      <xdr:rowOff>133200</xdr:rowOff>
    </xdr:from>
    <xdr:to>
      <xdr:col>7</xdr:col>
      <xdr:colOff>580680</xdr:colOff>
      <xdr:row>55</xdr:row>
      <xdr:rowOff>161640</xdr:rowOff>
    </xdr:to>
    <xdr:graphicFrame macro="">
      <xdr:nvGraphicFramePr>
        <xdr:cNvPr id="3" name="Chart 4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11</xdr:col>
      <xdr:colOff>828720</xdr:colOff>
      <xdr:row>2</xdr:row>
      <xdr:rowOff>76320</xdr:rowOff>
    </xdr:from>
    <xdr:to>
      <xdr:col>18</xdr:col>
      <xdr:colOff>171000</xdr:colOff>
      <xdr:row>20</xdr:row>
      <xdr:rowOff>180720</xdr:rowOff>
    </xdr:to>
    <xdr:graphicFrame macro="">
      <xdr:nvGraphicFramePr>
        <xdr:cNvPr id="4" name="Chart 5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amazon.ca/" TargetMode="External"/><Relationship Id="rId21" Type="http://schemas.openxmlformats.org/officeDocument/2006/relationships/hyperlink" Target="http://www.trendyol.com/" TargetMode="External"/><Relationship Id="rId42" Type="http://schemas.openxmlformats.org/officeDocument/2006/relationships/hyperlink" Target="https://www.costco.ca/" TargetMode="External"/><Relationship Id="rId47" Type="http://schemas.openxmlformats.org/officeDocument/2006/relationships/hyperlink" Target="https://www.catch.com.au/" TargetMode="External"/><Relationship Id="rId63" Type="http://schemas.openxmlformats.org/officeDocument/2006/relationships/hyperlink" Target="https://www.homecenter.com.co/" TargetMode="External"/><Relationship Id="rId68" Type="http://schemas.openxmlformats.org/officeDocument/2006/relationships/hyperlink" Target="http://www.trademe.co.nz/" TargetMode="External"/><Relationship Id="rId7" Type="http://schemas.openxmlformats.org/officeDocument/2006/relationships/hyperlink" Target="https://shopee.com/" TargetMode="External"/><Relationship Id="rId71" Type="http://schemas.openxmlformats.org/officeDocument/2006/relationships/hyperlink" Target="http://www.plazavea.com.pe/" TargetMode="External"/><Relationship Id="rId2" Type="http://schemas.openxmlformats.org/officeDocument/2006/relationships/hyperlink" Target="http://walmart.com/" TargetMode="External"/><Relationship Id="rId16" Type="http://schemas.openxmlformats.org/officeDocument/2006/relationships/hyperlink" Target="https://www.ebay.co.uk/" TargetMode="External"/><Relationship Id="rId29" Type="http://schemas.openxmlformats.org/officeDocument/2006/relationships/hyperlink" Target="http://www.casasbahia.com.br/" TargetMode="External"/><Relationship Id="rId11" Type="http://schemas.openxmlformats.org/officeDocument/2006/relationships/hyperlink" Target="http://costco.com/" TargetMode="External"/><Relationship Id="rId24" Type="http://schemas.openxmlformats.org/officeDocument/2006/relationships/hyperlink" Target="https://www.cdiscount.com/" TargetMode="External"/><Relationship Id="rId32" Type="http://schemas.openxmlformats.org/officeDocument/2006/relationships/hyperlink" Target="http://www.bukalapak.com/" TargetMode="External"/><Relationship Id="rId37" Type="http://schemas.openxmlformats.org/officeDocument/2006/relationships/hyperlink" Target="http://www.bol.com/" TargetMode="External"/><Relationship Id="rId40" Type="http://schemas.openxmlformats.org/officeDocument/2006/relationships/hyperlink" Target="https://www.kmart.com.au/" TargetMode="External"/><Relationship Id="rId45" Type="http://schemas.openxmlformats.org/officeDocument/2006/relationships/hyperlink" Target="http://www.amazon.com.mx/" TargetMode="External"/><Relationship Id="rId53" Type="http://schemas.openxmlformats.org/officeDocument/2006/relationships/hyperlink" Target="http://www.coolblue.nl/" TargetMode="External"/><Relationship Id="rId58" Type="http://schemas.openxmlformats.org/officeDocument/2006/relationships/hyperlink" Target="https://www.linio.com/" TargetMode="External"/><Relationship Id="rId66" Type="http://schemas.openxmlformats.org/officeDocument/2006/relationships/hyperlink" Target="http://simple.ripley.com.pe/" TargetMode="External"/><Relationship Id="rId5" Type="http://schemas.openxmlformats.org/officeDocument/2006/relationships/hyperlink" Target="http://ebay.com/" TargetMode="External"/><Relationship Id="rId61" Type="http://schemas.openxmlformats.org/officeDocument/2006/relationships/hyperlink" Target="https://www.amazon.ae/" TargetMode="External"/><Relationship Id="rId19" Type="http://schemas.openxmlformats.org/officeDocument/2006/relationships/hyperlink" Target="https://www.hepsiburada.com/" TargetMode="External"/><Relationship Id="rId14" Type="http://schemas.openxmlformats.org/officeDocument/2006/relationships/hyperlink" Target="http://allegro.pl/" TargetMode="External"/><Relationship Id="rId22" Type="http://schemas.openxmlformats.org/officeDocument/2006/relationships/hyperlink" Target="https://www.amazon.ca/" TargetMode="External"/><Relationship Id="rId27" Type="http://schemas.openxmlformats.org/officeDocument/2006/relationships/hyperlink" Target="http://www.rakuten.co.jp/" TargetMode="External"/><Relationship Id="rId30" Type="http://schemas.openxmlformats.org/officeDocument/2006/relationships/hyperlink" Target="https://www.amazon.com.br/" TargetMode="External"/><Relationship Id="rId35" Type="http://schemas.openxmlformats.org/officeDocument/2006/relationships/hyperlink" Target="http://www.elcorteingles.es/" TargetMode="External"/><Relationship Id="rId43" Type="http://schemas.openxmlformats.org/officeDocument/2006/relationships/hyperlink" Target="http://www.pontofrio.com.br/" TargetMode="External"/><Relationship Id="rId48" Type="http://schemas.openxmlformats.org/officeDocument/2006/relationships/hyperlink" Target="http://www.newegg.ca/" TargetMode="External"/><Relationship Id="rId56" Type="http://schemas.openxmlformats.org/officeDocument/2006/relationships/hyperlink" Target="http://www.amazon.nl/" TargetMode="External"/><Relationship Id="rId64" Type="http://schemas.openxmlformats.org/officeDocument/2006/relationships/hyperlink" Target="http://price.com.hk/" TargetMode="External"/><Relationship Id="rId69" Type="http://schemas.openxmlformats.org/officeDocument/2006/relationships/hyperlink" Target="https://www.worten.pt/" TargetMode="External"/><Relationship Id="rId8" Type="http://schemas.openxmlformats.org/officeDocument/2006/relationships/hyperlink" Target="https://www.amazon.co.uk/" TargetMode="External"/><Relationship Id="rId51" Type="http://schemas.openxmlformats.org/officeDocument/2006/relationships/hyperlink" Target="https://www.fishpond.com.au/" TargetMode="External"/><Relationship Id="rId3" Type="http://schemas.openxmlformats.org/officeDocument/2006/relationships/hyperlink" Target="https://www.amazon.co.jp/" TargetMode="External"/><Relationship Id="rId12" Type="http://schemas.openxmlformats.org/officeDocument/2006/relationships/hyperlink" Target="http://tokopedia.com/" TargetMode="External"/><Relationship Id="rId17" Type="http://schemas.openxmlformats.org/officeDocument/2006/relationships/hyperlink" Target="http://www.americanas.com.br/" TargetMode="External"/><Relationship Id="rId25" Type="http://schemas.openxmlformats.org/officeDocument/2006/relationships/hyperlink" Target="http://otto.de/" TargetMode="External"/><Relationship Id="rId33" Type="http://schemas.openxmlformats.org/officeDocument/2006/relationships/hyperlink" Target="http://www.walmart.ca/" TargetMode="External"/><Relationship Id="rId38" Type="http://schemas.openxmlformats.org/officeDocument/2006/relationships/hyperlink" Target="http://blibli.com/" TargetMode="External"/><Relationship Id="rId46" Type="http://schemas.openxmlformats.org/officeDocument/2006/relationships/hyperlink" Target="http://www.liverpool.com.mx/" TargetMode="External"/><Relationship Id="rId59" Type="http://schemas.openxmlformats.org/officeDocument/2006/relationships/hyperlink" Target="http://pgmall.my/" TargetMode="External"/><Relationship Id="rId67" Type="http://schemas.openxmlformats.org/officeDocument/2006/relationships/hyperlink" Target="http://www.falabella.com.pe/" TargetMode="External"/><Relationship Id="rId20" Type="http://schemas.openxmlformats.org/officeDocument/2006/relationships/hyperlink" Target="https://www.ebay.de/" TargetMode="External"/><Relationship Id="rId41" Type="http://schemas.openxmlformats.org/officeDocument/2006/relationships/hyperlink" Target="http://www.submarino.com.br/" TargetMode="External"/><Relationship Id="rId54" Type="http://schemas.openxmlformats.org/officeDocument/2006/relationships/hyperlink" Target="http://www.clasohlson.com/" TargetMode="External"/><Relationship Id="rId62" Type="http://schemas.openxmlformats.org/officeDocument/2006/relationships/hyperlink" Target="http://www.falabella.com/" TargetMode="External"/><Relationship Id="rId70" Type="http://schemas.openxmlformats.org/officeDocument/2006/relationships/hyperlink" Target="http://www.thewarehouse.co.nz/" TargetMode="External"/><Relationship Id="rId1" Type="http://schemas.openxmlformats.org/officeDocument/2006/relationships/hyperlink" Target="http://amazon.com/" TargetMode="External"/><Relationship Id="rId6" Type="http://schemas.openxmlformats.org/officeDocument/2006/relationships/hyperlink" Target="https://www.amazon.de/" TargetMode="External"/><Relationship Id="rId15" Type="http://schemas.openxmlformats.org/officeDocument/2006/relationships/hyperlink" Target="https://www.amazon.it/" TargetMode="External"/><Relationship Id="rId23" Type="http://schemas.openxmlformats.org/officeDocument/2006/relationships/hyperlink" Target="http://argos.co.uk/" TargetMode="External"/><Relationship Id="rId28" Type="http://schemas.openxmlformats.org/officeDocument/2006/relationships/hyperlink" Target="https://www.mercadolibre.com/" TargetMode="External"/><Relationship Id="rId36" Type="http://schemas.openxmlformats.org/officeDocument/2006/relationships/hyperlink" Target="https://www.canadiantire.ca/en.html" TargetMode="External"/><Relationship Id="rId49" Type="http://schemas.openxmlformats.org/officeDocument/2006/relationships/hyperlink" Target="https://www.grays.com/" TargetMode="External"/><Relationship Id="rId57" Type="http://schemas.openxmlformats.org/officeDocument/2006/relationships/hyperlink" Target="http://noon.com/" TargetMode="External"/><Relationship Id="rId10" Type="http://schemas.openxmlformats.org/officeDocument/2006/relationships/hyperlink" Target="https://www.wayfair.com/" TargetMode="External"/><Relationship Id="rId31" Type="http://schemas.openxmlformats.org/officeDocument/2006/relationships/hyperlink" Target="http://www.kijiji.ca/" TargetMode="External"/><Relationship Id="rId44" Type="http://schemas.openxmlformats.org/officeDocument/2006/relationships/hyperlink" Target="http://amazon.au/" TargetMode="External"/><Relationship Id="rId52" Type="http://schemas.openxmlformats.org/officeDocument/2006/relationships/hyperlink" Target="http://www.marktplaats.nl/" TargetMode="External"/><Relationship Id="rId60" Type="http://schemas.openxmlformats.org/officeDocument/2006/relationships/hyperlink" Target="https://www.jumia.com.ng/" TargetMode="External"/><Relationship Id="rId65" Type="http://schemas.openxmlformats.org/officeDocument/2006/relationships/hyperlink" Target="http://www.fnac.pt/" TargetMode="External"/><Relationship Id="rId4" Type="http://schemas.openxmlformats.org/officeDocument/2006/relationships/hyperlink" Target="http://www.etsy.com/" TargetMode="External"/><Relationship Id="rId9" Type="http://schemas.openxmlformats.org/officeDocument/2006/relationships/hyperlink" Target="https://www.target.com/" TargetMode="External"/><Relationship Id="rId13" Type="http://schemas.openxmlformats.org/officeDocument/2006/relationships/hyperlink" Target="http://kohls.com/" TargetMode="External"/><Relationship Id="rId18" Type="http://schemas.openxmlformats.org/officeDocument/2006/relationships/hyperlink" Target="https://www.magazineluiza.com.br/" TargetMode="External"/><Relationship Id="rId39" Type="http://schemas.openxmlformats.org/officeDocument/2006/relationships/hyperlink" Target="http://www.extra.com.br/" TargetMode="External"/><Relationship Id="rId34" Type="http://schemas.openxmlformats.org/officeDocument/2006/relationships/hyperlink" Target="http://www.lazada.co.id/" TargetMode="External"/><Relationship Id="rId50" Type="http://schemas.openxmlformats.org/officeDocument/2006/relationships/hyperlink" Target="http://www.mydeal.com.au/" TargetMode="External"/><Relationship Id="rId55" Type="http://schemas.openxmlformats.org/officeDocument/2006/relationships/hyperlink" Target="http://taobao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2"/>
  <sheetViews>
    <sheetView zoomScaleNormal="100" workbookViewId="0">
      <selection activeCell="C2" sqref="C2:D3"/>
    </sheetView>
  </sheetViews>
  <sheetFormatPr defaultColWidth="12.625" defaultRowHeight="14.25"/>
  <cols>
    <col min="1" max="1" width="14.375" customWidth="1"/>
    <col min="2" max="2" width="10.875" customWidth="1"/>
    <col min="3" max="3" width="11.875" customWidth="1"/>
    <col min="4" max="4" width="12.875" customWidth="1"/>
    <col min="5" max="5" width="9.75" customWidth="1"/>
    <col min="6" max="6" width="11.25" customWidth="1"/>
    <col min="7" max="12" width="14.375" customWidth="1"/>
  </cols>
  <sheetData>
    <row r="1" spans="1:12" ht="4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</row>
    <row r="2" spans="1:12" ht="15">
      <c r="A2" s="9" t="str">
        <f ca="1">IFERROR(__xludf.dummyfunction("QUERY('Сountries_list'!A70:B257, ""SELECT A WHERE '""&amp;B2&amp;""' = B"")"),"United States")</f>
        <v>United States</v>
      </c>
      <c r="B2" s="10" t="s">
        <v>12</v>
      </c>
      <c r="C2" s="11">
        <v>213944</v>
      </c>
      <c r="D2" s="11">
        <v>15075361.950044001</v>
      </c>
      <c r="E2" s="11">
        <v>1028502.18000002</v>
      </c>
      <c r="F2" s="11">
        <v>154180.500000017</v>
      </c>
      <c r="G2" s="12">
        <f t="shared" ref="G2:G33" si="0">F2/(D2+F2)</f>
        <v>1.0123777553118241E-2</v>
      </c>
      <c r="H2" s="11">
        <v>2356.3099999999899</v>
      </c>
      <c r="I2" s="11">
        <v>5274.91999999987</v>
      </c>
      <c r="J2" s="11">
        <v>293.77999999999997</v>
      </c>
      <c r="K2" s="11">
        <v>-332906.53000000102</v>
      </c>
      <c r="L2" s="11">
        <v>-114047.360000031</v>
      </c>
    </row>
    <row r="3" spans="1:12" ht="15">
      <c r="A3" s="9" t="str">
        <f ca="1">IFERROR(__xludf.dummyfunction("QUERY('Сountries_list'!A10:B198, ""SELECT A WHERE '""&amp;B3&amp;""' = B"")"),"Canada")</f>
        <v>Canada</v>
      </c>
      <c r="B3" s="10" t="s">
        <v>13</v>
      </c>
      <c r="C3" s="11">
        <v>338</v>
      </c>
      <c r="D3" s="11">
        <v>23639.15</v>
      </c>
      <c r="E3" s="11">
        <v>14.96</v>
      </c>
      <c r="F3" s="11">
        <v>3341.46</v>
      </c>
      <c r="G3" s="12">
        <f t="shared" si="0"/>
        <v>0.12384671806901326</v>
      </c>
      <c r="H3" s="11">
        <v>0.52</v>
      </c>
      <c r="I3" s="11">
        <v>9.98</v>
      </c>
      <c r="J3" s="11">
        <v>0</v>
      </c>
      <c r="K3" s="11">
        <v>-728.98</v>
      </c>
      <c r="L3" s="11">
        <v>-6.99</v>
      </c>
    </row>
    <row r="4" spans="1:12" ht="15">
      <c r="A4" s="9" t="str">
        <f ca="1">IFERROR(__xludf.dummyfunction("QUERY('Сountries_list'!A13:B201, ""SELECT A WHERE '""&amp;B4&amp;""' = B"")"),"Colombia")</f>
        <v>Colombia</v>
      </c>
      <c r="B4" s="10" t="s">
        <v>14</v>
      </c>
      <c r="C4" s="11">
        <v>188</v>
      </c>
      <c r="D4" s="11">
        <v>14421.63</v>
      </c>
      <c r="E4" s="11">
        <v>0</v>
      </c>
      <c r="F4" s="11">
        <v>2303.91</v>
      </c>
      <c r="G4" s="12">
        <f t="shared" si="0"/>
        <v>0.13774801889804453</v>
      </c>
      <c r="H4" s="11">
        <v>0</v>
      </c>
      <c r="I4" s="11">
        <v>0</v>
      </c>
      <c r="J4" s="11">
        <v>0</v>
      </c>
      <c r="K4" s="11">
        <v>-725.33</v>
      </c>
      <c r="L4" s="11">
        <v>-2121.65</v>
      </c>
    </row>
    <row r="5" spans="1:12" ht="15">
      <c r="A5" s="9" t="str">
        <f ca="1">IFERROR(__xludf.dummyfunction("QUERY('Сountries_list'!A33:B220, ""SELECT A WHERE '""&amp;B5&amp;""' = B"")"),"Israel")</f>
        <v>Israel</v>
      </c>
      <c r="B5" s="10" t="s">
        <v>15</v>
      </c>
      <c r="C5" s="11">
        <v>98</v>
      </c>
      <c r="D5" s="11">
        <v>6244.95</v>
      </c>
      <c r="E5" s="11">
        <v>0</v>
      </c>
      <c r="F5" s="11">
        <v>1547.33</v>
      </c>
      <c r="G5" s="12">
        <f t="shared" si="0"/>
        <v>0.19857217656449716</v>
      </c>
      <c r="H5" s="11">
        <v>0</v>
      </c>
      <c r="I5" s="11">
        <v>0</v>
      </c>
      <c r="J5" s="11">
        <v>0</v>
      </c>
      <c r="K5" s="11">
        <v>-40.72</v>
      </c>
      <c r="L5" s="11">
        <v>-869.99</v>
      </c>
    </row>
    <row r="6" spans="1:12" ht="15">
      <c r="A6" s="9" t="str">
        <f ca="1">IFERROR(__xludf.dummyfunction("QUERY('Сountries_list'!A45:B232, ""SELECT A WHERE '""&amp;B6&amp;""' = B"")"),"Mexico")</f>
        <v>Mexico</v>
      </c>
      <c r="B6" s="10" t="s">
        <v>16</v>
      </c>
      <c r="C6" s="11">
        <v>87</v>
      </c>
      <c r="D6" s="11">
        <v>5784.07</v>
      </c>
      <c r="E6" s="11">
        <v>0</v>
      </c>
      <c r="F6" s="11">
        <v>733.12</v>
      </c>
      <c r="G6" s="12">
        <f t="shared" si="0"/>
        <v>0.11249019899680691</v>
      </c>
      <c r="H6" s="11">
        <v>0</v>
      </c>
      <c r="I6" s="11">
        <v>0</v>
      </c>
      <c r="J6" s="11">
        <v>0</v>
      </c>
      <c r="K6" s="11">
        <v>-142.85</v>
      </c>
      <c r="L6" s="11">
        <v>0</v>
      </c>
    </row>
    <row r="7" spans="1:12" ht="15">
      <c r="A7" s="9" t="str">
        <f ca="1">IFERROR(__xludf.dummyfunction("QUERY('Сountries_list'!A4:B192, ""SELECT A WHERE '""&amp;B7&amp;""' = B"")"),"Australia")</f>
        <v>Australia</v>
      </c>
      <c r="B7" s="10" t="s">
        <v>17</v>
      </c>
      <c r="C7" s="11">
        <v>75</v>
      </c>
      <c r="D7" s="11">
        <v>5185.28</v>
      </c>
      <c r="E7" s="11">
        <v>506.23</v>
      </c>
      <c r="F7" s="11">
        <v>1069.23</v>
      </c>
      <c r="G7" s="12">
        <f t="shared" si="0"/>
        <v>0.17095343999769766</v>
      </c>
      <c r="H7" s="11">
        <v>106.9</v>
      </c>
      <c r="I7" s="11">
        <v>0</v>
      </c>
      <c r="J7" s="11">
        <v>0</v>
      </c>
      <c r="K7" s="11">
        <v>-124.92</v>
      </c>
      <c r="L7" s="11">
        <v>0</v>
      </c>
    </row>
    <row r="8" spans="1:12" ht="15">
      <c r="A8" s="9" t="str">
        <f ca="1">IFERROR(__xludf.dummyfunction("QUERY('Сountries_list'!A24:B211, ""SELECT A WHERE '""&amp;B8&amp;""' = B"")"),"United Kingdom")</f>
        <v>United Kingdom</v>
      </c>
      <c r="B8" s="10" t="s">
        <v>18</v>
      </c>
      <c r="C8" s="11">
        <v>66</v>
      </c>
      <c r="D8" s="11">
        <v>3922.52</v>
      </c>
      <c r="E8" s="11">
        <v>553.15</v>
      </c>
      <c r="F8" s="11">
        <v>632.11</v>
      </c>
      <c r="G8" s="12">
        <f t="shared" si="0"/>
        <v>0.13878405051562914</v>
      </c>
      <c r="H8" s="11">
        <v>87.98</v>
      </c>
      <c r="I8" s="11">
        <v>14.47</v>
      </c>
      <c r="J8" s="11">
        <v>2</v>
      </c>
      <c r="K8" s="11">
        <v>-114.61</v>
      </c>
      <c r="L8" s="11">
        <v>0</v>
      </c>
    </row>
    <row r="9" spans="1:12" ht="15">
      <c r="A9" s="9" t="str">
        <f ca="1">IFERROR(__xludf.dummyfunction("QUERY('Сountries_list'!A29:B216, ""SELECT A WHERE '""&amp;B9&amp;""' = B"")"),"Hong Kong")</f>
        <v>Hong Kong</v>
      </c>
      <c r="B9" s="10" t="s">
        <v>19</v>
      </c>
      <c r="C9" s="11">
        <v>59</v>
      </c>
      <c r="D9" s="11">
        <v>4314.71</v>
      </c>
      <c r="E9" s="11">
        <v>0</v>
      </c>
      <c r="F9" s="11">
        <v>413.09</v>
      </c>
      <c r="G9" s="12">
        <f t="shared" si="0"/>
        <v>8.7374677439824008E-2</v>
      </c>
      <c r="H9" s="11">
        <v>0</v>
      </c>
      <c r="I9" s="11">
        <v>0</v>
      </c>
      <c r="J9" s="11">
        <v>0</v>
      </c>
      <c r="K9" s="11">
        <v>-99.78</v>
      </c>
      <c r="L9" s="11">
        <v>-304.56</v>
      </c>
    </row>
    <row r="10" spans="1:12" ht="15">
      <c r="A10" s="9" t="str">
        <f ca="1">IFERROR(__xludf.dummyfunction("QUERY('Сountries_list'!A50:B237, ""SELECT A WHERE '""&amp;B10&amp;""' = B"")"),"New Zealand")</f>
        <v>New Zealand</v>
      </c>
      <c r="B10" s="10" t="s">
        <v>20</v>
      </c>
      <c r="C10" s="11">
        <v>46</v>
      </c>
      <c r="D10" s="11">
        <v>3165.08</v>
      </c>
      <c r="E10" s="11">
        <v>455.87</v>
      </c>
      <c r="F10" s="11">
        <v>579.9</v>
      </c>
      <c r="G10" s="12">
        <f t="shared" si="0"/>
        <v>0.15484728890407959</v>
      </c>
      <c r="H10" s="11">
        <v>87.01</v>
      </c>
      <c r="I10" s="11">
        <v>4.99</v>
      </c>
      <c r="J10" s="11">
        <v>0.75</v>
      </c>
      <c r="K10" s="11">
        <v>-126.8</v>
      </c>
      <c r="L10" s="11">
        <v>0</v>
      </c>
    </row>
    <row r="11" spans="1:12" ht="15">
      <c r="A11" s="9" t="str">
        <f ca="1">IFERROR(__xludf.dummyfunction("QUERY('Сountries_list'!A63:B250, ""SELECT A WHERE '""&amp;B11&amp;""' = B"")"),"Singapore")</f>
        <v>Singapore</v>
      </c>
      <c r="B11" s="10" t="s">
        <v>21</v>
      </c>
      <c r="C11" s="11">
        <v>40</v>
      </c>
      <c r="D11" s="11">
        <v>2981.79</v>
      </c>
      <c r="E11" s="11">
        <v>0</v>
      </c>
      <c r="F11" s="11">
        <v>368.02</v>
      </c>
      <c r="G11" s="12">
        <f t="shared" si="0"/>
        <v>0.10986294745075094</v>
      </c>
      <c r="H11" s="11">
        <v>0</v>
      </c>
      <c r="I11" s="11">
        <v>0</v>
      </c>
      <c r="J11" s="11">
        <v>0</v>
      </c>
      <c r="K11" s="11">
        <v>-141.69999999999999</v>
      </c>
      <c r="L11" s="11">
        <v>0</v>
      </c>
    </row>
    <row r="12" spans="1:12" ht="15">
      <c r="A12" s="9" t="str">
        <f ca="1">IFERROR(__xludf.dummyfunction("QUERY('Сountries_list'!A11:B199, ""SELECT A WHERE '""&amp;B12&amp;""' = B"")"),"Chile")</f>
        <v>Chile</v>
      </c>
      <c r="B12" s="10" t="s">
        <v>22</v>
      </c>
      <c r="C12" s="11">
        <v>37</v>
      </c>
      <c r="D12" s="11">
        <v>2578.62</v>
      </c>
      <c r="E12" s="11">
        <v>0</v>
      </c>
      <c r="F12" s="11">
        <v>543.05999999999995</v>
      </c>
      <c r="G12" s="12">
        <f t="shared" si="0"/>
        <v>0.17396401937418313</v>
      </c>
      <c r="H12" s="11">
        <v>0</v>
      </c>
      <c r="I12" s="11">
        <v>0</v>
      </c>
      <c r="J12" s="11">
        <v>0</v>
      </c>
      <c r="K12" s="11">
        <v>-13.52</v>
      </c>
      <c r="L12" s="11">
        <v>-371.66</v>
      </c>
    </row>
    <row r="13" spans="1:12" ht="15">
      <c r="A13" s="9" t="str">
        <f ca="1">IFERROR(__xludf.dummyfunction("QUERY('Сountries_list'!A55:B242, ""SELECT A WHERE '""&amp;B13&amp;""' = B"")"),"Puerto Rico")</f>
        <v>Puerto Rico</v>
      </c>
      <c r="B13" s="10" t="s">
        <v>23</v>
      </c>
      <c r="C13" s="11">
        <v>37</v>
      </c>
      <c r="D13" s="11">
        <v>2907.5</v>
      </c>
      <c r="E13" s="11">
        <v>285.24</v>
      </c>
      <c r="F13" s="11">
        <v>74.25</v>
      </c>
      <c r="G13" s="12">
        <f t="shared" si="0"/>
        <v>2.4901484027836002E-2</v>
      </c>
      <c r="H13" s="11">
        <v>0</v>
      </c>
      <c r="I13" s="11">
        <v>4.99</v>
      </c>
      <c r="J13" s="11">
        <v>0.56999999999999995</v>
      </c>
      <c r="K13" s="11">
        <v>-247.87</v>
      </c>
      <c r="L13" s="11">
        <v>-39.68</v>
      </c>
    </row>
    <row r="14" spans="1:12" ht="15">
      <c r="A14" s="9" t="str">
        <f ca="1">IFERROR(__xludf.dummyfunction("QUERY('Сountries_list'!A61:B248, ""SELECT A WHERE '""&amp;B14&amp;""' = B"")"),"Saudi Arabia")</f>
        <v>Saudi Arabia</v>
      </c>
      <c r="B14" s="10" t="s">
        <v>24</v>
      </c>
      <c r="C14" s="11">
        <v>33</v>
      </c>
      <c r="D14" s="11">
        <v>2155.89</v>
      </c>
      <c r="E14" s="11">
        <v>0</v>
      </c>
      <c r="F14" s="11">
        <v>402.5</v>
      </c>
      <c r="G14" s="12">
        <f t="shared" si="0"/>
        <v>0.1573255054936894</v>
      </c>
      <c r="H14" s="11">
        <v>0</v>
      </c>
      <c r="I14" s="11">
        <v>4.99</v>
      </c>
      <c r="J14" s="11">
        <v>0</v>
      </c>
      <c r="K14" s="11">
        <v>-178.4</v>
      </c>
      <c r="L14" s="11">
        <v>0</v>
      </c>
    </row>
    <row r="15" spans="1:12" ht="15">
      <c r="A15" s="9" t="str">
        <f ca="1">IFERROR(__xludf.dummyfunction("QUERY('Сountries_list'!A39:B226, ""SELECT A WHERE '""&amp;B15&amp;""' = B"")"),"Korea, Republic")</f>
        <v>Korea, Republic</v>
      </c>
      <c r="B15" s="10" t="s">
        <v>25</v>
      </c>
      <c r="C15" s="11">
        <v>33</v>
      </c>
      <c r="D15" s="11">
        <v>2877.31</v>
      </c>
      <c r="E15" s="11">
        <v>0</v>
      </c>
      <c r="F15" s="11">
        <v>303.17</v>
      </c>
      <c r="G15" s="12">
        <f t="shared" si="0"/>
        <v>9.532208974745951E-2</v>
      </c>
      <c r="H15" s="11">
        <v>0</v>
      </c>
      <c r="I15" s="11">
        <v>4.99</v>
      </c>
      <c r="J15" s="11">
        <v>0</v>
      </c>
      <c r="K15" s="11">
        <v>-193.07</v>
      </c>
      <c r="L15" s="11">
        <v>-10.98</v>
      </c>
    </row>
    <row r="16" spans="1:12" ht="15">
      <c r="A16" s="9" t="str">
        <f ca="1">IFERROR(__xludf.dummyfunction("QUERY('Сountries_list'!A53:B240, ""SELECT A WHERE '""&amp;B16&amp;""' = B"")"),"Philippines")</f>
        <v>Philippines</v>
      </c>
      <c r="B16" s="10" t="s">
        <v>26</v>
      </c>
      <c r="C16" s="11">
        <v>29</v>
      </c>
      <c r="D16" s="11">
        <v>2312.73</v>
      </c>
      <c r="E16" s="11">
        <v>0</v>
      </c>
      <c r="F16" s="11">
        <v>484.41</v>
      </c>
      <c r="G16" s="12">
        <f t="shared" si="0"/>
        <v>0.17318046290139216</v>
      </c>
      <c r="H16" s="11">
        <v>0</v>
      </c>
      <c r="I16" s="11">
        <v>5.99</v>
      </c>
      <c r="J16" s="11">
        <v>0</v>
      </c>
      <c r="K16" s="11">
        <v>-29.5</v>
      </c>
      <c r="L16" s="11">
        <v>0</v>
      </c>
    </row>
    <row r="17" spans="1:12" ht="15">
      <c r="A17" s="9" t="str">
        <f ca="1">IFERROR(__xludf.dummyfunction("QUERY('Сountries_list'!A32:B219, ""SELECT A WHERE '""&amp;B17&amp;""' = B"")"),"Ireland")</f>
        <v>Ireland</v>
      </c>
      <c r="B17" s="10" t="s">
        <v>27</v>
      </c>
      <c r="C17" s="11">
        <v>23</v>
      </c>
      <c r="D17" s="11">
        <v>1739.06</v>
      </c>
      <c r="E17" s="11">
        <v>156.44</v>
      </c>
      <c r="F17" s="11">
        <v>316.39999999999998</v>
      </c>
      <c r="G17" s="12">
        <f t="shared" si="0"/>
        <v>0.15393148005799187</v>
      </c>
      <c r="H17" s="11">
        <v>25.9</v>
      </c>
      <c r="I17" s="11">
        <v>0</v>
      </c>
      <c r="J17" s="11">
        <v>0</v>
      </c>
      <c r="K17" s="11">
        <v>0</v>
      </c>
      <c r="L17" s="11">
        <v>0</v>
      </c>
    </row>
    <row r="18" spans="1:12" ht="15">
      <c r="A18" s="9" t="str">
        <f ca="1">IFERROR(__xludf.dummyfunction("QUERY('Сountries_list'!A17:B205, ""SELECT A WHERE '""&amp;B18&amp;""' = B"")"),"Germany")</f>
        <v>Germany</v>
      </c>
      <c r="B18" s="10" t="s">
        <v>28</v>
      </c>
      <c r="C18" s="11">
        <v>21</v>
      </c>
      <c r="D18" s="11">
        <v>1277.3699999999999</v>
      </c>
      <c r="E18" s="11">
        <v>65.31</v>
      </c>
      <c r="F18" s="11">
        <v>192.21</v>
      </c>
      <c r="G18" s="12">
        <f t="shared" si="0"/>
        <v>0.13079247131833585</v>
      </c>
      <c r="H18" s="11">
        <v>8.89</v>
      </c>
      <c r="I18" s="11">
        <v>3.99</v>
      </c>
      <c r="J18" s="11">
        <v>0</v>
      </c>
      <c r="K18" s="11">
        <v>-46</v>
      </c>
      <c r="L18" s="11">
        <v>0</v>
      </c>
    </row>
    <row r="19" spans="1:12" ht="15">
      <c r="A19" s="9" t="str">
        <f ca="1">IFERROR(__xludf.dummyfunction("QUERY('Сountries_list'!A23:B210, ""SELECT A WHERE '""&amp;B19&amp;""' = B"")"),"France")</f>
        <v>France</v>
      </c>
      <c r="B19" s="10" t="s">
        <v>29</v>
      </c>
      <c r="C19" s="11">
        <v>20</v>
      </c>
      <c r="D19" s="11">
        <v>1420.65</v>
      </c>
      <c r="E19" s="11">
        <v>112.33</v>
      </c>
      <c r="F19" s="11">
        <v>290.83999999999997</v>
      </c>
      <c r="G19" s="12">
        <f t="shared" si="0"/>
        <v>0.16993380037277458</v>
      </c>
      <c r="H19" s="11">
        <v>25.64</v>
      </c>
      <c r="I19" s="11">
        <v>0</v>
      </c>
      <c r="J19" s="11">
        <v>0</v>
      </c>
      <c r="K19" s="11">
        <v>-66.239999999999995</v>
      </c>
      <c r="L19" s="11">
        <v>0</v>
      </c>
    </row>
    <row r="20" spans="1:12" ht="15.75" customHeight="1">
      <c r="A20" s="9" t="str">
        <f ca="1">IFERROR(__xludf.dummyfunction("QUERY('Сountries_list'!A37:B224, ""SELECT A WHERE '""&amp;B20&amp;""' = B"")"),"Japan")</f>
        <v>Japan</v>
      </c>
      <c r="B20" s="10" t="s">
        <v>30</v>
      </c>
      <c r="C20" s="11">
        <v>19</v>
      </c>
      <c r="D20" s="11">
        <v>1612.33</v>
      </c>
      <c r="E20" s="11">
        <v>0</v>
      </c>
      <c r="F20" s="11">
        <v>254.41</v>
      </c>
      <c r="G20" s="12">
        <f t="shared" si="0"/>
        <v>0.13628571734681852</v>
      </c>
      <c r="H20" s="11">
        <v>0</v>
      </c>
      <c r="I20" s="11">
        <v>0</v>
      </c>
      <c r="J20" s="11">
        <v>0</v>
      </c>
      <c r="K20" s="11">
        <v>-80.459999999999994</v>
      </c>
      <c r="L20" s="11">
        <v>0</v>
      </c>
    </row>
    <row r="21" spans="1:12" ht="15.75" customHeight="1">
      <c r="A21" s="9" t="str">
        <f ca="1">IFERROR(__xludf.dummyfunction("QUERY('Сountries_list'!A73:B260, ""SELECT A WHERE '""&amp;B21&amp;""' = B"")"),"South Africa")</f>
        <v>South Africa</v>
      </c>
      <c r="B21" s="10" t="s">
        <v>31</v>
      </c>
      <c r="C21" s="11">
        <v>16</v>
      </c>
      <c r="D21" s="11">
        <v>1167.46</v>
      </c>
      <c r="E21" s="11">
        <v>0</v>
      </c>
      <c r="F21" s="11">
        <v>218.72</v>
      </c>
      <c r="G21" s="12">
        <f t="shared" si="0"/>
        <v>0.15778614609935218</v>
      </c>
      <c r="H21" s="11">
        <v>0</v>
      </c>
      <c r="I21" s="11">
        <v>0</v>
      </c>
      <c r="J21" s="11">
        <v>0</v>
      </c>
      <c r="K21" s="11">
        <v>-49.6</v>
      </c>
      <c r="L21" s="11">
        <v>0</v>
      </c>
    </row>
    <row r="22" spans="1:12" ht="15.75" customHeight="1">
      <c r="A22" s="9" t="str">
        <f ca="1">IFERROR(__xludf.dummyfunction("QUERY('Сountries_list'!A69:B256, ""SELECT A WHERE '""&amp;B22&amp;""' = B"")"),"Taiwan")</f>
        <v>Taiwan</v>
      </c>
      <c r="B22" s="10" t="s">
        <v>32</v>
      </c>
      <c r="C22" s="11">
        <v>16</v>
      </c>
      <c r="D22" s="11">
        <v>1200.6400000000001</v>
      </c>
      <c r="E22" s="11">
        <v>0</v>
      </c>
      <c r="F22" s="11">
        <v>193.63</v>
      </c>
      <c r="G22" s="12">
        <f t="shared" si="0"/>
        <v>0.13887554060547813</v>
      </c>
      <c r="H22" s="11">
        <v>0</v>
      </c>
      <c r="I22" s="11">
        <v>0</v>
      </c>
      <c r="J22" s="11">
        <v>0</v>
      </c>
      <c r="K22" s="11">
        <v>-22</v>
      </c>
      <c r="L22" s="11">
        <v>-136.07</v>
      </c>
    </row>
    <row r="23" spans="1:12" ht="15.75" customHeight="1">
      <c r="A23" s="9" t="str">
        <f ca="1">IFERROR(__xludf.dummyfunction("QUERY('Сountries_list'!A21:B208, ""SELECT A WHERE '""&amp;B23&amp;""' = B"")"),"Spain")</f>
        <v>Spain</v>
      </c>
      <c r="B23" s="10" t="s">
        <v>33</v>
      </c>
      <c r="C23" s="11">
        <v>15</v>
      </c>
      <c r="D23" s="11">
        <v>672.4</v>
      </c>
      <c r="E23" s="11">
        <v>41.94</v>
      </c>
      <c r="F23" s="11">
        <v>146.79</v>
      </c>
      <c r="G23" s="12">
        <f t="shared" si="0"/>
        <v>0.17918919908690292</v>
      </c>
      <c r="H23" s="11">
        <v>11.77</v>
      </c>
      <c r="I23" s="11">
        <v>0</v>
      </c>
      <c r="J23" s="11">
        <v>0</v>
      </c>
      <c r="K23" s="11">
        <v>-20.89</v>
      </c>
      <c r="L23" s="11">
        <v>0</v>
      </c>
    </row>
    <row r="24" spans="1:12" ht="15.75" customHeight="1">
      <c r="A24" s="9" t="str">
        <f ca="1">IFERROR(__xludf.dummyfunction("QUERY('Сountries_list'!A48:B235, ""SELECT A WHERE '""&amp;B24&amp;""' = B"")"),"Netherlands")</f>
        <v>Netherlands</v>
      </c>
      <c r="B24" s="10" t="s">
        <v>34</v>
      </c>
      <c r="C24" s="11">
        <v>15</v>
      </c>
      <c r="D24" s="11">
        <v>851.86</v>
      </c>
      <c r="E24" s="11">
        <v>96.53</v>
      </c>
      <c r="F24" s="11">
        <v>157.51</v>
      </c>
      <c r="G24" s="12">
        <f t="shared" si="0"/>
        <v>0.15604783181588514</v>
      </c>
      <c r="H24" s="11">
        <v>17.190000000000001</v>
      </c>
      <c r="I24" s="11">
        <v>4.99</v>
      </c>
      <c r="J24" s="11">
        <v>1.05</v>
      </c>
      <c r="K24" s="11">
        <v>-59.9</v>
      </c>
      <c r="L24" s="11">
        <v>0</v>
      </c>
    </row>
    <row r="25" spans="1:12" ht="15.75" customHeight="1">
      <c r="A25" s="9" t="str">
        <f ca="1">IFERROR(__xludf.dummyfunction("QUERY('Сountries_list'!A6:B194, ""SELECT A WHERE '""&amp;B25&amp;""' = B"")"),"Belgium")</f>
        <v>Belgium</v>
      </c>
      <c r="B25" s="10" t="s">
        <v>35</v>
      </c>
      <c r="C25" s="11">
        <v>11</v>
      </c>
      <c r="D25" s="11">
        <v>897.19</v>
      </c>
      <c r="E25" s="11">
        <v>83.43</v>
      </c>
      <c r="F25" s="11">
        <v>154.69</v>
      </c>
      <c r="G25" s="12">
        <f t="shared" si="0"/>
        <v>0.14706050119785524</v>
      </c>
      <c r="H25" s="11">
        <v>17.899999999999999</v>
      </c>
      <c r="I25" s="11">
        <v>0</v>
      </c>
      <c r="J25" s="11">
        <v>0</v>
      </c>
      <c r="K25" s="11">
        <v>0</v>
      </c>
      <c r="L25" s="11">
        <v>0</v>
      </c>
    </row>
    <row r="26" spans="1:12" ht="15.75" customHeight="1">
      <c r="A26" s="9" t="str">
        <f ca="1">IFERROR(__xludf.dummyfunction("QUERY('Сountries_list'!A52:B239, ""SELECT A WHERE '""&amp;B26&amp;""' = B"")"),"Peru")</f>
        <v>Peru</v>
      </c>
      <c r="B26" s="10" t="s">
        <v>36</v>
      </c>
      <c r="C26" s="11">
        <v>10</v>
      </c>
      <c r="D26" s="11">
        <v>881.1</v>
      </c>
      <c r="E26" s="11">
        <v>0</v>
      </c>
      <c r="F26" s="11">
        <v>267.95999999999998</v>
      </c>
      <c r="G26" s="12">
        <f t="shared" si="0"/>
        <v>0.23319931074095346</v>
      </c>
      <c r="H26" s="11">
        <v>0</v>
      </c>
      <c r="I26" s="11">
        <v>0</v>
      </c>
      <c r="J26" s="11">
        <v>0</v>
      </c>
      <c r="K26" s="11">
        <v>-36.79</v>
      </c>
      <c r="L26" s="11">
        <v>0</v>
      </c>
    </row>
    <row r="27" spans="1:12" ht="15.75" customHeight="1">
      <c r="A27" s="9" t="str">
        <f ca="1">IFERROR(__xludf.dummyfunction("QUERY('Сountries_list'!A46:B233, ""SELECT A WHERE '""&amp;B27&amp;""' = B"")"),"Malaysia")</f>
        <v>Malaysia</v>
      </c>
      <c r="B27" s="10" t="s">
        <v>37</v>
      </c>
      <c r="C27" s="11">
        <v>10</v>
      </c>
      <c r="D27" s="11">
        <v>845.21</v>
      </c>
      <c r="E27" s="11">
        <v>0</v>
      </c>
      <c r="F27" s="11">
        <v>208.08</v>
      </c>
      <c r="G27" s="12">
        <f t="shared" si="0"/>
        <v>0.19755243095443803</v>
      </c>
      <c r="H27" s="11">
        <v>0</v>
      </c>
      <c r="I27" s="11">
        <v>0</v>
      </c>
      <c r="J27" s="11">
        <v>0</v>
      </c>
      <c r="K27" s="11">
        <v>-32.65</v>
      </c>
      <c r="L27" s="11">
        <v>0</v>
      </c>
    </row>
    <row r="28" spans="1:12" ht="15.75" customHeight="1">
      <c r="A28" s="9" t="str">
        <f ca="1">IFERROR(__xludf.dummyfunction("QUERY('Сountries_list'!A62:B249, ""SELECT A WHERE '""&amp;B28&amp;""' = B"")"),"Sweden")</f>
        <v>Sweden</v>
      </c>
      <c r="B28" s="10" t="s">
        <v>38</v>
      </c>
      <c r="C28" s="11">
        <v>10</v>
      </c>
      <c r="D28" s="11">
        <v>564.35</v>
      </c>
      <c r="E28" s="11">
        <v>75.58</v>
      </c>
      <c r="F28" s="11">
        <v>124.44</v>
      </c>
      <c r="G28" s="12">
        <f t="shared" si="0"/>
        <v>0.18066464379564165</v>
      </c>
      <c r="H28" s="11">
        <v>15.84</v>
      </c>
      <c r="I28" s="11">
        <v>0</v>
      </c>
      <c r="J28" s="11">
        <v>0</v>
      </c>
      <c r="K28" s="11">
        <v>-2</v>
      </c>
      <c r="L28" s="11">
        <v>0</v>
      </c>
    </row>
    <row r="29" spans="1:12" ht="15.75" customHeight="1">
      <c r="A29" s="9" t="str">
        <f ca="1">IFERROR(__xludf.dummyfunction("QUERY('Сountries_list'!A66:B253, ""SELECT A WHERE '""&amp;B29&amp;""' = B"")"),"Thailand")</f>
        <v>Thailand</v>
      </c>
      <c r="B29" s="10" t="s">
        <v>39</v>
      </c>
      <c r="C29" s="11">
        <v>9</v>
      </c>
      <c r="D29" s="11">
        <v>689.73</v>
      </c>
      <c r="E29" s="11">
        <v>0</v>
      </c>
      <c r="F29" s="11">
        <v>135.94</v>
      </c>
      <c r="G29" s="12">
        <f t="shared" si="0"/>
        <v>0.16464204827594559</v>
      </c>
      <c r="H29" s="11">
        <v>0</v>
      </c>
      <c r="I29" s="11">
        <v>0</v>
      </c>
      <c r="J29" s="11">
        <v>0</v>
      </c>
      <c r="K29" s="11">
        <v>-40.58</v>
      </c>
      <c r="L29" s="11">
        <v>0</v>
      </c>
    </row>
    <row r="30" spans="1:12" ht="15.75" customHeight="1">
      <c r="A30" s="9" t="str">
        <f ca="1">IFERROR(__xludf.dummyfunction("QUERY('Сountries_list'!A40:B227, ""SELECT A WHERE '""&amp;B30&amp;""' = B"")"),"Kuwait")</f>
        <v>Kuwait</v>
      </c>
      <c r="B30" s="10" t="s">
        <v>40</v>
      </c>
      <c r="C30" s="11">
        <v>9</v>
      </c>
      <c r="D30" s="11">
        <v>630.58000000000004</v>
      </c>
      <c r="E30" s="11">
        <v>0</v>
      </c>
      <c r="F30" s="11">
        <v>106.96</v>
      </c>
      <c r="G30" s="12">
        <f t="shared" si="0"/>
        <v>0.14502264283971036</v>
      </c>
      <c r="H30" s="11">
        <v>0</v>
      </c>
      <c r="I30" s="11">
        <v>0</v>
      </c>
      <c r="J30" s="11">
        <v>0</v>
      </c>
      <c r="K30" s="11">
        <v>-54.91</v>
      </c>
      <c r="L30" s="11">
        <v>0</v>
      </c>
    </row>
    <row r="31" spans="1:12" ht="15.75" customHeight="1">
      <c r="A31" s="9" t="str">
        <f ca="1">IFERROR(__xludf.dummyfunction("QUERY('Сountries_list'!A7:B195, ""SELECT A WHERE '""&amp;B31&amp;""' = B"")"),"Bahrain")</f>
        <v>Bahrain</v>
      </c>
      <c r="B31" s="10" t="s">
        <v>41</v>
      </c>
      <c r="C31" s="11">
        <v>8</v>
      </c>
      <c r="D31" s="11">
        <v>695.27</v>
      </c>
      <c r="E31" s="11">
        <v>0</v>
      </c>
      <c r="F31" s="11">
        <v>236.24</v>
      </c>
      <c r="G31" s="12">
        <f t="shared" si="0"/>
        <v>0.25360973043767648</v>
      </c>
      <c r="H31" s="11">
        <v>0</v>
      </c>
      <c r="I31" s="11">
        <v>0</v>
      </c>
      <c r="J31" s="11">
        <v>0</v>
      </c>
      <c r="K31" s="11">
        <v>-22</v>
      </c>
      <c r="L31" s="11">
        <v>0</v>
      </c>
    </row>
    <row r="32" spans="1:12" ht="15.75" customHeight="1">
      <c r="A32" s="9" t="str">
        <f ca="1">IFERROR(__xludf.dummyfunction("QUERY('Сountries_list'!A49:B236, ""SELECT A WHERE '""&amp;B32&amp;""' = B"")"),"Norway")</f>
        <v>Norway</v>
      </c>
      <c r="B32" s="10" t="s">
        <v>42</v>
      </c>
      <c r="C32" s="11">
        <v>8</v>
      </c>
      <c r="D32" s="11">
        <v>633.26</v>
      </c>
      <c r="E32" s="11">
        <v>99.35</v>
      </c>
      <c r="F32" s="11">
        <v>175.58</v>
      </c>
      <c r="G32" s="12">
        <f t="shared" si="0"/>
        <v>0.21707630680975223</v>
      </c>
      <c r="H32" s="11">
        <v>20.350000000000001</v>
      </c>
      <c r="I32" s="11">
        <v>0</v>
      </c>
      <c r="J32" s="11">
        <v>0</v>
      </c>
      <c r="K32" s="11">
        <v>-6</v>
      </c>
      <c r="L32" s="11">
        <v>0</v>
      </c>
    </row>
    <row r="33" spans="1:12" ht="15.75" customHeight="1">
      <c r="A33" s="9" t="str">
        <f ca="1">IFERROR(__xludf.dummyfunction("QUERY('Сountries_list'!A14:B202, ""SELECT A WHERE '""&amp;B33&amp;""' = B"")"),"Costa Rica")</f>
        <v>Costa Rica</v>
      </c>
      <c r="B33" s="10" t="s">
        <v>43</v>
      </c>
      <c r="C33" s="11">
        <v>8</v>
      </c>
      <c r="D33" s="11">
        <v>542.76</v>
      </c>
      <c r="E33" s="11">
        <v>0</v>
      </c>
      <c r="F33" s="11">
        <v>126.15</v>
      </c>
      <c r="G33" s="12">
        <f t="shared" si="0"/>
        <v>0.1885903933264565</v>
      </c>
      <c r="H33" s="11">
        <v>0</v>
      </c>
      <c r="I33" s="11">
        <v>0</v>
      </c>
      <c r="J33" s="11">
        <v>0</v>
      </c>
      <c r="K33" s="11">
        <v>-38.31</v>
      </c>
      <c r="L33" s="11">
        <v>0</v>
      </c>
    </row>
    <row r="34" spans="1:12" ht="15.75" customHeight="1">
      <c r="A34" s="9" t="str">
        <f ca="1">IFERROR(__xludf.dummyfunction("QUERY('Сountries_list'!A2:B190, ""SELECT A WHERE '""&amp;B34&amp;""' = B"")"),"United Arab Emirates")</f>
        <v>United Arab Emirates</v>
      </c>
      <c r="B34" s="10" t="s">
        <v>44</v>
      </c>
      <c r="C34" s="11">
        <v>8</v>
      </c>
      <c r="D34" s="11">
        <v>555.09</v>
      </c>
      <c r="E34" s="11">
        <v>0</v>
      </c>
      <c r="F34" s="11">
        <v>116.4</v>
      </c>
      <c r="G34" s="12">
        <f t="shared" ref="G34:G65" si="1">F34/(D34+F34)</f>
        <v>0.1733458428271456</v>
      </c>
      <c r="H34" s="11">
        <v>0</v>
      </c>
      <c r="I34" s="11">
        <v>0</v>
      </c>
      <c r="J34" s="11">
        <v>0</v>
      </c>
      <c r="K34" s="11">
        <v>0</v>
      </c>
      <c r="L34" s="11">
        <v>0</v>
      </c>
    </row>
    <row r="35" spans="1:12" ht="15.75" customHeight="1">
      <c r="A35" s="9" t="str">
        <f ca="1">IFERROR(__xludf.dummyfunction("QUERY('Сountries_list'!A15:B203, ""SELECT A WHERE '""&amp;B35&amp;""' = B"")"),"Cyprus")</f>
        <v>Cyprus</v>
      </c>
      <c r="B35" s="10" t="s">
        <v>45</v>
      </c>
      <c r="C35" s="11">
        <v>8</v>
      </c>
      <c r="D35" s="11">
        <v>475.83</v>
      </c>
      <c r="E35" s="11">
        <v>0</v>
      </c>
      <c r="F35" s="11">
        <v>75.16</v>
      </c>
      <c r="G35" s="12">
        <f t="shared" si="1"/>
        <v>0.13640900923791718</v>
      </c>
      <c r="H35" s="11">
        <v>0</v>
      </c>
      <c r="I35" s="11">
        <v>0</v>
      </c>
      <c r="J35" s="11">
        <v>0</v>
      </c>
      <c r="K35" s="11">
        <v>-10.5</v>
      </c>
      <c r="L35" s="11">
        <v>0</v>
      </c>
    </row>
    <row r="36" spans="1:12" ht="15.75" customHeight="1">
      <c r="A36" s="9" t="str">
        <f ca="1">IFERROR(__xludf.dummyfunction("QUERY('Сountries_list'!A26:B213, ""SELECT A WHERE '""&amp;B36&amp;""' = B"")"),"Ghana")</f>
        <v>Ghana</v>
      </c>
      <c r="B36" s="10" t="s">
        <v>46</v>
      </c>
      <c r="C36" s="11">
        <v>7</v>
      </c>
      <c r="D36" s="11">
        <v>619.79</v>
      </c>
      <c r="E36" s="11">
        <v>0</v>
      </c>
      <c r="F36" s="11">
        <v>380.89</v>
      </c>
      <c r="G36" s="12">
        <f t="shared" si="1"/>
        <v>0.38063117080385339</v>
      </c>
      <c r="H36" s="11">
        <v>0</v>
      </c>
      <c r="I36" s="11">
        <v>0</v>
      </c>
      <c r="J36" s="11">
        <v>0</v>
      </c>
      <c r="K36" s="11">
        <v>0</v>
      </c>
      <c r="L36" s="11">
        <v>0</v>
      </c>
    </row>
    <row r="37" spans="1:12" ht="15.75" customHeight="1">
      <c r="A37" s="9" t="str">
        <f ca="1">IFERROR(__xludf.dummyfunction("QUERY('Сountries_list'!A18:B206, ""SELECT A WHERE '""&amp;B37&amp;""' = B"")"),"Denmark")</f>
        <v>Denmark</v>
      </c>
      <c r="B37" s="10" t="s">
        <v>47</v>
      </c>
      <c r="C37" s="11">
        <v>7</v>
      </c>
      <c r="D37" s="11">
        <v>429.79</v>
      </c>
      <c r="E37" s="11">
        <v>32.47</v>
      </c>
      <c r="F37" s="11">
        <v>88.47</v>
      </c>
      <c r="G37" s="12">
        <f t="shared" si="1"/>
        <v>0.17070582333191833</v>
      </c>
      <c r="H37" s="11">
        <v>5.96</v>
      </c>
      <c r="I37" s="11">
        <v>0</v>
      </c>
      <c r="J37" s="11">
        <v>0</v>
      </c>
      <c r="K37" s="11">
        <v>-2</v>
      </c>
      <c r="L37" s="11">
        <v>0</v>
      </c>
    </row>
    <row r="38" spans="1:12" ht="15.75" customHeight="1">
      <c r="A38" s="9" t="str">
        <f ca="1">IFERROR(__xludf.dummyfunction("QUERY('Сountries_list'!A56:B243, ""SELECT A WHERE '""&amp;B38&amp;""' = B"")"),"Portugal")</f>
        <v>Portugal</v>
      </c>
      <c r="B38" s="10" t="s">
        <v>48</v>
      </c>
      <c r="C38" s="11">
        <v>7</v>
      </c>
      <c r="D38" s="11">
        <v>321.37</v>
      </c>
      <c r="E38" s="11">
        <v>13.24</v>
      </c>
      <c r="F38" s="11">
        <v>44.3</v>
      </c>
      <c r="G38" s="12">
        <f t="shared" si="1"/>
        <v>0.12114748270298355</v>
      </c>
      <c r="H38" s="11">
        <v>0.72</v>
      </c>
      <c r="I38" s="11">
        <v>0</v>
      </c>
      <c r="J38" s="11">
        <v>0</v>
      </c>
      <c r="K38" s="11">
        <v>0</v>
      </c>
      <c r="L38" s="11">
        <v>0</v>
      </c>
    </row>
    <row r="39" spans="1:12" ht="15.75" customHeight="1">
      <c r="A39" s="9" t="str">
        <f ca="1">IFERROR(__xludf.dummyfunction("QUERY('Сountries_list'!A47:B234, ""SELECT A WHERE '""&amp;B39&amp;""' = B"")"),"Nigeria")</f>
        <v>Nigeria</v>
      </c>
      <c r="B39" s="10" t="s">
        <v>49</v>
      </c>
      <c r="C39" s="11">
        <v>6</v>
      </c>
      <c r="D39" s="11">
        <v>427.3</v>
      </c>
      <c r="E39" s="11">
        <v>0</v>
      </c>
      <c r="F39" s="11">
        <v>121.86</v>
      </c>
      <c r="G39" s="12">
        <f t="shared" si="1"/>
        <v>0.22190254206424359</v>
      </c>
      <c r="H39" s="11">
        <v>0</v>
      </c>
      <c r="I39" s="11">
        <v>0</v>
      </c>
      <c r="J39" s="11">
        <v>0</v>
      </c>
      <c r="K39" s="11">
        <v>-7.8</v>
      </c>
      <c r="L39" s="11">
        <v>0</v>
      </c>
    </row>
    <row r="40" spans="1:12" ht="15.75" customHeight="1">
      <c r="A40" s="9" t="str">
        <f ca="1">IFERROR(__xludf.dummyfunction("QUERY('Сountries_list'!A67:B254, ""SELECT A WHERE '""&amp;B40&amp;""' = B"")"),"Turkey")</f>
        <v>Turkey</v>
      </c>
      <c r="B40" s="10" t="s">
        <v>50</v>
      </c>
      <c r="C40" s="11">
        <v>6</v>
      </c>
      <c r="D40" s="11">
        <v>579.82000000000005</v>
      </c>
      <c r="E40" s="11">
        <v>0</v>
      </c>
      <c r="F40" s="11">
        <v>120.44</v>
      </c>
      <c r="G40" s="12">
        <f t="shared" si="1"/>
        <v>0.17199325964641704</v>
      </c>
      <c r="H40" s="11">
        <v>0</v>
      </c>
      <c r="I40" s="11">
        <v>0</v>
      </c>
      <c r="J40" s="11">
        <v>0</v>
      </c>
      <c r="K40" s="11">
        <v>0</v>
      </c>
      <c r="L40" s="11">
        <v>0</v>
      </c>
    </row>
    <row r="41" spans="1:12" ht="15.75" customHeight="1">
      <c r="A41" s="9" t="str">
        <f ca="1">IFERROR(__xludf.dummyfunction("QUERY('Сountries_list'!A9:B197, ""SELECT A WHERE '""&amp;B41&amp;""' = B"")"),"Brazil")</f>
        <v>Brazil</v>
      </c>
      <c r="B41" s="10" t="s">
        <v>51</v>
      </c>
      <c r="C41" s="11">
        <v>6</v>
      </c>
      <c r="D41" s="11">
        <v>347.82</v>
      </c>
      <c r="E41" s="11">
        <v>0</v>
      </c>
      <c r="F41" s="11">
        <v>64.22</v>
      </c>
      <c r="G41" s="12">
        <f t="shared" si="1"/>
        <v>0.15585865449956315</v>
      </c>
      <c r="H41" s="11">
        <v>0</v>
      </c>
      <c r="I41" s="11">
        <v>0</v>
      </c>
      <c r="J41" s="11">
        <v>0</v>
      </c>
      <c r="K41" s="11">
        <v>-12.44</v>
      </c>
      <c r="L41" s="11">
        <v>0</v>
      </c>
    </row>
    <row r="42" spans="1:12" ht="15.75" customHeight="1">
      <c r="A42" s="9" t="str">
        <f ca="1">IFERROR(__xludf.dummyfunction("QUERY('Сountries_list'!A3:B191, ""SELECT A WHERE '""&amp;B42&amp;""' = B"")"),"Austria")</f>
        <v>Austria</v>
      </c>
      <c r="B42" s="10" t="s">
        <v>52</v>
      </c>
      <c r="C42" s="11">
        <v>6</v>
      </c>
      <c r="D42" s="11">
        <v>329.85</v>
      </c>
      <c r="E42" s="11">
        <v>17.989999999999998</v>
      </c>
      <c r="F42" s="11">
        <v>42.62</v>
      </c>
      <c r="G42" s="12">
        <f t="shared" si="1"/>
        <v>0.11442532284479286</v>
      </c>
      <c r="H42" s="11">
        <v>2.29</v>
      </c>
      <c r="I42" s="11">
        <v>0</v>
      </c>
      <c r="J42" s="11">
        <v>0</v>
      </c>
      <c r="K42" s="11">
        <v>-7</v>
      </c>
      <c r="L42" s="11">
        <v>0</v>
      </c>
    </row>
    <row r="43" spans="1:12" ht="15.75" customHeight="1">
      <c r="A43" s="9" t="str">
        <f ca="1">IFERROR(__xludf.dummyfunction("QUERY('Сountries_list'!A34:B221, ""SELECT A WHERE '""&amp;B43&amp;""' = B"")"),"Iceland")</f>
        <v>Iceland</v>
      </c>
      <c r="B43" s="10" t="s">
        <v>53</v>
      </c>
      <c r="C43" s="11">
        <v>5</v>
      </c>
      <c r="D43" s="11">
        <v>342.37</v>
      </c>
      <c r="E43" s="11">
        <v>0</v>
      </c>
      <c r="F43" s="11">
        <v>95.58</v>
      </c>
      <c r="G43" s="12">
        <f t="shared" si="1"/>
        <v>0.21824409179130039</v>
      </c>
      <c r="H43" s="11">
        <v>0</v>
      </c>
      <c r="I43" s="11">
        <v>0</v>
      </c>
      <c r="J43" s="11">
        <v>0</v>
      </c>
      <c r="K43" s="11">
        <v>0</v>
      </c>
      <c r="L43" s="11">
        <v>0</v>
      </c>
    </row>
    <row r="44" spans="1:12" ht="15.75" customHeight="1">
      <c r="A44" s="9" t="str">
        <f ca="1">IFERROR(__xludf.dummyfunction("QUERY('Сountries_list'!A35:B222, ""SELECT A WHERE '""&amp;B44&amp;""' = B"")"),"Italy")</f>
        <v>Italy</v>
      </c>
      <c r="B44" s="10" t="s">
        <v>54</v>
      </c>
      <c r="C44" s="11">
        <v>5</v>
      </c>
      <c r="D44" s="11">
        <v>640.35</v>
      </c>
      <c r="E44" s="11">
        <v>92.72</v>
      </c>
      <c r="F44" s="11">
        <v>161.07</v>
      </c>
      <c r="G44" s="12">
        <f t="shared" si="1"/>
        <v>0.20098075915250427</v>
      </c>
      <c r="H44" s="11">
        <v>17.82</v>
      </c>
      <c r="I44" s="11">
        <v>0</v>
      </c>
      <c r="J44" s="11">
        <v>0</v>
      </c>
      <c r="K44" s="11">
        <v>-18.899999999999999</v>
      </c>
      <c r="L44" s="11">
        <v>0</v>
      </c>
    </row>
    <row r="45" spans="1:12" ht="15.75" customHeight="1">
      <c r="A45" s="9" t="str">
        <f ca="1">IFERROR(__xludf.dummyfunction("QUERY('Сountries_list'!A16:B204, ""SELECT A WHERE '""&amp;B45&amp;""' = B"")"),"Czech Republic")</f>
        <v>Czech Republic</v>
      </c>
      <c r="B45" s="10" t="s">
        <v>55</v>
      </c>
      <c r="C45" s="11">
        <v>5</v>
      </c>
      <c r="D45" s="11">
        <v>247.43</v>
      </c>
      <c r="E45" s="11">
        <v>41.14</v>
      </c>
      <c r="F45" s="11">
        <v>52.74</v>
      </c>
      <c r="G45" s="12">
        <f t="shared" si="1"/>
        <v>0.17570043641936237</v>
      </c>
      <c r="H45" s="11">
        <v>8.5</v>
      </c>
      <c r="I45" s="11">
        <v>0</v>
      </c>
      <c r="J45" s="11">
        <v>0</v>
      </c>
      <c r="K45" s="11">
        <v>-21.51</v>
      </c>
      <c r="L45" s="11">
        <v>0</v>
      </c>
    </row>
    <row r="46" spans="1:12" ht="15.75" customHeight="1">
      <c r="A46" s="9" t="str">
        <f ca="1">IFERROR(__xludf.dummyfunction("QUERY('Сountries_list'!A19:B207, ""SELECT A WHERE '""&amp;B46&amp;""' = B"")"),"Estonia")</f>
        <v>Estonia</v>
      </c>
      <c r="B46" s="10" t="s">
        <v>56</v>
      </c>
      <c r="C46" s="11">
        <v>5</v>
      </c>
      <c r="D46" s="11">
        <v>307.45999999999998</v>
      </c>
      <c r="E46" s="11">
        <v>46.34</v>
      </c>
      <c r="F46" s="11">
        <v>62.43</v>
      </c>
      <c r="G46" s="12">
        <f t="shared" si="1"/>
        <v>0.16877990754007949</v>
      </c>
      <c r="H46" s="11">
        <v>9.56</v>
      </c>
      <c r="I46" s="11">
        <v>0</v>
      </c>
      <c r="J46" s="11">
        <v>0</v>
      </c>
      <c r="K46" s="11">
        <v>-5.76</v>
      </c>
      <c r="L46" s="11">
        <v>0</v>
      </c>
    </row>
    <row r="47" spans="1:12" ht="15.75" customHeight="1">
      <c r="A47" s="9" t="str">
        <f ca="1">IFERROR(__xludf.dummyfunction("QUERY('Сountries_list'!A8:B196, ""SELECT A WHERE '""&amp;B47&amp;""' = B"")"),"Bermuda")</f>
        <v>Bermuda</v>
      </c>
      <c r="B47" s="10" t="s">
        <v>57</v>
      </c>
      <c r="C47" s="11">
        <v>5</v>
      </c>
      <c r="D47" s="11">
        <v>538.66999999999996</v>
      </c>
      <c r="E47" s="11">
        <v>0</v>
      </c>
      <c r="F47" s="11">
        <v>100.68</v>
      </c>
      <c r="G47" s="12">
        <f t="shared" si="1"/>
        <v>0.15747243293970442</v>
      </c>
      <c r="H47" s="11">
        <v>0</v>
      </c>
      <c r="I47" s="11">
        <v>0</v>
      </c>
      <c r="J47" s="11">
        <v>0</v>
      </c>
      <c r="K47" s="11">
        <v>-27</v>
      </c>
      <c r="L47" s="11">
        <v>0</v>
      </c>
    </row>
    <row r="48" spans="1:12" ht="15.75" customHeight="1">
      <c r="A48" s="9" t="str">
        <f ca="1">IFERROR(__xludf.dummyfunction("QUERY('Сountries_list'!A64:B251, ""SELECT A WHERE '""&amp;B48&amp;""' = B"")"),"Slovenia")</f>
        <v>Slovenia</v>
      </c>
      <c r="B48" s="10" t="s">
        <v>58</v>
      </c>
      <c r="C48" s="11">
        <v>4</v>
      </c>
      <c r="D48" s="11">
        <v>295.83999999999997</v>
      </c>
      <c r="E48" s="11">
        <v>50.57</v>
      </c>
      <c r="F48" s="11">
        <v>72.66</v>
      </c>
      <c r="G48" s="12">
        <f t="shared" si="1"/>
        <v>0.1971777476255088</v>
      </c>
      <c r="H48" s="11">
        <v>10.51</v>
      </c>
      <c r="I48" s="11">
        <v>0</v>
      </c>
      <c r="J48" s="11">
        <v>0</v>
      </c>
      <c r="K48" s="11">
        <v>0</v>
      </c>
      <c r="L48" s="11">
        <v>0</v>
      </c>
    </row>
    <row r="49" spans="1:12" ht="15.75" customHeight="1">
      <c r="A49" s="9" t="str">
        <f ca="1">IFERROR(__xludf.dummyfunction("QUERY('Сountries_list'!A30:B217, ""SELECT A WHERE '""&amp;B49&amp;""' = B"")"),"Hungary")</f>
        <v>Hungary</v>
      </c>
      <c r="B49" s="10" t="s">
        <v>59</v>
      </c>
      <c r="C49" s="11">
        <v>4</v>
      </c>
      <c r="D49" s="11">
        <v>277.39</v>
      </c>
      <c r="E49" s="11">
        <v>74.89</v>
      </c>
      <c r="F49" s="11">
        <v>56.83</v>
      </c>
      <c r="G49" s="12">
        <f t="shared" si="1"/>
        <v>0.17003769971874813</v>
      </c>
      <c r="H49" s="11">
        <v>15.35</v>
      </c>
      <c r="I49" s="11">
        <v>0</v>
      </c>
      <c r="J49" s="11">
        <v>0</v>
      </c>
      <c r="K49" s="11">
        <v>0</v>
      </c>
      <c r="L49" s="11">
        <v>0</v>
      </c>
    </row>
    <row r="50" spans="1:12" ht="15.75" customHeight="1">
      <c r="A50" s="9" t="str">
        <f ca="1">IFERROR(__xludf.dummyfunction("QUERY('Сountries_list'!A51:B238, ""SELECT A WHERE '""&amp;B50&amp;""' = B"")"),"Oman")</f>
        <v>Oman</v>
      </c>
      <c r="B50" s="10" t="s">
        <v>60</v>
      </c>
      <c r="C50" s="11">
        <v>4</v>
      </c>
      <c r="D50" s="11">
        <v>377.39</v>
      </c>
      <c r="E50" s="11">
        <v>0</v>
      </c>
      <c r="F50" s="11">
        <v>63.32</v>
      </c>
      <c r="G50" s="12">
        <f t="shared" si="1"/>
        <v>0.14367724807696672</v>
      </c>
      <c r="H50" s="11">
        <v>0</v>
      </c>
      <c r="I50" s="11">
        <v>0</v>
      </c>
      <c r="J50" s="11">
        <v>0</v>
      </c>
      <c r="K50" s="11">
        <v>0</v>
      </c>
      <c r="L50" s="11">
        <v>0</v>
      </c>
    </row>
    <row r="51" spans="1:12" ht="15.75" customHeight="1">
      <c r="A51" s="9" t="str">
        <f ca="1">IFERROR(__xludf.dummyfunction("QUERY('Сountries_list'!A60:B247, ""SELECT A WHERE '""&amp;B51&amp;""' = B"")"),"Russian Federation")</f>
        <v>Russian Federation</v>
      </c>
      <c r="B51" s="10" t="s">
        <v>61</v>
      </c>
      <c r="C51" s="11">
        <v>3</v>
      </c>
      <c r="D51" s="11">
        <v>209.91</v>
      </c>
      <c r="E51" s="11">
        <v>0</v>
      </c>
      <c r="F51" s="11">
        <v>60.21</v>
      </c>
      <c r="G51" s="12">
        <f t="shared" si="1"/>
        <v>0.2229009329187028</v>
      </c>
      <c r="H51" s="11">
        <v>0</v>
      </c>
      <c r="I51" s="11">
        <v>0</v>
      </c>
      <c r="J51" s="11">
        <v>0</v>
      </c>
      <c r="K51" s="11">
        <v>-25.89</v>
      </c>
      <c r="L51" s="11">
        <v>0</v>
      </c>
    </row>
    <row r="52" spans="1:12" ht="15.75" customHeight="1">
      <c r="A52" s="9" t="str">
        <f ca="1">IFERROR(__xludf.dummyfunction("QUERY('Сountries_list'!A25:B212, ""SELECT A WHERE '""&amp;B52&amp;""' = B"")"),"French Guiana")</f>
        <v>French Guiana</v>
      </c>
      <c r="B52" s="10" t="s">
        <v>62</v>
      </c>
      <c r="C52" s="11">
        <v>3</v>
      </c>
      <c r="D52" s="11">
        <v>139.94</v>
      </c>
      <c r="E52" s="11">
        <v>0</v>
      </c>
      <c r="F52" s="11">
        <v>37.42</v>
      </c>
      <c r="G52" s="12">
        <f t="shared" si="1"/>
        <v>0.21098331078033378</v>
      </c>
      <c r="H52" s="11">
        <v>0</v>
      </c>
      <c r="I52" s="11">
        <v>0</v>
      </c>
      <c r="J52" s="11">
        <v>0</v>
      </c>
      <c r="K52" s="11">
        <v>-3.5</v>
      </c>
      <c r="L52" s="11">
        <v>0</v>
      </c>
    </row>
    <row r="53" spans="1:12" ht="15.75" customHeight="1">
      <c r="A53" s="9" t="str">
        <f ca="1">IFERROR(__xludf.dummyfunction("QUERY('Сountries_list'!A31:B218, ""SELECT A WHERE '""&amp;B53&amp;""' = B"")"),"Indonesia")</f>
        <v>Indonesia</v>
      </c>
      <c r="B53" s="10" t="s">
        <v>63</v>
      </c>
      <c r="C53" s="11">
        <v>3</v>
      </c>
      <c r="D53" s="11">
        <v>239.91</v>
      </c>
      <c r="E53" s="11">
        <v>0</v>
      </c>
      <c r="F53" s="11">
        <v>61.48</v>
      </c>
      <c r="G53" s="12">
        <f t="shared" si="1"/>
        <v>0.20398818806197949</v>
      </c>
      <c r="H53" s="11">
        <v>0</v>
      </c>
      <c r="I53" s="11">
        <v>0</v>
      </c>
      <c r="J53" s="11">
        <v>0</v>
      </c>
      <c r="K53" s="11">
        <v>0</v>
      </c>
      <c r="L53" s="11">
        <v>0</v>
      </c>
    </row>
    <row r="54" spans="1:12" ht="15.75" customHeight="1">
      <c r="A54" s="9" t="str">
        <f ca="1">IFERROR(__xludf.dummyfunction("QUERY('Сountries_list'!A68:B255, ""SELECT A WHERE '""&amp;B54&amp;""' = B"")"),"Trinidad and Tobago")</f>
        <v>Trinidad and Tobago</v>
      </c>
      <c r="B54" s="10" t="s">
        <v>64</v>
      </c>
      <c r="C54" s="11">
        <v>3</v>
      </c>
      <c r="D54" s="11">
        <v>245.91</v>
      </c>
      <c r="E54" s="11">
        <v>0</v>
      </c>
      <c r="F54" s="11">
        <v>60.1</v>
      </c>
      <c r="G54" s="12">
        <f t="shared" si="1"/>
        <v>0.19639881049638902</v>
      </c>
      <c r="H54" s="11">
        <v>0</v>
      </c>
      <c r="I54" s="11">
        <v>0</v>
      </c>
      <c r="J54" s="11">
        <v>0</v>
      </c>
      <c r="K54" s="11">
        <v>0</v>
      </c>
      <c r="L54" s="11">
        <v>0</v>
      </c>
    </row>
    <row r="55" spans="1:12" ht="15.75" customHeight="1">
      <c r="A55" s="9" t="str">
        <f ca="1">IFERROR(__xludf.dummyfunction("QUERY('Сountries_list'!A57:B244, ""SELECT A WHERE '""&amp;B55&amp;""' = B"")"),"Qatar")</f>
        <v>Qatar</v>
      </c>
      <c r="B55" s="10" t="s">
        <v>65</v>
      </c>
      <c r="C55" s="11">
        <v>3</v>
      </c>
      <c r="D55" s="11">
        <v>289.91000000000003</v>
      </c>
      <c r="E55" s="11">
        <v>0</v>
      </c>
      <c r="F55" s="11">
        <v>51.69</v>
      </c>
      <c r="G55" s="12">
        <f t="shared" si="1"/>
        <v>0.15131733021077282</v>
      </c>
      <c r="H55" s="11">
        <v>0</v>
      </c>
      <c r="I55" s="11">
        <v>4.99</v>
      </c>
      <c r="J55" s="11">
        <v>0</v>
      </c>
      <c r="K55" s="11">
        <v>0</v>
      </c>
      <c r="L55" s="11">
        <v>0</v>
      </c>
    </row>
    <row r="56" spans="1:12" ht="15.75" customHeight="1">
      <c r="A56" s="9" t="str">
        <f ca="1">IFERROR(__xludf.dummyfunction("QUERY('Сountries_list'!A72:B259, ""SELECT A WHERE '""&amp;B56&amp;""' = B"")"),"Virgin Islands ")</f>
        <v xml:space="preserve">Virgin Islands </v>
      </c>
      <c r="B56" s="10" t="s">
        <v>66</v>
      </c>
      <c r="C56" s="11">
        <v>3</v>
      </c>
      <c r="D56" s="11">
        <v>249.91</v>
      </c>
      <c r="E56" s="11">
        <v>0</v>
      </c>
      <c r="F56" s="11">
        <v>17.87</v>
      </c>
      <c r="G56" s="12">
        <f t="shared" si="1"/>
        <v>6.6733886025842126E-2</v>
      </c>
      <c r="H56" s="11">
        <v>0</v>
      </c>
      <c r="I56" s="11">
        <v>0</v>
      </c>
      <c r="J56" s="11">
        <v>0</v>
      </c>
      <c r="K56" s="11">
        <v>0</v>
      </c>
      <c r="L56" s="11">
        <v>0</v>
      </c>
    </row>
    <row r="57" spans="1:12" ht="15.75" customHeight="1">
      <c r="A57" s="9" t="str">
        <f ca="1">IFERROR(__xludf.dummyfunction("QUERY('Сountries_list'!A44:B231, ""SELECT A WHERE '""&amp;B57&amp;""' = B"")"),"Mauritius")</f>
        <v>Mauritius</v>
      </c>
      <c r="B57" s="10" t="s">
        <v>67</v>
      </c>
      <c r="C57" s="11">
        <v>2</v>
      </c>
      <c r="D57" s="11">
        <v>157.94</v>
      </c>
      <c r="E57" s="11">
        <v>0</v>
      </c>
      <c r="F57" s="11">
        <v>90.97</v>
      </c>
      <c r="G57" s="12">
        <f t="shared" si="1"/>
        <v>0.36547346430436706</v>
      </c>
      <c r="H57" s="11">
        <v>0</v>
      </c>
      <c r="I57" s="11">
        <v>0</v>
      </c>
      <c r="J57" s="11">
        <v>0</v>
      </c>
      <c r="K57" s="11">
        <v>0</v>
      </c>
      <c r="L57" s="11">
        <v>0</v>
      </c>
    </row>
    <row r="58" spans="1:12" ht="15.75" customHeight="1">
      <c r="A58" s="9" t="str">
        <f ca="1">IFERROR(__xludf.dummyfunction("QUERY('Сountries_list'!A28:B215, ""SELECT A WHERE '""&amp;B58&amp;""' = B"")"),"Guam")</f>
        <v>Guam</v>
      </c>
      <c r="B58" s="10" t="s">
        <v>68</v>
      </c>
      <c r="C58" s="11">
        <v>2</v>
      </c>
      <c r="D58" s="11">
        <v>116.84</v>
      </c>
      <c r="E58" s="11">
        <v>0</v>
      </c>
      <c r="F58" s="11">
        <v>20.260000000000002</v>
      </c>
      <c r="G58" s="12">
        <f t="shared" si="1"/>
        <v>0.1477753464624362</v>
      </c>
      <c r="H58" s="11">
        <v>0</v>
      </c>
      <c r="I58" s="11">
        <v>0</v>
      </c>
      <c r="J58" s="11">
        <v>0</v>
      </c>
      <c r="K58" s="11">
        <v>0</v>
      </c>
      <c r="L58" s="11">
        <v>0</v>
      </c>
    </row>
    <row r="59" spans="1:12" ht="15.75" customHeight="1">
      <c r="A59" s="9" t="str">
        <f ca="1">IFERROR(__xludf.dummyfunction("QUERY('Сountries_list'!A59:B246, ""SELECT A WHERE '""&amp;B59&amp;""' = B"")"),"Serbia")</f>
        <v>Serbia</v>
      </c>
      <c r="B59" s="10" t="s">
        <v>69</v>
      </c>
      <c r="C59" s="11">
        <v>1</v>
      </c>
      <c r="D59" s="11">
        <v>55.19</v>
      </c>
      <c r="E59" s="11">
        <v>0</v>
      </c>
      <c r="F59" s="11">
        <v>29.99</v>
      </c>
      <c r="G59" s="12">
        <f t="shared" si="1"/>
        <v>0.35207795257102609</v>
      </c>
      <c r="H59" s="11">
        <v>0</v>
      </c>
      <c r="I59" s="11">
        <v>0</v>
      </c>
      <c r="J59" s="11">
        <v>0</v>
      </c>
      <c r="K59" s="11">
        <v>0</v>
      </c>
      <c r="L59" s="11">
        <v>0</v>
      </c>
    </row>
    <row r="60" spans="1:12" ht="15.75" customHeight="1">
      <c r="A60" s="9" t="str">
        <f ca="1">IFERROR(__xludf.dummyfunction("QUERY('Сountries_list'!A5:B193, ""SELECT A WHERE '""&amp;B60&amp;""' = B"")"),"Barbados")</f>
        <v>Barbados</v>
      </c>
      <c r="B60" s="10" t="s">
        <v>70</v>
      </c>
      <c r="C60" s="11">
        <v>1</v>
      </c>
      <c r="D60" s="11">
        <v>79.97</v>
      </c>
      <c r="E60" s="11">
        <v>0</v>
      </c>
      <c r="F60" s="11">
        <v>40.770000000000003</v>
      </c>
      <c r="G60" s="12">
        <f t="shared" si="1"/>
        <v>0.33766771575285737</v>
      </c>
      <c r="H60" s="11">
        <v>0</v>
      </c>
      <c r="I60" s="11">
        <v>0</v>
      </c>
      <c r="J60" s="11">
        <v>0</v>
      </c>
      <c r="K60" s="11">
        <v>0</v>
      </c>
      <c r="L60" s="11">
        <v>0</v>
      </c>
    </row>
    <row r="61" spans="1:12" ht="15.75" customHeight="1">
      <c r="A61" s="9" t="str">
        <f ca="1">IFERROR(__xludf.dummyfunction("QUERY('Сountries_list'!A38:B225, ""SELECT A WHERE '""&amp;B61&amp;""' = B"")"),"Cambodia")</f>
        <v>Cambodia</v>
      </c>
      <c r="B61" s="10" t="s">
        <v>71</v>
      </c>
      <c r="C61" s="11">
        <v>1</v>
      </c>
      <c r="D61" s="11">
        <v>68.819999999999993</v>
      </c>
      <c r="E61" s="11">
        <v>0</v>
      </c>
      <c r="F61" s="11">
        <v>32.29</v>
      </c>
      <c r="G61" s="12">
        <f t="shared" si="1"/>
        <v>0.31935515774898632</v>
      </c>
      <c r="H61" s="11">
        <v>0</v>
      </c>
      <c r="I61" s="11">
        <v>0</v>
      </c>
      <c r="J61" s="11">
        <v>0</v>
      </c>
      <c r="K61" s="11">
        <v>0</v>
      </c>
      <c r="L61" s="11">
        <v>0</v>
      </c>
    </row>
    <row r="62" spans="1:12" ht="15.75" customHeight="1">
      <c r="A62" s="9" t="str">
        <f ca="1">IFERROR(__xludf.dummyfunction("QUERY('Сountries_list'!A36:B223, ""SELECT A WHERE '""&amp;B62&amp;""' = B"")"),"Jordan")</f>
        <v>Jordan</v>
      </c>
      <c r="B62" s="10" t="s">
        <v>72</v>
      </c>
      <c r="C62" s="11">
        <v>1</v>
      </c>
      <c r="D62" s="11">
        <v>49.97</v>
      </c>
      <c r="E62" s="11">
        <v>0</v>
      </c>
      <c r="F62" s="11">
        <v>18.88</v>
      </c>
      <c r="G62" s="12">
        <f t="shared" si="1"/>
        <v>0.27421931735657229</v>
      </c>
      <c r="H62" s="11">
        <v>0</v>
      </c>
      <c r="I62" s="11">
        <v>0</v>
      </c>
      <c r="J62" s="11">
        <v>0</v>
      </c>
      <c r="K62" s="11">
        <v>0</v>
      </c>
      <c r="L62" s="11">
        <v>0</v>
      </c>
    </row>
    <row r="63" spans="1:12" ht="15.75" customHeight="1">
      <c r="A63" s="9" t="str">
        <f ca="1">IFERROR(__xludf.dummyfunction("QUERY('Сountries_list'!A43:B230, ""SELECT A WHERE '""&amp;B63&amp;""' = B"")"),"Macao")</f>
        <v>Macao</v>
      </c>
      <c r="B63" s="10" t="s">
        <v>73</v>
      </c>
      <c r="C63" s="11">
        <v>1</v>
      </c>
      <c r="D63" s="11">
        <v>89.97</v>
      </c>
      <c r="E63" s="11">
        <v>0</v>
      </c>
      <c r="F63" s="11">
        <v>32.090000000000003</v>
      </c>
      <c r="G63" s="12">
        <f t="shared" si="1"/>
        <v>0.26290349008684255</v>
      </c>
      <c r="H63" s="11">
        <v>0</v>
      </c>
      <c r="I63" s="11">
        <v>0</v>
      </c>
      <c r="J63" s="11">
        <v>0</v>
      </c>
      <c r="K63" s="11">
        <v>0</v>
      </c>
      <c r="L63" s="11">
        <v>0</v>
      </c>
    </row>
    <row r="64" spans="1:12" ht="15.75" customHeight="1">
      <c r="A64" s="9" t="str">
        <f ca="1">IFERROR(__xludf.dummyfunction("QUERY('Сountries_list'!A27:B214, ""SELECT A WHERE '""&amp;B64&amp;""' = B"")"),"Guadeloupe")</f>
        <v>Guadeloupe</v>
      </c>
      <c r="B64" s="10" t="s">
        <v>74</v>
      </c>
      <c r="C64" s="11">
        <v>1</v>
      </c>
      <c r="D64" s="11">
        <v>79.97</v>
      </c>
      <c r="E64" s="11">
        <v>0</v>
      </c>
      <c r="F64" s="11">
        <v>25.77</v>
      </c>
      <c r="G64" s="12">
        <f t="shared" si="1"/>
        <v>0.24371098921883866</v>
      </c>
      <c r="H64" s="11">
        <v>0</v>
      </c>
      <c r="I64" s="11">
        <v>0</v>
      </c>
      <c r="J64" s="11">
        <v>0</v>
      </c>
      <c r="K64" s="11">
        <v>0</v>
      </c>
      <c r="L64" s="11">
        <v>0</v>
      </c>
    </row>
    <row r="65" spans="1:12" ht="15.75" customHeight="1">
      <c r="A65" s="9" t="str">
        <f ca="1">IFERROR(__xludf.dummyfunction("QUERY('Сountries_list'!A41:B228, ""SELECT A WHERE '""&amp;B65&amp;""' = B"")"),"Lithuania")</f>
        <v>Lithuania</v>
      </c>
      <c r="B65" s="10" t="s">
        <v>75</v>
      </c>
      <c r="C65" s="11">
        <v>1</v>
      </c>
      <c r="D65" s="11">
        <v>57.51</v>
      </c>
      <c r="E65" s="11">
        <v>12.08</v>
      </c>
      <c r="F65" s="11">
        <v>13.8</v>
      </c>
      <c r="G65" s="12">
        <f t="shared" si="1"/>
        <v>0.19352124526714345</v>
      </c>
      <c r="H65" s="11">
        <v>2.9</v>
      </c>
      <c r="I65" s="11">
        <v>0</v>
      </c>
      <c r="J65" s="11">
        <v>0</v>
      </c>
      <c r="K65" s="11">
        <v>0</v>
      </c>
      <c r="L65" s="11">
        <v>0</v>
      </c>
    </row>
    <row r="66" spans="1:12" ht="15.75" customHeight="1">
      <c r="A66" s="9" t="str">
        <f ca="1">IFERROR(__xludf.dummyfunction("QUERY('Сountries_list'!A71:B258, ""SELECT A WHERE '""&amp;B66&amp;""' = B"")"),"Uruguay")</f>
        <v>Uruguay</v>
      </c>
      <c r="B66" s="10" t="s">
        <v>76</v>
      </c>
      <c r="C66" s="11">
        <v>1</v>
      </c>
      <c r="D66" s="11">
        <v>79.97</v>
      </c>
      <c r="E66" s="11">
        <v>0</v>
      </c>
      <c r="F66" s="11">
        <v>18.98</v>
      </c>
      <c r="G66" s="12">
        <f t="shared" ref="G66:G97" si="2">F66/(D66+F66)</f>
        <v>0.19181404749873673</v>
      </c>
      <c r="H66" s="11">
        <v>0</v>
      </c>
      <c r="I66" s="11">
        <v>0</v>
      </c>
      <c r="J66" s="11">
        <v>0</v>
      </c>
      <c r="K66" s="11">
        <v>-8</v>
      </c>
      <c r="L66" s="11">
        <v>0</v>
      </c>
    </row>
    <row r="67" spans="1:12" ht="15.75" customHeight="1">
      <c r="A67" s="9" t="str">
        <f ca="1">IFERROR(__xludf.dummyfunction("QUERY('Сountries_list'!A54:B241, ""SELECT A WHERE '""&amp;B67&amp;""' = B"")"),"Poland")</f>
        <v>Poland</v>
      </c>
      <c r="B67" s="10" t="s">
        <v>77</v>
      </c>
      <c r="C67" s="11">
        <v>1</v>
      </c>
      <c r="D67" s="11">
        <v>69.97</v>
      </c>
      <c r="E67" s="11">
        <v>0</v>
      </c>
      <c r="F67" s="11">
        <v>15.07</v>
      </c>
      <c r="G67" s="12">
        <f t="shared" si="2"/>
        <v>0.17721072436500473</v>
      </c>
      <c r="H67" s="11">
        <v>0</v>
      </c>
      <c r="I67" s="11">
        <v>0</v>
      </c>
      <c r="J67" s="11">
        <v>0</v>
      </c>
      <c r="K67" s="11">
        <v>0</v>
      </c>
      <c r="L67" s="11">
        <v>0</v>
      </c>
    </row>
    <row r="68" spans="1:12" ht="15.75" customHeight="1">
      <c r="A68" s="9" t="str">
        <f ca="1">IFERROR(__xludf.dummyfunction("QUERY('Сountries_list'!A22:B209, ""SELECT A WHERE '""&amp;B68&amp;""' = B"")"),"Finland")</f>
        <v>Finland</v>
      </c>
      <c r="B68" s="10" t="s">
        <v>78</v>
      </c>
      <c r="C68" s="11">
        <v>1</v>
      </c>
      <c r="D68" s="11">
        <v>69.97</v>
      </c>
      <c r="E68" s="11">
        <v>16.79</v>
      </c>
      <c r="F68" s="11">
        <v>14.6</v>
      </c>
      <c r="G68" s="12">
        <f t="shared" si="2"/>
        <v>0.17263805131843443</v>
      </c>
      <c r="H68" s="11">
        <v>3.5</v>
      </c>
      <c r="I68" s="11">
        <v>0</v>
      </c>
      <c r="J68" s="11">
        <v>0</v>
      </c>
      <c r="K68" s="11">
        <v>0</v>
      </c>
      <c r="L68" s="11">
        <v>0</v>
      </c>
    </row>
    <row r="69" spans="1:12" ht="15.75" customHeight="1">
      <c r="A69" s="9" t="str">
        <f ca="1">IFERROR(__xludf.dummyfunction("QUERY('Сountries_list'!A42:B229, ""SELECT A WHERE '""&amp;B69&amp;""' = B"")"),"Latvia")</f>
        <v>Latvia</v>
      </c>
      <c r="B69" s="10" t="s">
        <v>79</v>
      </c>
      <c r="C69" s="11">
        <v>1</v>
      </c>
      <c r="D69" s="11">
        <v>69.97</v>
      </c>
      <c r="E69" s="11">
        <v>0</v>
      </c>
      <c r="F69" s="11">
        <v>14.6</v>
      </c>
      <c r="G69" s="12">
        <f t="shared" si="2"/>
        <v>0.17263805131843443</v>
      </c>
      <c r="H69" s="11">
        <v>0</v>
      </c>
      <c r="I69" s="11">
        <v>0</v>
      </c>
      <c r="J69" s="11">
        <v>0</v>
      </c>
      <c r="K69" s="11">
        <v>0</v>
      </c>
      <c r="L69" s="11">
        <v>0</v>
      </c>
    </row>
    <row r="70" spans="1:12" ht="15.75" customHeight="1">
      <c r="A70" s="9" t="str">
        <f ca="1">IFERROR(__xludf.dummyfunction("QUERY('Сountries_list'!A58:B245, ""SELECT A WHERE '""&amp;B70&amp;""' = B"")"),"Romania")</f>
        <v>Romania</v>
      </c>
      <c r="B70" s="10" t="s">
        <v>80</v>
      </c>
      <c r="C70" s="11">
        <v>1</v>
      </c>
      <c r="D70" s="11">
        <v>39.97</v>
      </c>
      <c r="E70" s="11">
        <v>0</v>
      </c>
      <c r="F70" s="11">
        <v>8.19</v>
      </c>
      <c r="G70" s="12">
        <f t="shared" si="2"/>
        <v>0.17005813953488372</v>
      </c>
      <c r="H70" s="11">
        <v>0</v>
      </c>
      <c r="I70" s="11">
        <v>0</v>
      </c>
      <c r="J70" s="11">
        <v>0</v>
      </c>
      <c r="K70" s="11">
        <v>0</v>
      </c>
      <c r="L70" s="11">
        <v>0</v>
      </c>
    </row>
    <row r="71" spans="1:12" ht="15.75" customHeight="1">
      <c r="A71" s="9" t="str">
        <f ca="1">IFERROR(__xludf.dummyfunction("QUERY('Сountries_list'!A12:B200, ""SELECT A WHERE '""&amp;B71&amp;""' = B"")"),"China")</f>
        <v>China</v>
      </c>
      <c r="B71" s="10" t="s">
        <v>81</v>
      </c>
      <c r="C71" s="11">
        <v>1</v>
      </c>
      <c r="D71" s="11">
        <v>79.97</v>
      </c>
      <c r="E71" s="11">
        <v>0</v>
      </c>
      <c r="F71" s="11">
        <v>14.43</v>
      </c>
      <c r="G71" s="12">
        <f t="shared" si="2"/>
        <v>0.15286016949152542</v>
      </c>
      <c r="H71" s="11">
        <v>0</v>
      </c>
      <c r="I71" s="11">
        <v>4.99</v>
      </c>
      <c r="J71" s="11">
        <v>0</v>
      </c>
      <c r="K71" s="11">
        <v>0</v>
      </c>
      <c r="L71" s="11">
        <v>0</v>
      </c>
    </row>
    <row r="72" spans="1:12" ht="15.75" customHeight="1">
      <c r="A72" s="9" t="str">
        <f ca="1">IFERROR(__xludf.dummyfunction("QUERY('Сountries_list'!A65:B252, ""SELECT A WHERE '""&amp;B72&amp;""' = B"")"),"Slovakia (Slovak Republic)")</f>
        <v>Slovakia (Slovak Republic)</v>
      </c>
      <c r="B72" s="10" t="s">
        <v>82</v>
      </c>
      <c r="C72" s="11">
        <v>1</v>
      </c>
      <c r="D72" s="11">
        <v>57.51</v>
      </c>
      <c r="E72" s="11">
        <v>11.5</v>
      </c>
      <c r="F72" s="11">
        <v>8.11</v>
      </c>
      <c r="G72" s="12">
        <f t="shared" si="2"/>
        <v>0.12359036879000303</v>
      </c>
      <c r="H72" s="11">
        <v>1.62</v>
      </c>
      <c r="I72" s="11">
        <v>0</v>
      </c>
      <c r="J72" s="11">
        <v>0</v>
      </c>
      <c r="K72" s="11">
        <v>0</v>
      </c>
      <c r="L72" s="11">
        <v>0</v>
      </c>
    </row>
  </sheetData>
  <autoFilter ref="A1:L72" xr:uid="{00000000-0009-0000-0000-000000000000}"/>
  <pageMargins left="0.75" right="0.75" top="1" bottom="1" header="0.511811023622047" footer="0.511811023622047"/>
  <pageSetup orientation="landscape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72"/>
  <sheetViews>
    <sheetView zoomScaleNormal="100" workbookViewId="0"/>
  </sheetViews>
  <sheetFormatPr defaultColWidth="12.625" defaultRowHeight="14.25"/>
  <cols>
    <col min="1" max="1" width="14.375" customWidth="1"/>
    <col min="2" max="2" width="10.875" customWidth="1"/>
    <col min="3" max="3" width="11.875" customWidth="1"/>
    <col min="4" max="4" width="11" customWidth="1"/>
    <col min="5" max="5" width="14.25" customWidth="1"/>
    <col min="6" max="9" width="11" customWidth="1"/>
  </cols>
  <sheetData>
    <row r="1" spans="1:9" ht="15" customHeight="1">
      <c r="A1" s="55" t="s">
        <v>0</v>
      </c>
      <c r="B1" s="8" t="s">
        <v>1</v>
      </c>
      <c r="C1" s="8" t="s">
        <v>2</v>
      </c>
      <c r="D1" s="56" t="s">
        <v>230</v>
      </c>
      <c r="E1" s="56" t="s">
        <v>231</v>
      </c>
      <c r="F1" s="56" t="s">
        <v>232</v>
      </c>
      <c r="G1" s="56" t="s">
        <v>233</v>
      </c>
      <c r="H1" s="56" t="s">
        <v>6</v>
      </c>
      <c r="I1" s="56" t="s">
        <v>234</v>
      </c>
    </row>
    <row r="2" spans="1:9" ht="15">
      <c r="A2" s="57" t="s">
        <v>216</v>
      </c>
      <c r="B2" s="58" t="s">
        <v>12</v>
      </c>
      <c r="C2" s="11">
        <v>213944</v>
      </c>
      <c r="D2" s="59">
        <f ca="1">IFERROR(__xludf.dummyfunction("QUERY(db_data!$A$2:B1000, ""SELECT B WHERE A = '""&amp;A2&amp;""'"", 0)"),63413.5138584508)</f>
        <v>63413.513858450802</v>
      </c>
      <c r="E2" s="59">
        <f ca="1">IFERROR(__xludf.dummyfunction("QUERY(db_data!$C$2:D1000, ""SELECT D WHERE C = '""&amp;A2&amp;""'"", 0)"),19247059000000)</f>
        <v>19247059000000</v>
      </c>
      <c r="F2" s="39">
        <f ca="1">IFERROR(__xludf.dummyfunction("QUERY(db_data!$E$2:F1000, ""SELECT F WHERE E = '""&amp;A2&amp;""'"", 0)"),17.8)</f>
        <v>17.8</v>
      </c>
      <c r="G2" s="40">
        <f ca="1">IFERROR(__xludf.dummyfunction("QUERY(db_data!$G$2:J1000, ""SELECT J WHERE G = '""&amp;A2&amp;""'"", 0)"),1)</f>
        <v>1</v>
      </c>
      <c r="H2" s="31">
        <v>1.01237775531183E-2</v>
      </c>
      <c r="I2" s="31">
        <v>735.6</v>
      </c>
    </row>
    <row r="3" spans="1:9" ht="15">
      <c r="A3" s="57" t="s">
        <v>165</v>
      </c>
      <c r="B3" s="58" t="s">
        <v>13</v>
      </c>
      <c r="C3" s="11">
        <v>338</v>
      </c>
      <c r="D3" s="59">
        <f ca="1">IFERROR(__xludf.dummyfunction("QUERY(db_data!$A$2:B1000, ""SELECT B WHERE A = '""&amp;A3&amp;""'"", 0)"),43258.176319834)</f>
        <v>43258.176319833998</v>
      </c>
      <c r="E3" s="59">
        <f ca="1">IFERROR(__xludf.dummyfunction("QUERY(db_data!$C$2:D1000, ""SELECT D WHERE C = '""&amp;A3&amp;""'"", 0)"),1600331194689.1)</f>
        <v>1600331194689.1001</v>
      </c>
      <c r="F3" s="39">
        <f ca="1">IFERROR(__xludf.dummyfunction("QUERY(db_data!$E$2:F1000, ""SELECT F WHERE E = '""&amp;A3&amp;""'"", 0)"),11.6)</f>
        <v>11.6</v>
      </c>
      <c r="G3" s="40">
        <f ca="1">IFERROR(__xludf.dummyfunction("QUERY(db_data!$G$2:J1000, ""SELECT J WHERE G = '""&amp;A3&amp;""'"", 0)"),1)</f>
        <v>1</v>
      </c>
      <c r="H3" s="31">
        <v>0.123846718069013</v>
      </c>
      <c r="I3" s="31">
        <v>11.2</v>
      </c>
    </row>
    <row r="4" spans="1:9" ht="15">
      <c r="A4" s="57" t="s">
        <v>167</v>
      </c>
      <c r="B4" s="58" t="s">
        <v>14</v>
      </c>
      <c r="C4" s="11">
        <v>188</v>
      </c>
      <c r="D4" s="59">
        <f ca="1">IFERROR(__xludf.dummyfunction("QUERY(db_data!$A$2:B1000, ""SELECT B WHERE A = '""&amp;A4&amp;""'"", 0)"),5334.55604233917)</f>
        <v>5334.5560423391698</v>
      </c>
      <c r="E4" s="59">
        <f ca="1">IFERROR(__xludf.dummyfunction("QUERY(db_data!$C$2:D1000, ""SELECT D WHERE C = '""&amp;A4&amp;""'"", 0)"),299826459539.862)</f>
        <v>299826459539.862</v>
      </c>
      <c r="F4" s="39">
        <f ca="1">IFERROR(__xludf.dummyfunction("QUERY(db_data!$E$2:F1000, ""SELECT F WHERE E = '""&amp;A4&amp;""'"", 0)"),35.7)</f>
        <v>35.700000000000003</v>
      </c>
      <c r="G4" s="32">
        <v>0.46500000000000002</v>
      </c>
      <c r="H4" s="31">
        <v>0.137748018898045</v>
      </c>
      <c r="I4" s="31">
        <v>5</v>
      </c>
    </row>
    <row r="5" spans="1:9" ht="15">
      <c r="A5" s="57" t="s">
        <v>183</v>
      </c>
      <c r="B5" s="58" t="s">
        <v>15</v>
      </c>
      <c r="C5" s="11">
        <v>98</v>
      </c>
      <c r="D5" s="59">
        <f ca="1">IFERROR(__xludf.dummyfunction("QUERY(db_data!$A$2:B1000, ""SELECT B WHERE A = '""&amp;A5&amp;""'"", 0)"),44168.9436355026)</f>
        <v>44168.943635502597</v>
      </c>
      <c r="E5" s="59">
        <f ca="1">IFERROR(__xludf.dummyfunction("QUERY(db_data!$C$2:D1000, ""SELECT D WHERE C = '""&amp;A5&amp;""'"", 0)"),345459861240.942)</f>
        <v>345459861240.94202</v>
      </c>
      <c r="F5" s="39">
        <f ca="1">IFERROR(__xludf.dummyfunction("QUERY(db_data!$E$2:F1000, ""SELECT F WHERE E = '""&amp;A5&amp;""'"", 0)"),16.9)</f>
        <v>16.899999999999999</v>
      </c>
      <c r="G5" s="31">
        <v>0.5</v>
      </c>
      <c r="H5" s="31">
        <v>0.19857217656449699</v>
      </c>
      <c r="I5" s="31">
        <v>1.5</v>
      </c>
    </row>
    <row r="6" spans="1:9" ht="15">
      <c r="A6" s="57" t="s">
        <v>190</v>
      </c>
      <c r="B6" s="58" t="s">
        <v>16</v>
      </c>
      <c r="C6" s="11">
        <v>87</v>
      </c>
      <c r="D6" s="59">
        <f ca="1">IFERROR(__xludf.dummyfunction("QUERY(db_data!$A$2:B1000, ""SELECT B WHERE A = '""&amp;A6&amp;""'"", 0)"),8329.27131263927)</f>
        <v>8329.27131263927</v>
      </c>
      <c r="E6" s="59">
        <f ca="1">IFERROR(__xludf.dummyfunction("QUERY(db_data!$C$2:D1000, ""SELECT D WHERE C = '""&amp;A6&amp;""'"", 0)"),1148749268216.83)</f>
        <v>1148749268216.8301</v>
      </c>
      <c r="F6" s="39">
        <f ca="1">IFERROR(__xludf.dummyfunction("QUERY(db_data!$E$2:F1000, ""SELECT F WHERE E = '""&amp;A6&amp;""'"", 0)"),41.9)</f>
        <v>41.9</v>
      </c>
      <c r="G6" s="32">
        <v>0.436</v>
      </c>
      <c r="H6" s="31">
        <v>0.112490198996807</v>
      </c>
      <c r="I6" s="31">
        <v>8.6</v>
      </c>
    </row>
    <row r="7" spans="1:9" ht="15">
      <c r="A7" s="57" t="s">
        <v>158</v>
      </c>
      <c r="B7" s="58" t="s">
        <v>17</v>
      </c>
      <c r="C7" s="11">
        <v>75</v>
      </c>
      <c r="D7" s="59">
        <f ca="1">IFERROR(__xludf.dummyfunction("QUERY(db_data!$A$2:B1000, ""SELECT B WHERE A = '""&amp;A7&amp;""'"", 0)"),51692.8427477695)</f>
        <v>51692.8427477695</v>
      </c>
      <c r="E7" s="59">
        <f ca="1">IFERROR(__xludf.dummyfunction("QUERY(db_data!$C$2:D1000, ""SELECT D WHERE C = '""&amp;A7&amp;""'"", 0)"),1490967836287.24)</f>
        <v>1490967836287.24</v>
      </c>
      <c r="F7" s="39">
        <f ca="1">IFERROR(__xludf.dummyfunction("QUERY(db_data!$E$2:F1000, ""SELECT F WHERE E = '""&amp;A7&amp;""'"", 0)"),12.4)</f>
        <v>12.4</v>
      </c>
      <c r="G7" s="40">
        <f ca="1">IFERROR(__xludf.dummyfunction("QUERY(db_data!$G$2:J1000, ""SELECT J WHERE G = '""&amp;A7&amp;""'"", 0)"),1)</f>
        <v>1</v>
      </c>
      <c r="H7" s="31">
        <v>0.17095343999769799</v>
      </c>
      <c r="I7" s="31">
        <v>7.3</v>
      </c>
    </row>
    <row r="8" spans="1:9" ht="15">
      <c r="A8" s="57" t="s">
        <v>215</v>
      </c>
      <c r="B8" s="58" t="s">
        <v>18</v>
      </c>
      <c r="C8" s="11">
        <v>66</v>
      </c>
      <c r="D8" s="59">
        <f ca="1">IFERROR(__xludf.dummyfunction("QUERY(db_data!$A$2:B1000, ""SELECT B WHERE A = '""&amp;A8&amp;""'"", 0)"),41124.5347686731)</f>
        <v>41124.534768673097</v>
      </c>
      <c r="E8" s="59">
        <f ca="1">IFERROR(__xludf.dummyfunction("QUERY(db_data!$C$2:D1000, ""SELECT D WHERE C = '""&amp;A8&amp;""'"", 0)"),2882115887622.9)</f>
        <v>2882115887622.8999</v>
      </c>
      <c r="F8" s="39">
        <f ca="1">IFERROR(__xludf.dummyfunction("QUERY(db_data!$E$2:F1000, ""SELECT F WHERE E = '""&amp;A8&amp;""'"", 0)"),18.6)</f>
        <v>18.600000000000001</v>
      </c>
      <c r="G8" s="40">
        <f ca="1">IFERROR(__xludf.dummyfunction("QUERY(db_data!$G$2:J1000, ""SELECT J WHERE G = '""&amp;A8&amp;""'"", 0)"),1)</f>
        <v>1</v>
      </c>
      <c r="H8" s="31">
        <v>0.138784050515629</v>
      </c>
      <c r="I8" s="31">
        <v>7</v>
      </c>
    </row>
    <row r="9" spans="1:9" ht="15">
      <c r="A9" s="57" t="s">
        <v>178</v>
      </c>
      <c r="B9" s="58" t="s">
        <v>19</v>
      </c>
      <c r="C9" s="11">
        <v>59</v>
      </c>
      <c r="D9" s="60">
        <v>46323</v>
      </c>
      <c r="E9" s="60">
        <v>346000000000</v>
      </c>
      <c r="F9" s="31">
        <v>15</v>
      </c>
      <c r="G9" s="32">
        <v>0.54200000000000004</v>
      </c>
      <c r="H9" s="31">
        <v>8.7374677439823994E-2</v>
      </c>
      <c r="I9" s="31">
        <v>1.4</v>
      </c>
    </row>
    <row r="10" spans="1:9" ht="15">
      <c r="A10" s="57" t="s">
        <v>192</v>
      </c>
      <c r="B10" s="58" t="s">
        <v>20</v>
      </c>
      <c r="C10" s="11">
        <v>46</v>
      </c>
      <c r="D10" s="59">
        <f ca="1">IFERROR(__xludf.dummyfunction("QUERY(db_data!$A$2:B1000, ""SELECT B WHERE A = '""&amp;A10&amp;""'"", 0)"),41441.4666667011)</f>
        <v>41441.466666701097</v>
      </c>
      <c r="E10" s="59">
        <f ca="1">IFERROR(__xludf.dummyfunction("QUERY(db_data!$C$2:D1000, ""SELECT D WHERE C = '""&amp;A10&amp;""'"", 0)"),204482365452.675)</f>
        <v>204482365452.67499</v>
      </c>
      <c r="F10" s="31">
        <v>15</v>
      </c>
      <c r="G10" s="32">
        <v>1</v>
      </c>
      <c r="H10" s="31">
        <v>0.15484728890408</v>
      </c>
      <c r="I10" s="31">
        <v>1.4</v>
      </c>
    </row>
    <row r="11" spans="1:9" ht="15">
      <c r="A11" s="57" t="s">
        <v>204</v>
      </c>
      <c r="B11" s="58" t="s">
        <v>21</v>
      </c>
      <c r="C11" s="11">
        <v>40</v>
      </c>
      <c r="D11" s="59">
        <f ca="1">IFERROR(__xludf.dummyfunction("QUERY(db_data!$A$2:B1000, ""SELECT B WHERE A = '""&amp;A11&amp;""'"", 0)"),59797.7521801188)</f>
        <v>59797.752180118798</v>
      </c>
      <c r="E11" s="59">
        <f ca="1">IFERROR(__xludf.dummyfunction("QUERY(db_data!$C$2:D1000, ""SELECT D WHERE C = '""&amp;A11&amp;""'"", 0)"),330099796334.012)</f>
        <v>330099796334.01202</v>
      </c>
      <c r="F11" s="31">
        <v>15</v>
      </c>
      <c r="G11" s="32">
        <v>0.63500000000000001</v>
      </c>
      <c r="H11" s="31">
        <v>0.10986294745075099</v>
      </c>
      <c r="I11" s="31">
        <v>1.7</v>
      </c>
    </row>
    <row r="12" spans="1:9" ht="15">
      <c r="A12" s="57" t="s">
        <v>166</v>
      </c>
      <c r="B12" s="58" t="s">
        <v>22</v>
      </c>
      <c r="C12" s="11">
        <v>37</v>
      </c>
      <c r="D12" s="59">
        <f ca="1">IFERROR(__xludf.dummyfunction("QUERY(db_data!$A$2:B1000, ""SELECT B WHERE A = '""&amp;A12&amp;""'"", 0)"),13231.7042069383)</f>
        <v>13231.704206938301</v>
      </c>
      <c r="E12" s="59">
        <f ca="1">IFERROR(__xludf.dummyfunction("QUERY(db_data!$C$2:D1000, ""SELECT D WHERE C = '""&amp;A12&amp;""'"", 0)"),247639120221.194)</f>
        <v>247639120221.194</v>
      </c>
      <c r="F12" s="39">
        <f ca="1">IFERROR(__xludf.dummyfunction("QUERY(db_data!$E$2:F1000, ""SELECT F WHERE E = '""&amp;A12&amp;""'"", 0)"),8.6)</f>
        <v>8.6</v>
      </c>
      <c r="G12" s="32">
        <v>0.51600000000000001</v>
      </c>
      <c r="H12" s="31">
        <v>0.17396401937418299</v>
      </c>
      <c r="I12" s="31">
        <v>3.2</v>
      </c>
    </row>
    <row r="13" spans="1:9" ht="15">
      <c r="A13" s="57" t="s">
        <v>200</v>
      </c>
      <c r="B13" s="58" t="s">
        <v>23</v>
      </c>
      <c r="C13" s="11">
        <v>37</v>
      </c>
      <c r="D13" s="59">
        <f ca="1">IFERROR(__xludf.dummyfunction("QUERY(db_data!$A$2:B1000, ""SELECT B WHERE A = '""&amp;A13&amp;""'"", 0)"),32290.9211360931)</f>
        <v>32290.9211360931</v>
      </c>
      <c r="E13" s="59">
        <f ca="1">IFERROR(__xludf.dummyfunction("QUERY(db_data!$C$2:D1000, ""SELECT D WHERE C = '""&amp;A13&amp;""'"", 0)"),92660076632.5087)</f>
        <v>92660076632.508698</v>
      </c>
      <c r="F13" s="31">
        <v>15</v>
      </c>
      <c r="G13" s="31">
        <v>0.5</v>
      </c>
      <c r="H13" s="31">
        <v>2.4901484027835999E-2</v>
      </c>
      <c r="I13" s="31">
        <v>0.82</v>
      </c>
    </row>
    <row r="14" spans="1:9" ht="15">
      <c r="A14" s="57" t="s">
        <v>203</v>
      </c>
      <c r="B14" s="58" t="s">
        <v>24</v>
      </c>
      <c r="C14" s="11">
        <v>33</v>
      </c>
      <c r="D14" s="59">
        <f ca="1">IFERROR(__xludf.dummyfunction("QUERY(db_data!$A$2:B1000, ""SELECT B WHERE A = '""&amp;A14&amp;""'"", 0)"),20110.3161924912)</f>
        <v>20110.316192491198</v>
      </c>
      <c r="E14" s="59">
        <f ca="1">IFERROR(__xludf.dummyfunction("QUERY(db_data!$C$2:D1000, ""SELECT D WHERE C = '""&amp;A14&amp;""'"", 0)"),650714601909.915)</f>
        <v>650714601909.91504</v>
      </c>
      <c r="F14" s="31">
        <v>15</v>
      </c>
      <c r="G14" s="32">
        <v>0.40400000000000003</v>
      </c>
      <c r="H14" s="31">
        <v>0.15732550549368901</v>
      </c>
      <c r="I14" s="31">
        <v>2</v>
      </c>
    </row>
    <row r="15" spans="1:9" ht="15">
      <c r="A15" s="57" t="s">
        <v>186</v>
      </c>
      <c r="B15" s="58" t="s">
        <v>25</v>
      </c>
      <c r="C15" s="11">
        <v>33</v>
      </c>
      <c r="D15" s="60">
        <v>31489</v>
      </c>
      <c r="E15" s="60">
        <v>1631000000000</v>
      </c>
      <c r="F15" s="31">
        <v>15</v>
      </c>
      <c r="G15" s="32">
        <v>0.52900000000000003</v>
      </c>
      <c r="H15" s="31">
        <v>9.5322089747459496E-2</v>
      </c>
      <c r="I15" s="31">
        <v>1.2</v>
      </c>
    </row>
    <row r="16" spans="1:9" ht="15">
      <c r="A16" s="57" t="s">
        <v>197</v>
      </c>
      <c r="B16" s="58" t="s">
        <v>26</v>
      </c>
      <c r="C16" s="11">
        <v>29</v>
      </c>
      <c r="D16" s="59">
        <f ca="1">IFERROR(__xludf.dummyfunction("QUERY(db_data!$A$2:B1000, ""SELECT B WHERE A = '""&amp;A16&amp;""'"", 0)"),3298.82958569657)</f>
        <v>3298.8295856965701</v>
      </c>
      <c r="E16" s="59">
        <f ca="1">IFERROR(__xludf.dummyfunction("QUERY(db_data!$C$2:D1000, ""SELECT D WHERE C = '""&amp;A16&amp;""'"", 0)"),358294070260.977)</f>
        <v>358294070260.97699</v>
      </c>
      <c r="F16" s="39">
        <f ca="1">IFERROR(__xludf.dummyfunction("QUERY(db_data!$E$2:F1000, ""SELECT F WHERE E = '""&amp;A16&amp;""'"", 0)"),16.7)</f>
        <v>16.7</v>
      </c>
      <c r="G16" s="32">
        <v>0.59199999999999997</v>
      </c>
      <c r="H16" s="31">
        <v>0.173180462901392</v>
      </c>
      <c r="I16" s="31">
        <v>5</v>
      </c>
    </row>
    <row r="17" spans="1:9" ht="15">
      <c r="A17" s="57" t="s">
        <v>182</v>
      </c>
      <c r="B17" s="58" t="s">
        <v>27</v>
      </c>
      <c r="C17" s="11">
        <v>23</v>
      </c>
      <c r="D17" s="59">
        <f ca="1">IFERROR(__xludf.dummyfunction("QUERY(db_data!$A$2:B1000, ""SELECT B WHERE A = '""&amp;A17&amp;""'"", 0)"),85267.7647437582)</f>
        <v>85267.764743758205</v>
      </c>
      <c r="E17" s="59">
        <f ca="1">IFERROR(__xludf.dummyfunction("QUERY(db_data!$C$2:D1000, ""SELECT D WHERE C = '""&amp;A17&amp;""'"", 0)"),392377013983.203)</f>
        <v>392377013983.203</v>
      </c>
      <c r="F17" s="39">
        <f ca="1">IFERROR(__xludf.dummyfunction("QUERY(db_data!$E$2:F1000, ""SELECT F WHERE E = '""&amp;A17&amp;""'"", 0)"),13.1)</f>
        <v>13.1</v>
      </c>
      <c r="G17" s="40">
        <f ca="1">IFERROR(__xludf.dummyfunction("QUERY(db_data!$G$2:J1000, ""SELECT J WHERE G = '""&amp;A17&amp;""'"", 0)"),1)</f>
        <v>1</v>
      </c>
      <c r="H17" s="31">
        <v>0.15393148005799201</v>
      </c>
      <c r="I17" s="31">
        <v>1.1000000000000001</v>
      </c>
    </row>
    <row r="18" spans="1:9" ht="15">
      <c r="A18" s="57" t="s">
        <v>175</v>
      </c>
      <c r="B18" s="58" t="s">
        <v>28</v>
      </c>
      <c r="C18" s="11">
        <v>21</v>
      </c>
      <c r="D18" s="59">
        <f ca="1">IFERROR(__xludf.dummyfunction("QUERY(db_data!$A$2:B1000, ""SELECT B WHERE A = '""&amp;A18&amp;""'"", 0)"),46208.4294717472)</f>
        <v>46208.4294717472</v>
      </c>
      <c r="E18" s="59">
        <f ca="1">IFERROR(__xludf.dummyfunction("QUERY(db_data!$C$2:D1000, ""SELECT D WHERE C = '""&amp;A18&amp;""'"", 0)"),3434435991589.48)</f>
        <v>3434435991589.48</v>
      </c>
      <c r="F18" s="39">
        <f ca="1">IFERROR(__xludf.dummyfunction("QUERY(db_data!$E$2:F1000, ""SELECT F WHERE E = '""&amp;A18&amp;""'"", 0)"),14.8)</f>
        <v>14.8</v>
      </c>
      <c r="G18" s="40">
        <f ca="1">IFERROR(__xludf.dummyfunction("QUERY(db_data!$G$2:J1000, ""SELECT J WHERE G = '""&amp;A18&amp;""'"", 0)"),0.616)</f>
        <v>0.61599999999999999</v>
      </c>
      <c r="H18" s="31">
        <v>0.13079247131833599</v>
      </c>
      <c r="I18" s="31">
        <v>1.4</v>
      </c>
    </row>
    <row r="19" spans="1:9" ht="15">
      <c r="A19" s="57" t="s">
        <v>173</v>
      </c>
      <c r="B19" s="58" t="s">
        <v>29</v>
      </c>
      <c r="C19" s="11">
        <v>20</v>
      </c>
      <c r="D19" s="59">
        <f ca="1">IFERROR(__xludf.dummyfunction("QUERY(db_data!$A$2:B1000, ""SELECT B WHERE A = '""&amp;A19&amp;""'"", 0)"),39030.3603713482)</f>
        <v>39030.360371348201</v>
      </c>
      <c r="E19" s="59">
        <f ca="1">IFERROR(__xludf.dummyfunction("QUERY(db_data!$C$2:D1000, ""SELECT D WHERE C = '""&amp;A19&amp;""'"", 0)"),2410285649514.37)</f>
        <v>2410285649514.3701</v>
      </c>
      <c r="F19" s="39">
        <f ca="1">IFERROR(__xludf.dummyfunction("QUERY(db_data!$E$2:F1000, ""SELECT F WHERE E = '""&amp;A19&amp;""'"", 0)"),13.6)</f>
        <v>13.6</v>
      </c>
      <c r="G19" s="40">
        <f ca="1">IFERROR(__xludf.dummyfunction("QUERY(db_data!$G$2:J1000, ""SELECT J WHERE G = '""&amp;A19&amp;""'"", 0)"),0.559)</f>
        <v>0.55900000000000005</v>
      </c>
      <c r="H19" s="31">
        <v>0.169933800372775</v>
      </c>
      <c r="I19" s="31">
        <v>0.70799999999999996</v>
      </c>
    </row>
    <row r="20" spans="1:9" ht="15">
      <c r="A20" s="57" t="s">
        <v>185</v>
      </c>
      <c r="B20" s="58" t="s">
        <v>30</v>
      </c>
      <c r="C20" s="11">
        <v>19</v>
      </c>
      <c r="D20" s="59">
        <f ca="1">IFERROR(__xludf.dummyfunction("QUERY(db_data!$A$2:B1000, ""SELECT B WHERE A = '""&amp;A20&amp;""'"", 0)"),40193.2524448357)</f>
        <v>40193.2524448357</v>
      </c>
      <c r="E20" s="59">
        <f ca="1">IFERROR(__xludf.dummyfunction("QUERY(db_data!$C$2:D1000, ""SELECT D WHERE C = '""&amp;A20&amp;""'"", 0)"),4380756530555.84)</f>
        <v>4380756530555.8398</v>
      </c>
      <c r="F20" s="39">
        <f ca="1">IFERROR(__xludf.dummyfunction("QUERY(db_data!$E$2:F1000, ""SELECT F WHERE E = '""&amp;A20&amp;""'"", 0)"),15.7)</f>
        <v>15.7</v>
      </c>
      <c r="G20" s="40">
        <f ca="1">IFERROR(__xludf.dummyfunction("QUERY(db_data!$G$2:J1000, ""SELECT J WHERE G = '""&amp;A20&amp;""'"", 0)"),0.487)</f>
        <v>0.48699999999999999</v>
      </c>
      <c r="H20" s="31">
        <v>0.13628571734681899</v>
      </c>
      <c r="I20" s="31">
        <v>0.68400000000000005</v>
      </c>
    </row>
    <row r="21" spans="1:9" ht="15">
      <c r="A21" s="57" t="s">
        <v>206</v>
      </c>
      <c r="B21" s="58" t="s">
        <v>31</v>
      </c>
      <c r="C21" s="11">
        <v>16</v>
      </c>
      <c r="D21" s="60">
        <v>5090</v>
      </c>
      <c r="E21" s="59">
        <f ca="1">IFERROR(__xludf.dummyfunction("QUERY(db_data!$C$2:D1000, ""SELECT D WHERE C = '""&amp;A21&amp;""'"", 0)"),335640150576.122)</f>
        <v>335640150576.12201</v>
      </c>
      <c r="F21" s="39">
        <f ca="1">IFERROR(__xludf.dummyfunction("QUERY(db_data!$E$2:F1000, ""SELECT F WHERE E = '""&amp;A21&amp;""'"", 0)"),55.5)</f>
        <v>55.5</v>
      </c>
      <c r="G21" s="40">
        <f ca="1">IFERROR(__xludf.dummyfunction("QUERY(db_data!$G$2:J1000, ""SELECT J WHERE G = '""&amp;A21&amp;""'"", 0)"),0.607)</f>
        <v>0.60699999999999998</v>
      </c>
      <c r="H21" s="31">
        <v>0.15778614609935199</v>
      </c>
      <c r="I21" s="31">
        <v>3.3</v>
      </c>
    </row>
    <row r="22" spans="1:9" ht="15">
      <c r="A22" s="57" t="s">
        <v>209</v>
      </c>
      <c r="B22" s="58" t="s">
        <v>32</v>
      </c>
      <c r="C22" s="11">
        <v>16</v>
      </c>
      <c r="D22" s="60">
        <v>32787</v>
      </c>
      <c r="E22" s="60">
        <v>759104000000</v>
      </c>
      <c r="F22" s="31">
        <v>15</v>
      </c>
      <c r="G22" s="32">
        <v>0.5</v>
      </c>
      <c r="H22" s="31">
        <v>0.13887554060547799</v>
      </c>
      <c r="I22" s="31">
        <v>0.98499999999999999</v>
      </c>
    </row>
    <row r="23" spans="1:9" ht="15">
      <c r="A23" s="57" t="s">
        <v>207</v>
      </c>
      <c r="B23" s="58" t="s">
        <v>33</v>
      </c>
      <c r="C23" s="11">
        <v>15</v>
      </c>
      <c r="D23" s="59">
        <f ca="1">IFERROR(__xludf.dummyfunction("QUERY(db_data!$A$2:B1000, ""SELECT B WHERE A = '""&amp;A23&amp;""'"", 0)"),27063.1939180299)</f>
        <v>27063.193918029901</v>
      </c>
      <c r="E23" s="59">
        <f ca="1">IFERROR(__xludf.dummyfunction("QUERY(db_data!$C$2:D1000, ""SELECT D WHERE C = '""&amp;A23&amp;""'"", 0)"),1180730237585.72)</f>
        <v>1180730237585.72</v>
      </c>
      <c r="F23" s="39">
        <f ca="1">IFERROR(__xludf.dummyfunction("QUERY(db_data!$E$2:F1000, ""SELECT F WHERE E = '""&amp;A23&amp;""'"", 0)"),20.7)</f>
        <v>20.7</v>
      </c>
      <c r="G23" s="32">
        <v>0.54</v>
      </c>
      <c r="H23" s="31">
        <v>0.17918919908690301</v>
      </c>
      <c r="I23" s="31">
        <v>3.2</v>
      </c>
    </row>
    <row r="24" spans="1:9" ht="15">
      <c r="A24" s="57" t="s">
        <v>191</v>
      </c>
      <c r="B24" s="58" t="s">
        <v>34</v>
      </c>
      <c r="C24" s="11">
        <v>15</v>
      </c>
      <c r="D24" s="59">
        <f ca="1">IFERROR(__xludf.dummyfunction("QUERY(db_data!$A$2:B1000, ""SELECT B WHERE A = '""&amp;A24&amp;""'"", 0)"),52397.1167129558)</f>
        <v>52397.116712955802</v>
      </c>
      <c r="E24" s="59">
        <f ca="1">IFERROR(__xludf.dummyfunction("QUERY(db_data!$C$2:D1000, ""SELECT D WHERE C = '""&amp;A24&amp;""'"", 0)"),808007359760.319)</f>
        <v>808007359760.31897</v>
      </c>
      <c r="F24" s="39">
        <f ca="1">IFERROR(__xludf.dummyfunction("QUERY(db_data!$E$2:F1000, ""SELECT F WHERE E = '""&amp;A24&amp;""'"", 0)"),13.6)</f>
        <v>13.6</v>
      </c>
      <c r="G24" s="32">
        <v>0.66300000000000003</v>
      </c>
      <c r="H24" s="31">
        <v>0.156047831815885</v>
      </c>
      <c r="I24" s="31">
        <v>1.6</v>
      </c>
    </row>
    <row r="25" spans="1:9" ht="15">
      <c r="A25" s="57" t="s">
        <v>162</v>
      </c>
      <c r="B25" s="58" t="s">
        <v>35</v>
      </c>
      <c r="C25" s="11">
        <v>11</v>
      </c>
      <c r="D25" s="59">
        <f ca="1">IFERROR(__xludf.dummyfunction("QUERY(db_data!$A$2:B1000, ""SELECT B WHERE A = '""&amp;A25&amp;""'"", 0)"),45159.3482229717)</f>
        <v>45159.348222971697</v>
      </c>
      <c r="E25" s="59">
        <f ca="1">IFERROR(__xludf.dummyfunction("QUERY(db_data!$C$2:D1000, ""SELECT D WHERE C = '""&amp;A25&amp;""'"", 0)"),466648941451.321)</f>
        <v>466648941451.32098</v>
      </c>
      <c r="F25" s="39">
        <f ca="1">IFERROR(__xludf.dummyfunction("QUERY(db_data!$E$2:F1000, ""SELECT F WHERE E = '""&amp;A25&amp;""'"", 0)"),14.8)</f>
        <v>14.8</v>
      </c>
      <c r="G25" s="32">
        <v>0.629</v>
      </c>
      <c r="H25" s="31">
        <v>0.14706050119785499</v>
      </c>
      <c r="I25" s="31">
        <v>0.71599999999999997</v>
      </c>
    </row>
    <row r="26" spans="1:9" ht="15">
      <c r="A26" s="57" t="s">
        <v>196</v>
      </c>
      <c r="B26" s="58" t="s">
        <v>36</v>
      </c>
      <c r="C26" s="11">
        <v>10</v>
      </c>
      <c r="D26" s="59">
        <f ca="1">IFERROR(__xludf.dummyfunction("QUERY(db_data!$A$2:B1000, ""SELECT B WHERE A = '""&amp;A26&amp;""'"", 0)"),6126.87453978867)</f>
        <v>6126.8745397886696</v>
      </c>
      <c r="E26" s="59">
        <f ca="1">IFERROR(__xludf.dummyfunction("QUERY(db_data!$C$2:D1000, ""SELECT D WHERE C = '""&amp;A26&amp;""'"", 0)"),190979128768.533)</f>
        <v>190979128768.53299</v>
      </c>
      <c r="F26" s="39">
        <f ca="1">IFERROR(__xludf.dummyfunction("QUERY(db_data!$E$2:F1000, ""SELECT F WHERE E = '""&amp;A26&amp;""'"", 0)"),20.2)</f>
        <v>20.2</v>
      </c>
      <c r="G26" s="32">
        <v>0.505</v>
      </c>
      <c r="H26" s="31">
        <v>0.23319931074095299</v>
      </c>
      <c r="I26" s="31">
        <v>1.5</v>
      </c>
    </row>
    <row r="27" spans="1:9" ht="15">
      <c r="A27" s="57" t="s">
        <v>188</v>
      </c>
      <c r="B27" s="58" t="s">
        <v>37</v>
      </c>
      <c r="C27" s="11">
        <v>10</v>
      </c>
      <c r="D27" s="59">
        <f ca="1">IFERROR(__xludf.dummyfunction("QUERY(db_data!$A$2:B1000, ""SELECT B WHERE A = '""&amp;A27&amp;""'"", 0)"),10412.3489834381)</f>
        <v>10412.3489834381</v>
      </c>
      <c r="E27" s="59">
        <f ca="1">IFERROR(__xludf.dummyfunction("QUERY(db_data!$C$2:D1000, ""SELECT D WHERE C = '""&amp;A27&amp;""'"", 0)"),344099347074.638)</f>
        <v>344099347074.638</v>
      </c>
      <c r="F27" s="39">
        <f ca="1">IFERROR(__xludf.dummyfunction("QUERY(db_data!$E$2:F1000, ""SELECT F WHERE E = '""&amp;A27&amp;""'"", 0)"),5.6)</f>
        <v>5.6</v>
      </c>
      <c r="G27" s="32">
        <v>0.54700000000000004</v>
      </c>
      <c r="H27" s="31">
        <v>0.197552430954438</v>
      </c>
      <c r="I27" s="31">
        <v>2.2999999999999998</v>
      </c>
    </row>
    <row r="28" spans="1:9" ht="15">
      <c r="A28" s="57" t="s">
        <v>208</v>
      </c>
      <c r="B28" s="58" t="s">
        <v>38</v>
      </c>
      <c r="C28" s="11">
        <v>10</v>
      </c>
      <c r="D28" s="59">
        <f ca="1">IFERROR(__xludf.dummyfunction("QUERY(db_data!$A$2:B1000, ""SELECT B WHERE A = '""&amp;A28&amp;""'"", 0)"),52274.4087868798)</f>
        <v>52274.408786879801</v>
      </c>
      <c r="E28" s="59">
        <f ca="1">IFERROR(__xludf.dummyfunction("QUERY(db_data!$C$2:D1000, ""SELECT D WHERE C = '""&amp;A28&amp;""'"", 0)"),533611847447.428)</f>
        <v>533611847447.42798</v>
      </c>
      <c r="F28" s="39">
        <f ca="1">IFERROR(__xludf.dummyfunction("QUERY(db_data!$E$2:F1000, ""SELECT F WHERE E = '""&amp;A28&amp;""'"", 0)"),17.1)</f>
        <v>17.100000000000001</v>
      </c>
      <c r="G28" s="32">
        <v>0.623</v>
      </c>
      <c r="H28" s="31">
        <v>0.18066464379564201</v>
      </c>
      <c r="I28" s="31">
        <v>1.4</v>
      </c>
    </row>
    <row r="29" spans="1:9" ht="15">
      <c r="A29" s="57" t="s">
        <v>210</v>
      </c>
      <c r="B29" s="58" t="s">
        <v>39</v>
      </c>
      <c r="C29" s="11">
        <v>9</v>
      </c>
      <c r="D29" s="59">
        <f ca="1">IFERROR(__xludf.dummyfunction("QUERY(db_data!$A$2:B1000, ""SELECT B WHERE A = '""&amp;A29&amp;""'"", 0)"),7186.87409206525)</f>
        <v>7186.8740920652499</v>
      </c>
      <c r="E29" s="59">
        <f ca="1">IFERROR(__xludf.dummyfunction("QUERY(db_data!$C$2:D1000, ""SELECT D WHERE C = '""&amp;A29&amp;""'"", 0)"),432649179610.326)</f>
        <v>432649179610.32599</v>
      </c>
      <c r="F29" s="39">
        <f ca="1">IFERROR(__xludf.dummyfunction("QUERY(db_data!$E$2:F1000, ""SELECT F WHERE E = '""&amp;A29&amp;""'"", 0)"),9.9)</f>
        <v>9.9</v>
      </c>
      <c r="G29" s="32">
        <v>0.41899999999999998</v>
      </c>
      <c r="H29" s="31">
        <v>0.164642048275946</v>
      </c>
      <c r="I29" s="31">
        <v>1.9</v>
      </c>
    </row>
    <row r="30" spans="1:9" ht="15">
      <c r="A30" s="57" t="s">
        <v>187</v>
      </c>
      <c r="B30" s="58" t="s">
        <v>40</v>
      </c>
      <c r="C30" s="11">
        <v>9</v>
      </c>
      <c r="D30" s="59">
        <f ca="1">IFERROR(__xludf.dummyfunction("QUERY(db_data!$A$2:B1000, ""SELECT B WHERE A = '""&amp;A30&amp;""'"", 0)"),24811.7697100231)</f>
        <v>24811.769710023102</v>
      </c>
      <c r="E30" s="59">
        <f ca="1">IFERROR(__xludf.dummyfunction("QUERY(db_data!$C$2:D1000, ""SELECT D WHERE C = '""&amp;A30&amp;""'"", 0)"),104326525025.932)</f>
        <v>104326525025.93201</v>
      </c>
      <c r="F30" s="31">
        <v>15</v>
      </c>
      <c r="G30" s="32">
        <v>0.45800000000000002</v>
      </c>
      <c r="H30" s="31">
        <v>0.14502264283971</v>
      </c>
      <c r="I30" s="31">
        <v>0.31</v>
      </c>
    </row>
    <row r="31" spans="1:9" ht="15">
      <c r="A31" s="57" t="s">
        <v>161</v>
      </c>
      <c r="B31" s="58" t="s">
        <v>41</v>
      </c>
      <c r="C31" s="11">
        <v>8</v>
      </c>
      <c r="D31" s="59">
        <f ca="1">IFERROR(__xludf.dummyfunction("QUERY(db_data!$A$2:B1000, ""SELECT B WHERE A = '""&amp;A31&amp;""'"", 0)"),20409.9528047731)</f>
        <v>20409.9528047731</v>
      </c>
      <c r="E31" s="59">
        <f ca="1">IFERROR(__xludf.dummyfunction("QUERY(db_data!$C$2:D1000, ""SELECT D WHERE C = '""&amp;A31&amp;""'"", 0)"),33206179338.0924)</f>
        <v>33206179338.0924</v>
      </c>
      <c r="F31" s="31">
        <v>15</v>
      </c>
      <c r="G31" s="32">
        <v>0.47599999999999998</v>
      </c>
      <c r="H31" s="31">
        <v>0.25360973043767598</v>
      </c>
      <c r="I31" s="31">
        <v>0.124</v>
      </c>
    </row>
    <row r="32" spans="1:9" ht="15">
      <c r="A32" s="57" t="s">
        <v>194</v>
      </c>
      <c r="B32" s="58" t="s">
        <v>42</v>
      </c>
      <c r="C32" s="11">
        <v>8</v>
      </c>
      <c r="D32" s="59">
        <f ca="1">IFERROR(__xludf.dummyfunction("QUERY(db_data!$A$2:B1000, ""SELECT B WHERE A = '""&amp;A32&amp;""'"", 0)"),67389.912047247)</f>
        <v>67389.912047246995</v>
      </c>
      <c r="E32" s="59">
        <f ca="1">IFERROR(__xludf.dummyfunction("QUERY(db_data!$C$2:D1000, ""SELECT D WHERE C = '""&amp;A32&amp;""'"", 0)"),403779725121.422)</f>
        <v>403779725121.422</v>
      </c>
      <c r="F32" s="39">
        <f ca="1">IFERROR(__xludf.dummyfunction("QUERY(db_data!$E$2:F1000, ""SELECT F WHERE E = '""&amp;A32&amp;""'"", 0)"),12.7)</f>
        <v>12.7</v>
      </c>
      <c r="G32" s="32">
        <v>0.624</v>
      </c>
      <c r="H32" s="31">
        <v>0.21707630680975201</v>
      </c>
      <c r="I32" s="31">
        <v>0.88800000000000001</v>
      </c>
    </row>
    <row r="33" spans="1:9" ht="15">
      <c r="A33" s="57" t="s">
        <v>168</v>
      </c>
      <c r="B33" s="58" t="s">
        <v>43</v>
      </c>
      <c r="C33" s="11">
        <v>8</v>
      </c>
      <c r="D33" s="59">
        <f ca="1">IFERROR(__xludf.dummyfunction("QUERY(db_data!$A$2:B1000, ""SELECT B WHERE A = '""&amp;A33&amp;""'"", 0)"),12140.8541545754)</f>
        <v>12140.8541545754</v>
      </c>
      <c r="E33" s="59">
        <f ca="1">IFERROR(__xludf.dummyfunction("QUERY(db_data!$C$2:D1000, ""SELECT D WHERE C = '""&amp;A33&amp;""'"", 0)"),61668979511.3658)</f>
        <v>61668979511.365799</v>
      </c>
      <c r="F33" s="39">
        <f ca="1">IFERROR(__xludf.dummyfunction("QUERY(db_data!$E$2:F1000, ""SELECT F WHERE E = '""&amp;A33&amp;""'"", 0)"),21)</f>
        <v>21</v>
      </c>
      <c r="G33" s="32">
        <v>0.53</v>
      </c>
      <c r="H33" s="31">
        <v>0.188590393326456</v>
      </c>
      <c r="I33" s="31">
        <v>0.63300000000000001</v>
      </c>
    </row>
    <row r="34" spans="1:9" ht="29.25">
      <c r="A34" s="57" t="s">
        <v>214</v>
      </c>
      <c r="B34" s="58" t="s">
        <v>44</v>
      </c>
      <c r="C34" s="11">
        <v>8</v>
      </c>
      <c r="D34" s="59">
        <f ca="1">IFERROR(__xludf.dummyfunction("QUERY(db_data!$A$2:B1000, ""SELECT B WHERE A = '""&amp;A34&amp;""'"", 0)"),36284.5552429552)</f>
        <v>36284.555242955197</v>
      </c>
      <c r="E34" s="59">
        <f ca="1">IFERROR(__xludf.dummyfunction("QUERY(db_data!$C$2:D1000, ""SELECT D WHERE C = '""&amp;A34&amp;""'"", 0)"),370866189764.806)</f>
        <v>370866189764.80603</v>
      </c>
      <c r="F34" s="31">
        <v>15</v>
      </c>
      <c r="G34" s="32">
        <v>0.47199999999999998</v>
      </c>
      <c r="H34" s="31">
        <v>0.17334584282714599</v>
      </c>
      <c r="I34" s="31">
        <v>2.4</v>
      </c>
    </row>
    <row r="35" spans="1:9" ht="15">
      <c r="A35" s="57" t="s">
        <v>169</v>
      </c>
      <c r="B35" s="58" t="s">
        <v>45</v>
      </c>
      <c r="C35" s="11">
        <v>8</v>
      </c>
      <c r="D35" s="59">
        <f ca="1">IFERROR(__xludf.dummyfunction("QUERY(db_data!$A$2:B1000, ""SELECT B WHERE A = '""&amp;A35&amp;""'"", 0)"),26623.8008913181)</f>
        <v>26623.8008913181</v>
      </c>
      <c r="E35" s="59">
        <f ca="1">IFERROR(__xludf.dummyfunction("QUERY(db_data!$C$2:D1000, ""SELECT D WHERE C = '""&amp;A35&amp;""'"", 0)"),23579790561.3669)</f>
        <v>23579790561.366901</v>
      </c>
      <c r="F35" s="39">
        <f ca="1">IFERROR(__xludf.dummyfunction("QUERY(db_data!$E$2:F1000, ""SELECT F WHERE E = '""&amp;A35&amp;""'"", 0)"),14.7)</f>
        <v>14.7</v>
      </c>
      <c r="G35" s="32"/>
      <c r="H35" s="31">
        <v>0.13640900923791699</v>
      </c>
      <c r="I35" s="31">
        <v>0.114</v>
      </c>
    </row>
    <row r="36" spans="1:9" ht="15">
      <c r="A36" s="57" t="s">
        <v>176</v>
      </c>
      <c r="B36" s="58" t="s">
        <v>46</v>
      </c>
      <c r="C36" s="11">
        <v>7</v>
      </c>
      <c r="D36" s="59">
        <f ca="1">IFERROR(__xludf.dummyfunction("QUERY(db_data!$A$2:B1000, ""SELECT B WHERE A = '""&amp;A36&amp;""'"", 0)"),2205.5290158584)</f>
        <v>2205.5290158583998</v>
      </c>
      <c r="E36" s="59">
        <f ca="1">IFERROR(__xludf.dummyfunction("QUERY(db_data!$C$2:D1000, ""SELECT D WHERE C = '""&amp;A36&amp;""'"", 0)"),62724594622.7784)</f>
        <v>62724594622.778397</v>
      </c>
      <c r="F36" s="39">
        <f ca="1">IFERROR(__xludf.dummyfunction("QUERY(db_data!$E$2:F1000, ""SELECT F WHERE E = '""&amp;A36&amp;""'"", 0)"),23.4)</f>
        <v>23.4</v>
      </c>
      <c r="G36" s="32">
        <v>0.52300000000000002</v>
      </c>
      <c r="H36" s="31">
        <v>0.380631170803853</v>
      </c>
      <c r="I36" s="31">
        <v>0.30299999999999999</v>
      </c>
    </row>
    <row r="37" spans="1:9" ht="15">
      <c r="A37" s="57" t="s">
        <v>171</v>
      </c>
      <c r="B37" s="58" t="s">
        <v>47</v>
      </c>
      <c r="C37" s="11">
        <v>7</v>
      </c>
      <c r="D37" s="59">
        <f ca="1">IFERROR(__xludf.dummyfunction("QUERY(db_data!$A$2:B1000, ""SELECT B WHERE A = '""&amp;A37&amp;""'"", 0)"),61063.3164304238)</f>
        <v>61063.316430423802</v>
      </c>
      <c r="E37" s="59">
        <f ca="1">IFERROR(__xludf.dummyfunction("QUERY(db_data!$C$2:D1000, ""SELECT D WHERE C = '""&amp;A37&amp;""'"", 0)"),327737534762.376)</f>
        <v>327737534762.37598</v>
      </c>
      <c r="F37" s="39">
        <f ca="1">IFERROR(__xludf.dummyfunction("QUERY(db_data!$E$2:F1000, ""SELECT F WHERE E = '""&amp;A37&amp;""'"", 0)"),12.5)</f>
        <v>12.5</v>
      </c>
      <c r="G37" s="32">
        <v>0.63600000000000001</v>
      </c>
      <c r="H37" s="31">
        <v>0.170705823331918</v>
      </c>
      <c r="I37" s="31">
        <v>0.84299999999999997</v>
      </c>
    </row>
    <row r="38" spans="1:9" ht="15">
      <c r="A38" s="57" t="s">
        <v>198</v>
      </c>
      <c r="B38" s="58" t="s">
        <v>48</v>
      </c>
      <c r="C38" s="11">
        <v>7</v>
      </c>
      <c r="D38" s="59">
        <f ca="1">IFERROR(__xludf.dummyfunction("QUERY(db_data!$A$2:B1000, ""SELECT B WHERE A = '""&amp;A38&amp;""'"", 0)"),22176.2967116929)</f>
        <v>22176.296711692899</v>
      </c>
      <c r="E38" s="59">
        <f ca="1">IFERROR(__xludf.dummyfunction("QUERY(db_data!$C$2:D1000, ""SELECT D WHERE C = '""&amp;A38&amp;""'"", 0)"),203507675081.482)</f>
        <v>203507675081.48199</v>
      </c>
      <c r="F38" s="39">
        <f ca="1">IFERROR(__xludf.dummyfunction("QUERY(db_data!$E$2:F1000, ""SELECT F WHERE E = '""&amp;A38&amp;""'"", 0)"),17.2)</f>
        <v>17.2</v>
      </c>
      <c r="G38" s="32">
        <v>0.625</v>
      </c>
      <c r="H38" s="31">
        <v>0.12114748270298401</v>
      </c>
      <c r="I38" s="31">
        <v>0.61299999999999999</v>
      </c>
    </row>
    <row r="39" spans="1:9" ht="15">
      <c r="A39" s="57" t="s">
        <v>193</v>
      </c>
      <c r="B39" s="58" t="s">
        <v>49</v>
      </c>
      <c r="C39" s="11">
        <v>6</v>
      </c>
      <c r="D39" s="59">
        <f ca="1">IFERROR(__xludf.dummyfunction("QUERY(db_data!$A$2:B1000, ""SELECT B WHERE A = '""&amp;A39&amp;""'"", 0)"),2097.09247289022)</f>
        <v>2097.0924728902201</v>
      </c>
      <c r="E39" s="59">
        <f ca="1">IFERROR(__xludf.dummyfunction("QUERY(db_data!$C$2:D1000, ""SELECT D WHERE C = '""&amp;A39&amp;""'"", 0)"),493917966761.433)</f>
        <v>493917966761.43298</v>
      </c>
      <c r="F39" s="39">
        <f ca="1">IFERROR(__xludf.dummyfunction("QUERY(db_data!$E$2:F1000, ""SELECT F WHERE E = '""&amp;A39&amp;""'"", 0)"),40.1)</f>
        <v>40.1</v>
      </c>
      <c r="G39" s="32">
        <v>0.56000000000000005</v>
      </c>
      <c r="H39" s="31">
        <v>0.22190254206424401</v>
      </c>
      <c r="I39" s="31">
        <v>1.3</v>
      </c>
    </row>
    <row r="40" spans="1:9" ht="15">
      <c r="A40" s="57" t="s">
        <v>212</v>
      </c>
      <c r="B40" s="58" t="s">
        <v>50</v>
      </c>
      <c r="C40" s="11">
        <v>6</v>
      </c>
      <c r="D40" s="59">
        <f ca="1">IFERROR(__xludf.dummyfunction("QUERY(db_data!$A$2:B1000, ""SELECT B WHERE A = '""&amp;A40&amp;""'"", 0)"),8536.43331960632)</f>
        <v>8536.4333196063199</v>
      </c>
      <c r="E40" s="59">
        <f ca="1">IFERROR(__xludf.dummyfunction("QUERY(db_data!$C$2:D1000, ""SELECT D WHERE C = '""&amp;A40&amp;""'"", 0)"),1015326662715.27)</f>
        <v>1015326662715.27</v>
      </c>
      <c r="F40" s="39">
        <f ca="1">IFERROR(__xludf.dummyfunction("QUERY(db_data!$E$2:F1000, ""SELECT F WHERE E = '""&amp;A40&amp;""'"", 0)"),14.4)</f>
        <v>14.4</v>
      </c>
      <c r="G40" s="32">
        <v>0.47799999999999998</v>
      </c>
      <c r="H40" s="31">
        <v>0.17199325964641701</v>
      </c>
      <c r="I40" s="31">
        <v>2.2000000000000002</v>
      </c>
    </row>
    <row r="41" spans="1:9" ht="15">
      <c r="A41" s="57" t="s">
        <v>164</v>
      </c>
      <c r="B41" s="58" t="s">
        <v>51</v>
      </c>
      <c r="C41" s="11">
        <v>6</v>
      </c>
      <c r="D41" s="59">
        <f ca="1">IFERROR(__xludf.dummyfunction("QUERY(db_data!$A$2:B1000, ""SELECT B WHERE A = '""&amp;A41&amp;""'"", 0)"),6796.84454227877)</f>
        <v>6796.8445422787699</v>
      </c>
      <c r="E41" s="59">
        <f ca="1">IFERROR(__xludf.dummyfunction("QUERY(db_data!$C$2:D1000, ""SELECT D WHERE C = '""&amp;A41&amp;""'"", 0)"),1749104722085.75)</f>
        <v>1749104722085.75</v>
      </c>
      <c r="F41" s="39">
        <f ca="1">IFERROR(__xludf.dummyfunction("QUERY(db_data!$E$2:F1000, ""SELECT F WHERE E = '""&amp;A41&amp;""'"", 0)"),26.5)</f>
        <v>26.5</v>
      </c>
      <c r="G41" s="32">
        <v>0.497</v>
      </c>
      <c r="H41" s="31">
        <v>0.15585865449956299</v>
      </c>
      <c r="I41" s="31">
        <v>2.7</v>
      </c>
    </row>
    <row r="42" spans="1:9" ht="15">
      <c r="A42" s="57" t="s">
        <v>160</v>
      </c>
      <c r="B42" s="58" t="s">
        <v>52</v>
      </c>
      <c r="C42" s="11">
        <v>6</v>
      </c>
      <c r="D42" s="59">
        <f ca="1">IFERROR(__xludf.dummyfunction("QUERY(db_data!$A$2:B1000, ""SELECT B WHERE A = '""&amp;A42&amp;""'"", 0)"),48586.8013213238)</f>
        <v>48586.801321323801</v>
      </c>
      <c r="E42" s="59">
        <f ca="1">IFERROR(__xludf.dummyfunction("QUERY(db_data!$C$2:D1000, ""SELECT D WHERE C = '""&amp;A42&amp;""'"", 0)"),386358828359.98)</f>
        <v>386358828359.97998</v>
      </c>
      <c r="F42" s="39">
        <f ca="1">IFERROR(__xludf.dummyfunction("QUERY(db_data!$E$2:F1000, ""SELECT F WHERE E = '""&amp;A42&amp;""'"", 0)"),13.3)</f>
        <v>13.3</v>
      </c>
      <c r="G42" s="32">
        <v>0.623</v>
      </c>
      <c r="H42" s="31">
        <v>0.114425322844793</v>
      </c>
      <c r="I42" s="31">
        <v>0.16700000000000001</v>
      </c>
    </row>
    <row r="43" spans="1:9" ht="15">
      <c r="A43" s="57" t="s">
        <v>180</v>
      </c>
      <c r="B43" s="58" t="s">
        <v>53</v>
      </c>
      <c r="C43" s="11">
        <v>5</v>
      </c>
      <c r="D43" s="59">
        <f ca="1">IFERROR(__xludf.dummyfunction("QUERY(db_data!$A$2:B1000, ""SELECT B WHERE A = '""&amp;A43&amp;""'"", 0)"),59270.1800510483)</f>
        <v>59270.180051048301</v>
      </c>
      <c r="E43" s="59">
        <f ca="1">IFERROR(__xludf.dummyfunction("QUERY(db_data!$C$2:D1000, ""SELECT D WHERE C = '""&amp;A43&amp;""'"", 0)"),19491448632.0679)</f>
        <v>19491448632.067902</v>
      </c>
      <c r="F43" s="39">
        <f ca="1">IFERROR(__xludf.dummyfunction("QUERY(db_data!$E$2:F1000, ""SELECT F WHERE E = '""&amp;A43&amp;""'"", 0)"),8.8)</f>
        <v>8.8000000000000007</v>
      </c>
      <c r="G43" s="32"/>
      <c r="H43" s="31">
        <v>0.2182440917913</v>
      </c>
      <c r="I43" s="31">
        <v>4.2999999999999997E-2</v>
      </c>
    </row>
    <row r="44" spans="1:9" ht="15">
      <c r="A44" s="57" t="s">
        <v>184</v>
      </c>
      <c r="B44" s="58" t="s">
        <v>54</v>
      </c>
      <c r="C44" s="11">
        <v>5</v>
      </c>
      <c r="D44" s="59">
        <f ca="1">IFERROR(__xludf.dummyfunction("QUERY(db_data!$A$2:B1000, ""SELECT B WHERE A = '""&amp;A44&amp;""'"", 0)"),31714.2209467105)</f>
        <v>31714.220946710499</v>
      </c>
      <c r="E44" s="59">
        <f ca="1">IFERROR(__xludf.dummyfunction("QUERY(db_data!$C$2:D1000, ""SELECT D WHERE C = '""&amp;A44&amp;""'"", 0)"),1744731951797.4)</f>
        <v>1744731951797.3999</v>
      </c>
      <c r="F44" s="39">
        <f ca="1">IFERROR(__xludf.dummyfunction("QUERY(db_data!$E$2:F1000, ""SELECT F WHERE E = '""&amp;A44&amp;""'"", 0)"),20.1)</f>
        <v>20.100000000000001</v>
      </c>
      <c r="G44" s="32">
        <v>0.53500000000000003</v>
      </c>
      <c r="H44" s="31">
        <v>0.20098075915250399</v>
      </c>
      <c r="I44" s="31">
        <v>0.73499999999999999</v>
      </c>
    </row>
    <row r="45" spans="1:9" ht="15">
      <c r="A45" s="57" t="s">
        <v>170</v>
      </c>
      <c r="B45" s="58" t="s">
        <v>55</v>
      </c>
      <c r="C45" s="11">
        <v>5</v>
      </c>
      <c r="D45" s="59">
        <f ca="1">IFERROR(__xludf.dummyfunction("QUERY(db_data!$A$2:B1000, ""SELECT B WHERE A = '""&amp;A45&amp;""'"", 0)"),22932.2249686565)</f>
        <v>22932.224968656501</v>
      </c>
      <c r="E45" s="59">
        <f ca="1">IFERROR(__xludf.dummyfunction("QUERY(db_data!$C$2:D1000, ""SELECT D WHERE C = '""&amp;A45&amp;""'"", 0)"),203104100818.131)</f>
        <v>203104100818.13101</v>
      </c>
      <c r="F45" s="39">
        <f ca="1">IFERROR(__xludf.dummyfunction("QUERY(db_data!$E$2:F1000, ""SELECT F WHERE E = '""&amp;A45&amp;""'"", 0)"),10.1)</f>
        <v>10.1</v>
      </c>
      <c r="G45" s="32">
        <v>0.56299999999999994</v>
      </c>
      <c r="H45" s="31">
        <v>0.175700436419362</v>
      </c>
      <c r="I45" s="31">
        <v>0.41199999999999998</v>
      </c>
    </row>
    <row r="46" spans="1:9" ht="15">
      <c r="A46" s="57" t="s">
        <v>172</v>
      </c>
      <c r="B46" s="58" t="s">
        <v>56</v>
      </c>
      <c r="C46" s="11">
        <v>5</v>
      </c>
      <c r="D46" s="59">
        <f ca="1">IFERROR(__xludf.dummyfunction("QUERY(db_data!$A$2:B1000, ""SELECT B WHERE A = '""&amp;A46&amp;""'"", 0)"),23027.0269956294)</f>
        <v>23027.0269956294</v>
      </c>
      <c r="E46" s="59">
        <f ca="1">IFERROR(__xludf.dummyfunction("QUERY(db_data!$C$2:D1000, ""SELECT D WHERE C = '""&amp;A46&amp;""'"", 0)"),26269347954.8905)</f>
        <v>26269347954.890499</v>
      </c>
      <c r="F46" s="39">
        <f ca="1">IFERROR(__xludf.dummyfunction("QUERY(db_data!$E$2:F1000, ""SELECT F WHERE E = '""&amp;A46&amp;""'"", 0)"),21.7)</f>
        <v>21.7</v>
      </c>
      <c r="G46" s="32">
        <v>0.58099999999999996</v>
      </c>
      <c r="H46" s="31">
        <v>0.16877990754007999</v>
      </c>
      <c r="I46" s="31">
        <v>0.10100000000000001</v>
      </c>
    </row>
    <row r="47" spans="1:9" ht="15">
      <c r="A47" s="57" t="s">
        <v>163</v>
      </c>
      <c r="B47" s="58" t="s">
        <v>57</v>
      </c>
      <c r="C47" s="11">
        <v>5</v>
      </c>
      <c r="D47" s="59">
        <f ca="1">IFERROR(__xludf.dummyfunction("QUERY(db_data!$A$2:B1000, ""SELECT B WHERE A = '""&amp;A47&amp;""'"", 0)"),107079.479836627)</f>
        <v>107079.479836627</v>
      </c>
      <c r="E47" s="59">
        <f ca="1">IFERROR(__xludf.dummyfunction("QUERY(db_data!$C$2:D1000, ""SELECT D WHERE C = '""&amp;A47&amp;""'"", 0)"),6416619976.78948)</f>
        <v>6416619976.7894802</v>
      </c>
      <c r="F47" s="31">
        <v>15</v>
      </c>
      <c r="G47" s="32">
        <v>1</v>
      </c>
      <c r="H47" s="31">
        <v>0.157472432939704</v>
      </c>
      <c r="I47" s="31">
        <v>0.1</v>
      </c>
    </row>
    <row r="48" spans="1:9" ht="15">
      <c r="A48" s="57" t="s">
        <v>205</v>
      </c>
      <c r="B48" s="58" t="s">
        <v>58</v>
      </c>
      <c r="C48" s="11">
        <v>4</v>
      </c>
      <c r="D48" s="59">
        <f ca="1">IFERROR(__xludf.dummyfunction("QUERY(db_data!$A$2:B1000, ""SELECT B WHERE A = '""&amp;A48&amp;""'"", 0)"),25517.33066526)</f>
        <v>25517.33066526</v>
      </c>
      <c r="E48" s="59">
        <f ca="1">IFERROR(__xludf.dummyfunction("QUERY(db_data!$C$2:D1000, ""SELECT D WHERE C = '""&amp;A48&amp;""'"", 0)"),48124693310.8877)</f>
        <v>48124693310.887703</v>
      </c>
      <c r="F48" s="39">
        <f ca="1">IFERROR(__xludf.dummyfunction("QUERY(db_data!$E$2:F1000, ""SELECT F WHERE E = '""&amp;A48&amp;""'"", 0)"),12)</f>
        <v>12</v>
      </c>
      <c r="G48" s="32"/>
      <c r="H48" s="31">
        <v>0.19717774762550899</v>
      </c>
      <c r="I48" s="31">
        <v>0.22800000000000001</v>
      </c>
    </row>
    <row r="49" spans="1:9" ht="15">
      <c r="A49" s="57" t="s">
        <v>179</v>
      </c>
      <c r="B49" s="58" t="s">
        <v>59</v>
      </c>
      <c r="C49" s="11">
        <v>4</v>
      </c>
      <c r="D49" s="59">
        <f ca="1">IFERROR(__xludf.dummyfunction("QUERY(db_data!$A$2:B1000, ""SELECT B WHERE A = '""&amp;A49&amp;""'"", 0)"),15980.740889649)</f>
        <v>15980.740889649</v>
      </c>
      <c r="E49" s="59">
        <f ca="1">IFERROR(__xludf.dummyfunction("QUERY(db_data!$C$2:D1000, ""SELECT D WHERE C = '""&amp;A49&amp;""'"", 0)"),140096898857.097)</f>
        <v>140096898857.09698</v>
      </c>
      <c r="F49" s="39">
        <f ca="1">IFERROR(__xludf.dummyfunction("QUERY(db_data!$E$2:F1000, ""SELECT F WHERE E = '""&amp;A49&amp;""'"", 0)"),12.3)</f>
        <v>12.3</v>
      </c>
      <c r="G49" s="32">
        <v>0.59299999999999997</v>
      </c>
      <c r="H49" s="31">
        <v>0.17003769971874799</v>
      </c>
      <c r="I49" s="31">
        <v>0.51800000000000002</v>
      </c>
    </row>
    <row r="50" spans="1:9" ht="15">
      <c r="A50" s="57" t="s">
        <v>195</v>
      </c>
      <c r="B50" s="58" t="s">
        <v>60</v>
      </c>
      <c r="C50" s="11">
        <v>4</v>
      </c>
      <c r="D50" s="59">
        <f ca="1">IFERROR(__xludf.dummyfunction("QUERY(db_data!$A$2:B1000, ""SELECT B WHERE A = '""&amp;A50&amp;""'"", 0)"),12659.7177242392)</f>
        <v>12659.717724239201</v>
      </c>
      <c r="E50" s="60">
        <v>76330000000</v>
      </c>
      <c r="F50" s="31">
        <v>15</v>
      </c>
      <c r="G50" s="32">
        <v>0.41699999999999998</v>
      </c>
      <c r="H50" s="31">
        <v>0.143677248076967</v>
      </c>
      <c r="I50" s="31">
        <v>0.126</v>
      </c>
    </row>
    <row r="51" spans="1:9" ht="29.25">
      <c r="A51" s="57" t="s">
        <v>202</v>
      </c>
      <c r="B51" s="58" t="s">
        <v>61</v>
      </c>
      <c r="C51" s="11">
        <v>3</v>
      </c>
      <c r="D51" s="59">
        <f ca="1">IFERROR(__xludf.dummyfunction("QUERY(db_data!$A$2:B1000, ""SELECT B WHERE A = '""&amp;A51&amp;""'"", 0)"),10126.7217935297)</f>
        <v>10126.721793529699</v>
      </c>
      <c r="E51" s="59">
        <f ca="1">IFERROR(__xludf.dummyfunction("QUERY(db_data!$C$2:D1000, ""SELECT D WHERE C = '""&amp;A51&amp;""'"", 0)"),1416124431328.3)</f>
        <v>1416124431328.3</v>
      </c>
      <c r="F51" s="31">
        <v>15</v>
      </c>
      <c r="G51" s="32">
        <v>0.51100000000000001</v>
      </c>
      <c r="H51" s="31">
        <v>0.222900932918703</v>
      </c>
      <c r="I51" s="31">
        <v>1.5</v>
      </c>
    </row>
    <row r="52" spans="1:9" ht="15">
      <c r="A52" s="57" t="s">
        <v>174</v>
      </c>
      <c r="B52" s="58" t="s">
        <v>62</v>
      </c>
      <c r="C52" s="11">
        <v>3</v>
      </c>
      <c r="D52" s="60">
        <v>15270</v>
      </c>
      <c r="E52" s="60">
        <v>4350000000</v>
      </c>
      <c r="F52" s="31">
        <v>15</v>
      </c>
      <c r="G52" s="32">
        <v>0.5</v>
      </c>
      <c r="H52" s="31">
        <v>0.210983310780334</v>
      </c>
      <c r="I52" s="31">
        <v>0.05</v>
      </c>
    </row>
    <row r="53" spans="1:9" ht="15">
      <c r="A53" s="57" t="s">
        <v>181</v>
      </c>
      <c r="B53" s="58" t="s">
        <v>63</v>
      </c>
      <c r="C53" s="11">
        <v>3</v>
      </c>
      <c r="D53" s="59">
        <f ca="1">IFERROR(__xludf.dummyfunction("QUERY(db_data!$A$2:B1000, ""SELECT B WHERE A = '""&amp;A53&amp;""'"", 0)"),3869.58842704537)</f>
        <v>3869.5884270453698</v>
      </c>
      <c r="E53" s="59">
        <f ca="1">IFERROR(__xludf.dummyfunction("QUERY(db_data!$C$2:D1000, ""SELECT D WHERE C = '""&amp;A53&amp;""'"", 0)"),1027602854052.75)</f>
        <v>1027602854052.75</v>
      </c>
      <c r="F53" s="39">
        <f ca="1">IFERROR(__xludf.dummyfunction("QUERY(db_data!$E$2:F1000, ""SELECT F WHERE E = '""&amp;A53&amp;""'"", 0)"),9.4)</f>
        <v>9.4</v>
      </c>
      <c r="G53" s="32">
        <v>0.46600000000000003</v>
      </c>
      <c r="H53" s="31">
        <v>0.20398818806197899</v>
      </c>
      <c r="I53" s="31">
        <v>5</v>
      </c>
    </row>
    <row r="54" spans="1:9" ht="29.25">
      <c r="A54" s="57" t="s">
        <v>211</v>
      </c>
      <c r="B54" s="58" t="s">
        <v>64</v>
      </c>
      <c r="C54" s="11">
        <v>3</v>
      </c>
      <c r="D54" s="59">
        <f ca="1">IFERROR(__xludf.dummyfunction("QUERY(db_data!$A$2:B1000, ""SELECT B WHERE A = '""&amp;A54&amp;""'"", 0)"),15425.6351094785)</f>
        <v>15425.6351094785</v>
      </c>
      <c r="E54" s="59">
        <f ca="1">IFERROR(__xludf.dummyfunction("QUERY(db_data!$C$2:D1000, ""SELECT D WHERE C = '""&amp;A54&amp;""'"", 0)"),20813757908.5789)</f>
        <v>20813757908.578899</v>
      </c>
      <c r="F54" s="31">
        <v>15</v>
      </c>
      <c r="G54" s="32">
        <v>0.5</v>
      </c>
      <c r="H54" s="31">
        <v>0.19639881049638899</v>
      </c>
      <c r="I54" s="31">
        <v>0.46100000000000002</v>
      </c>
    </row>
    <row r="55" spans="1:9" ht="15">
      <c r="A55" s="57" t="s">
        <v>201</v>
      </c>
      <c r="B55" s="58" t="s">
        <v>65</v>
      </c>
      <c r="C55" s="11">
        <v>3</v>
      </c>
      <c r="D55" s="59">
        <f ca="1">IFERROR(__xludf.dummyfunction("QUERY(db_data!$A$2:B1000, ""SELECT B WHERE A = '""&amp;A55&amp;""'"", 0)"),50124.3859361728)</f>
        <v>50124.385936172803</v>
      </c>
      <c r="E55" s="59">
        <f ca="1">IFERROR(__xludf.dummyfunction("QUERY(db_data!$C$2:D1000, ""SELECT D WHERE C = '""&amp;A55&amp;""'"", 0)"),161416823761.21)</f>
        <v>161416823761.20999</v>
      </c>
      <c r="F55" s="31">
        <v>15</v>
      </c>
      <c r="G55" s="32">
        <v>0.46700000000000003</v>
      </c>
      <c r="H55" s="31">
        <v>0.15131733021077301</v>
      </c>
      <c r="I55" s="31">
        <v>0.27900000000000003</v>
      </c>
    </row>
    <row r="56" spans="1:9" ht="15">
      <c r="A56" s="57" t="s">
        <v>218</v>
      </c>
      <c r="B56" s="58" t="s">
        <v>66</v>
      </c>
      <c r="C56" s="11">
        <v>3</v>
      </c>
      <c r="D56" s="60">
        <v>37233</v>
      </c>
      <c r="E56" s="60">
        <v>3984000000</v>
      </c>
      <c r="F56" s="31">
        <v>15</v>
      </c>
      <c r="G56" s="32">
        <v>1</v>
      </c>
      <c r="H56" s="31">
        <v>6.6733886025842098E-2</v>
      </c>
      <c r="I56" s="31">
        <v>2.1999999999999999E-2</v>
      </c>
    </row>
    <row r="57" spans="1:9" ht="15">
      <c r="A57" s="57" t="s">
        <v>189</v>
      </c>
      <c r="B57" s="58" t="s">
        <v>67</v>
      </c>
      <c r="C57" s="11">
        <v>2</v>
      </c>
      <c r="D57" s="59">
        <f ca="1">IFERROR(__xludf.dummyfunction("QUERY(db_data!$A$2:B1000, ""SELECT B WHERE A = '""&amp;A57&amp;""'"", 0)"),8627.84315711981)</f>
        <v>8627.8431571198107</v>
      </c>
      <c r="E57" s="59">
        <f ca="1">IFERROR(__xludf.dummyfunction("QUERY(db_data!$C$2:D1000, ""SELECT D WHERE C = '""&amp;A57&amp;""'"", 0)"),11465335041.3424)</f>
        <v>11465335041.3424</v>
      </c>
      <c r="F57" s="39">
        <f ca="1">IFERROR(__xludf.dummyfunction("QUERY(db_data!$E$2:F1000, ""SELECT F WHERE E = '""&amp;A57&amp;""'"", 0)"),10.3)</f>
        <v>10.3</v>
      </c>
      <c r="G57" s="32">
        <v>0.5</v>
      </c>
      <c r="H57" s="31">
        <v>0.365473464304367</v>
      </c>
      <c r="I57" s="31">
        <v>3.1E-2</v>
      </c>
    </row>
    <row r="58" spans="1:9" ht="15">
      <c r="A58" s="57" t="s">
        <v>177</v>
      </c>
      <c r="B58" s="58" t="s">
        <v>68</v>
      </c>
      <c r="C58" s="11">
        <v>2</v>
      </c>
      <c r="D58" s="59">
        <f ca="1">IFERROR(__xludf.dummyfunction("QUERY(db_data!$A$2:B1000, ""SELECT B WHERE A = '""&amp;A58&amp;""'"", 0)"),34624.3401290414)</f>
        <v>34624.340129041397</v>
      </c>
      <c r="E58" s="59">
        <f ca="1">IFERROR(__xludf.dummyfunction("QUERY(db_data!$C$2:D1000, ""SELECT D WHERE C = '""&amp;A58&amp;""'"", 0)"),5259729936.30573)</f>
        <v>5259729936.3057299</v>
      </c>
      <c r="F58" s="31">
        <v>15</v>
      </c>
      <c r="G58" s="32">
        <v>0.5</v>
      </c>
      <c r="H58" s="31">
        <v>0.14777534646243601</v>
      </c>
      <c r="I58" s="31">
        <v>0.01</v>
      </c>
    </row>
    <row r="59" spans="1:9" ht="15">
      <c r="A59" s="57" t="s">
        <v>352</v>
      </c>
      <c r="B59" s="58" t="s">
        <v>69</v>
      </c>
      <c r="C59" s="11">
        <v>1</v>
      </c>
      <c r="D59" s="59">
        <f ca="1">IFERROR(__xludf.dummyfunction("QUERY(db_data!$A$2:B1000, ""SELECT B WHERE A = '""&amp;A59&amp;""'"", 0)"),7720.51057195234)</f>
        <v>7720.5105719523399</v>
      </c>
      <c r="E59" s="59">
        <f ca="1">IFERROR(__xludf.dummyfunction("QUERY(db_data!$C$2:D1000, ""SELECT D WHERE C = '""&amp;A59&amp;""'"", 0)"),45184791299.441)</f>
        <v>45184791299.441002</v>
      </c>
      <c r="F59" s="39">
        <f ca="1">IFERROR(__xludf.dummyfunction("QUERY(db_data!$E$2:F1000, ""SELECT F WHERE E = '""&amp;A59&amp;""'"", 0)"),23.2)</f>
        <v>23.2</v>
      </c>
      <c r="G59" s="31">
        <v>0.59899999999999998</v>
      </c>
      <c r="H59" s="31">
        <v>0.35207795257102598</v>
      </c>
      <c r="I59" s="31">
        <v>0.28899999999999998</v>
      </c>
    </row>
    <row r="60" spans="1:9" ht="15">
      <c r="A60" s="57" t="s">
        <v>353</v>
      </c>
      <c r="B60" s="58" t="s">
        <v>70</v>
      </c>
      <c r="C60" s="11">
        <v>1</v>
      </c>
      <c r="D60" s="59">
        <f ca="1">IFERROR(__xludf.dummyfunction("QUERY(db_data!$A$2:B1000, ""SELECT B WHERE A = '""&amp;A60&amp;""'"", 0)"),15373.8547035017)</f>
        <v>15373.8547035017</v>
      </c>
      <c r="E60" s="59">
        <f ca="1">IFERROR(__xludf.dummyfunction("QUERY(db_data!$C$2:D1000, ""SELECT D WHERE C = '""&amp;A60&amp;""'"", 0)"),3906818634.5026)</f>
        <v>3906818634.5026002</v>
      </c>
      <c r="F60" s="31">
        <v>15</v>
      </c>
      <c r="G60" s="32">
        <v>1</v>
      </c>
      <c r="H60" s="31">
        <v>0.33766771575285698</v>
      </c>
      <c r="I60" s="31">
        <v>0.01</v>
      </c>
    </row>
    <row r="61" spans="1:9" ht="15">
      <c r="A61" s="57" t="s">
        <v>354</v>
      </c>
      <c r="B61" s="58" t="s">
        <v>71</v>
      </c>
      <c r="C61" s="11">
        <v>1</v>
      </c>
      <c r="D61" s="59">
        <f ca="1">IFERROR(__xludf.dummyfunction("QUERY(db_data!$A$2:B1000, ""SELECT B WHERE A = '""&amp;A61&amp;""'"", 0)"),1543.66925757282)</f>
        <v>1543.66925757282</v>
      </c>
      <c r="E61" s="59">
        <f ca="1">IFERROR(__xludf.dummyfunction("QUERY(db_data!$C$2:D1000, ""SELECT D WHERE C = '""&amp;A61&amp;""'"", 0)"),23012192756.0004)</f>
        <v>23012192756.000401</v>
      </c>
      <c r="F61" s="39">
        <f ca="1">IFERROR(__xludf.dummyfunction("QUERY(db_data!$E$2:F1000, ""SELECT F WHERE E = '""&amp;A61&amp;""'"", 0)"),17.7)</f>
        <v>17.7</v>
      </c>
      <c r="G61" s="32">
        <v>0.42299999999999999</v>
      </c>
      <c r="H61" s="31">
        <v>0.31935515774898598</v>
      </c>
      <c r="I61" s="31">
        <v>0.25900000000000001</v>
      </c>
    </row>
    <row r="62" spans="1:9" ht="15">
      <c r="A62" s="57" t="s">
        <v>355</v>
      </c>
      <c r="B62" s="58" t="s">
        <v>72</v>
      </c>
      <c r="C62" s="11">
        <v>1</v>
      </c>
      <c r="D62" s="59">
        <f ca="1">IFERROR(__xludf.dummyfunction("QUERY(db_data!$A$2:B1000, ""SELECT B WHERE A = '""&amp;A62&amp;""'"", 0)"),4282.76582461621)</f>
        <v>4282.76582461621</v>
      </c>
      <c r="E62" s="59">
        <f ca="1">IFERROR(__xludf.dummyfunction("QUERY(db_data!$C$2:D1000, ""SELECT D WHERE C = '""&amp;A62&amp;""'"", 0)"),41108073616.9012)</f>
        <v>41108073616.901199</v>
      </c>
      <c r="F62" s="39">
        <f ca="1">IFERROR(__xludf.dummyfunction("QUERY(db_data!$E$2:F1000, ""SELECT F WHERE E = '""&amp;A62&amp;""'"", 0)"),15.7)</f>
        <v>15.7</v>
      </c>
      <c r="G62" s="32">
        <v>0.44</v>
      </c>
      <c r="H62" s="31">
        <v>0.27421931735657201</v>
      </c>
      <c r="I62" s="31">
        <v>0.20399999999999999</v>
      </c>
    </row>
    <row r="63" spans="1:9" ht="15">
      <c r="A63" s="57" t="s">
        <v>356</v>
      </c>
      <c r="B63" s="58" t="s">
        <v>73</v>
      </c>
      <c r="C63" s="11">
        <v>1</v>
      </c>
      <c r="D63" s="60">
        <v>87117</v>
      </c>
      <c r="E63" s="60">
        <v>55150000000</v>
      </c>
      <c r="F63" s="31">
        <v>15</v>
      </c>
      <c r="G63" s="32">
        <v>0.5</v>
      </c>
      <c r="H63" s="31">
        <v>0.26290349008684299</v>
      </c>
      <c r="I63" s="31">
        <v>0.01</v>
      </c>
    </row>
    <row r="64" spans="1:9" ht="15">
      <c r="A64" s="57" t="s">
        <v>357</v>
      </c>
      <c r="B64" s="58" t="s">
        <v>74</v>
      </c>
      <c r="C64" s="11">
        <v>1</v>
      </c>
      <c r="D64" s="60">
        <v>24668</v>
      </c>
      <c r="E64" s="60">
        <v>10300000000</v>
      </c>
      <c r="F64" s="31">
        <v>15</v>
      </c>
      <c r="G64" s="32">
        <v>0.5</v>
      </c>
      <c r="H64" s="31">
        <v>0.24371098921883899</v>
      </c>
      <c r="I64" s="31">
        <v>7.2900000000000005E-4</v>
      </c>
    </row>
    <row r="65" spans="1:9" ht="15">
      <c r="A65" s="57" t="s">
        <v>358</v>
      </c>
      <c r="B65" s="58" t="s">
        <v>75</v>
      </c>
      <c r="C65" s="11">
        <v>1</v>
      </c>
      <c r="D65" s="59">
        <f ca="1">IFERROR(__xludf.dummyfunction("QUERY(db_data!$A$2:B1000, ""SELECT B WHERE A = '""&amp;A65&amp;""'"", 0)"),20233.6413480843)</f>
        <v>20233.6413480843</v>
      </c>
      <c r="E65" s="59">
        <f ca="1">IFERROR(__xludf.dummyfunction("QUERY(db_data!$C$2:D1000, ""SELECT D WHERE C = '""&amp;A65&amp;""'"", 0)"),48091287110.449)</f>
        <v>48091287110.448997</v>
      </c>
      <c r="F65" s="39">
        <f ca="1">IFERROR(__xludf.dummyfunction("QUERY(db_data!$E$2:F1000, ""SELECT F WHERE E = '""&amp;A65&amp;""'"", 0)"),20.6)</f>
        <v>20.6</v>
      </c>
      <c r="G65" s="32">
        <v>0.57899999999999996</v>
      </c>
      <c r="H65" s="31">
        <v>0.19352124526714301</v>
      </c>
      <c r="I65" s="31">
        <v>0.17899999999999999</v>
      </c>
    </row>
    <row r="66" spans="1:9" ht="15">
      <c r="A66" s="57" t="s">
        <v>213</v>
      </c>
      <c r="B66" s="58" t="s">
        <v>76</v>
      </c>
      <c r="C66" s="11">
        <v>1</v>
      </c>
      <c r="D66" s="59">
        <f ca="1">IFERROR(__xludf.dummyfunction("QUERY(db_data!$A$2:B1000, ""SELECT B WHERE A = '""&amp;A66&amp;""'"", 0)"),15438.4116657291)</f>
        <v>15438.4116657291</v>
      </c>
      <c r="E66" s="59">
        <f ca="1">IFERROR(__xludf.dummyfunction("QUERY(db_data!$C$2:D1000, ""SELECT D WHERE C = '""&amp;A66&amp;""'"", 0)"),52260972281.8054)</f>
        <v>52260972281.805397</v>
      </c>
      <c r="F66" s="39">
        <f ca="1">IFERROR(__xludf.dummyfunction("QUERY(db_data!$E$2:F1000, ""SELECT F WHERE E = '""&amp;A66&amp;""'"", 0)"),8.8)</f>
        <v>8.8000000000000007</v>
      </c>
      <c r="G66" s="32">
        <v>0.50900000000000001</v>
      </c>
      <c r="H66" s="31">
        <v>0.19181404749873701</v>
      </c>
      <c r="I66" s="31">
        <v>0.23300000000000001</v>
      </c>
    </row>
    <row r="67" spans="1:9" ht="15">
      <c r="A67" s="57" t="s">
        <v>199</v>
      </c>
      <c r="B67" s="58" t="s">
        <v>77</v>
      </c>
      <c r="C67" s="11">
        <v>1</v>
      </c>
      <c r="D67" s="59">
        <f ca="1">IFERROR(__xludf.dummyfunction("QUERY(db_data!$A$2:B1000, ""SELECT B WHERE A = '""&amp;A67&amp;""'"", 0)"),15720.994663556)</f>
        <v>15720.994663556001</v>
      </c>
      <c r="E67" s="59">
        <f ca="1">IFERROR(__xludf.dummyfunction("QUERY(db_data!$C$2:D1000, ""SELECT D WHERE C = '""&amp;A67&amp;""'"", 0)"),555630454967.502)</f>
        <v>555630454967.50195</v>
      </c>
      <c r="F67" s="39">
        <f ca="1">IFERROR(__xludf.dummyfunction("QUERY(db_data!$E$2:F1000, ""SELECT F WHERE E = '""&amp;A67&amp;""'"", 0)"),15.4)</f>
        <v>15.4</v>
      </c>
      <c r="G67" s="32">
        <v>0.59699999999999998</v>
      </c>
      <c r="H67" s="31">
        <v>0.17721072436500501</v>
      </c>
      <c r="I67" s="31">
        <v>0.79200000000000004</v>
      </c>
    </row>
    <row r="68" spans="1:9" ht="15">
      <c r="A68" s="57" t="s">
        <v>359</v>
      </c>
      <c r="B68" s="58" t="s">
        <v>78</v>
      </c>
      <c r="C68" s="11">
        <v>1</v>
      </c>
      <c r="D68" s="59">
        <f ca="1">IFERROR(__xludf.dummyfunction("QUERY(db_data!$A$2:B1000, ""SELECT B WHERE A = '""&amp;A68&amp;""'"", 0)"),48773.2811691347)</f>
        <v>48773.281169134701</v>
      </c>
      <c r="E68" s="59">
        <f ca="1">IFERROR(__xludf.dummyfunction("QUERY(db_data!$C$2:D1000, ""SELECT D WHERE C = '""&amp;A68&amp;""'"", 0)"),247627994062.826)</f>
        <v>247627994062.82599</v>
      </c>
      <c r="F68" s="39">
        <f ca="1">IFERROR(__xludf.dummyfunction("QUERY(db_data!$E$2:F1000, ""SELECT F WHERE E = '""&amp;A68&amp;""'"", 0)"),12.2)</f>
        <v>12.2</v>
      </c>
      <c r="G68" s="32">
        <v>0.61799999999999999</v>
      </c>
      <c r="H68" s="31">
        <v>0.17263805131843399</v>
      </c>
      <c r="I68" s="31">
        <v>0.54700000000000004</v>
      </c>
    </row>
    <row r="69" spans="1:9" ht="15">
      <c r="A69" s="57" t="s">
        <v>360</v>
      </c>
      <c r="B69" s="58" t="s">
        <v>79</v>
      </c>
      <c r="C69" s="11">
        <v>1</v>
      </c>
      <c r="D69" s="59">
        <f ca="1">IFERROR(__xludf.dummyfunction("QUERY(db_data!$A$2:B1000, ""SELECT B WHERE A = '""&amp;A69&amp;""'"", 0)"),17726.2529351368)</f>
        <v>17726.252935136799</v>
      </c>
      <c r="E69" s="59">
        <f ca="1">IFERROR(__xludf.dummyfunction("QUERY(db_data!$C$2:D1000, ""SELECT D WHERE C = '""&amp;A69&amp;""'"", 0)"),29604557971.0212)</f>
        <v>29604557971.021198</v>
      </c>
      <c r="F69" s="39">
        <f ca="1">IFERROR(__xludf.dummyfunction("QUERY(db_data!$E$2:F1000, ""SELECT F WHERE E = '""&amp;A69&amp;""'"", 0)"),22.9)</f>
        <v>22.9</v>
      </c>
      <c r="G69" s="32">
        <v>0.56899999999999995</v>
      </c>
      <c r="H69" s="31">
        <v>0.17263805131843399</v>
      </c>
      <c r="I69" s="31">
        <v>0.115</v>
      </c>
    </row>
    <row r="70" spans="1:9" ht="15">
      <c r="A70" s="57" t="s">
        <v>361</v>
      </c>
      <c r="B70" s="58" t="s">
        <v>80</v>
      </c>
      <c r="C70" s="11">
        <v>1</v>
      </c>
      <c r="D70" s="59">
        <f ca="1">IFERROR(__xludf.dummyfunction("QUERY(db_data!$A$2:B1000, ""SELECT B WHERE A = '""&amp;A70&amp;""'"", 0)"),12896.0886211622)</f>
        <v>12896.0886211622</v>
      </c>
      <c r="E70" s="59">
        <f ca="1">IFERROR(__xludf.dummyfunction("QUERY(db_data!$C$2:D1000, ""SELECT D WHERE C = '""&amp;A70&amp;""'"", 0)"),208838846565.924)</f>
        <v>208838846565.92401</v>
      </c>
      <c r="F70" s="39">
        <f ca="1">IFERROR(__xludf.dummyfunction("QUERY(db_data!$E$2:F1000, ""SELECT F WHERE E = '""&amp;A70&amp;""'"", 0)"),23.8)</f>
        <v>23.8</v>
      </c>
      <c r="G70" s="32">
        <v>0.59799999999999998</v>
      </c>
      <c r="H70" s="31">
        <v>0.170058139534884</v>
      </c>
      <c r="I70" s="31">
        <v>0.92100000000000004</v>
      </c>
    </row>
    <row r="71" spans="1:9" ht="15">
      <c r="A71" s="57" t="s">
        <v>362</v>
      </c>
      <c r="B71" s="58" t="s">
        <v>81</v>
      </c>
      <c r="C71" s="11">
        <v>1</v>
      </c>
      <c r="D71" s="59">
        <f ca="1">IFERROR(__xludf.dummyfunction("QUERY(db_data!$A$2:B1000, ""SELECT B WHERE A = '""&amp;A71&amp;""'"", 0)"),10434.7751874839)</f>
        <v>10434.7751874839</v>
      </c>
      <c r="E71" s="59">
        <f ca="1">IFERROR(__xludf.dummyfunction("QUERY(db_data!$C$2:D1000, ""SELECT D WHERE C = '""&amp;A71&amp;""'"", 0)"),14631844421164.2)</f>
        <v>14631844421164.199</v>
      </c>
      <c r="F71" s="39">
        <f ca="1">IFERROR(__xludf.dummyfunction("QUERY(db_data!$E$2:F1000, ""SELECT F WHERE E = '""&amp;A71&amp;""'"", 0)"),0.6)</f>
        <v>0.6</v>
      </c>
      <c r="G71" s="32">
        <v>0.51300000000000001</v>
      </c>
      <c r="H71" s="31">
        <v>0.15286016949152501</v>
      </c>
      <c r="I71" s="31">
        <v>0.1</v>
      </c>
    </row>
    <row r="72" spans="1:9" ht="29.25">
      <c r="A72" s="57" t="s">
        <v>363</v>
      </c>
      <c r="B72" s="58" t="s">
        <v>82</v>
      </c>
      <c r="C72" s="11">
        <v>1</v>
      </c>
      <c r="D72" s="60">
        <v>19156</v>
      </c>
      <c r="E72" s="60">
        <v>104600000000</v>
      </c>
      <c r="F72" s="31">
        <v>15</v>
      </c>
      <c r="G72" s="32">
        <v>0.59</v>
      </c>
      <c r="H72" s="31">
        <v>0.123590368790003</v>
      </c>
      <c r="I72" s="31">
        <v>0.215</v>
      </c>
    </row>
  </sheetData>
  <pageMargins left="0.7" right="0.7" top="0.75" bottom="0.75" header="0.511811023622047" footer="0.511811023622047"/>
  <pageSetup orientation="landscape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1000"/>
  <sheetViews>
    <sheetView zoomScaleNormal="100" workbookViewId="0"/>
  </sheetViews>
  <sheetFormatPr defaultColWidth="12.625" defaultRowHeight="14.25"/>
  <cols>
    <col min="1" max="14" width="11" customWidth="1"/>
  </cols>
  <sheetData>
    <row r="1" spans="1:14" ht="15">
      <c r="A1" s="61" t="s">
        <v>364</v>
      </c>
      <c r="B1" s="62">
        <v>2020</v>
      </c>
      <c r="C1" s="63" t="s">
        <v>365</v>
      </c>
      <c r="D1" s="64" t="s">
        <v>366</v>
      </c>
      <c r="E1" s="61" t="s">
        <v>364</v>
      </c>
      <c r="F1" s="62" t="s">
        <v>232</v>
      </c>
      <c r="G1" s="37"/>
      <c r="H1" s="37"/>
      <c r="I1" s="37" t="s">
        <v>367</v>
      </c>
      <c r="J1" s="37" t="s">
        <v>368</v>
      </c>
      <c r="K1" s="37"/>
      <c r="L1" s="37" t="s">
        <v>369</v>
      </c>
      <c r="M1" s="37" t="s">
        <v>370</v>
      </c>
      <c r="N1" s="37"/>
    </row>
    <row r="2" spans="1:14" ht="15">
      <c r="A2" s="61" t="s">
        <v>365</v>
      </c>
      <c r="B2" s="65"/>
      <c r="C2" s="63" t="s">
        <v>371</v>
      </c>
      <c r="D2" s="62">
        <v>975174419567.34204</v>
      </c>
      <c r="E2" s="63" t="s">
        <v>372</v>
      </c>
      <c r="F2" s="62">
        <v>76.8</v>
      </c>
      <c r="G2" s="37" t="s">
        <v>158</v>
      </c>
      <c r="H2" s="66" t="s">
        <v>373</v>
      </c>
      <c r="I2" s="67">
        <v>1</v>
      </c>
      <c r="J2" s="67">
        <v>1</v>
      </c>
      <c r="K2" s="67"/>
      <c r="L2" s="37" t="s">
        <v>128</v>
      </c>
      <c r="M2" s="37">
        <f>2.2+2.9+1.5+2.7</f>
        <v>9.3000000000000007</v>
      </c>
      <c r="N2" s="37"/>
    </row>
    <row r="3" spans="1:14" ht="15">
      <c r="A3" s="61" t="s">
        <v>371</v>
      </c>
      <c r="B3" s="62">
        <v>1356.69926745665</v>
      </c>
      <c r="C3" s="63" t="s">
        <v>374</v>
      </c>
      <c r="D3" s="62">
        <v>20621946475.7248</v>
      </c>
      <c r="E3" s="63" t="s">
        <v>375</v>
      </c>
      <c r="F3" s="62">
        <v>76.400000000000006</v>
      </c>
      <c r="G3" s="37" t="s">
        <v>160</v>
      </c>
      <c r="H3" s="66" t="s">
        <v>376</v>
      </c>
      <c r="I3" s="67">
        <v>623</v>
      </c>
      <c r="J3" s="67">
        <f t="shared" ref="J3:J9" si="0">I3/1000</f>
        <v>0.623</v>
      </c>
      <c r="K3" s="67"/>
      <c r="L3" s="37" t="s">
        <v>132</v>
      </c>
      <c r="M3" s="37">
        <f>5.6+3.9+2.6+16.3+29.5+0.757+1.7</f>
        <v>60.356999999999999</v>
      </c>
    </row>
    <row r="4" spans="1:14" ht="15">
      <c r="A4" s="61" t="s">
        <v>374</v>
      </c>
      <c r="B4" s="62">
        <v>516.747870807558</v>
      </c>
      <c r="C4" s="63" t="s">
        <v>377</v>
      </c>
      <c r="D4" s="62">
        <v>820636112652.49695</v>
      </c>
      <c r="E4" s="63" t="s">
        <v>378</v>
      </c>
      <c r="F4" s="62">
        <v>70.7</v>
      </c>
      <c r="G4" s="37" t="s">
        <v>379</v>
      </c>
      <c r="H4" s="66" t="s">
        <v>380</v>
      </c>
      <c r="I4" s="67">
        <v>432</v>
      </c>
      <c r="J4" s="67">
        <f t="shared" si="0"/>
        <v>0.432</v>
      </c>
      <c r="K4" s="67"/>
      <c r="L4" s="46" t="s">
        <v>141</v>
      </c>
      <c r="M4" s="37">
        <f>17.5+6+0.165</f>
        <v>23.664999999999999</v>
      </c>
      <c r="N4" s="37"/>
    </row>
    <row r="5" spans="1:14" ht="15">
      <c r="A5" s="61" t="s">
        <v>377</v>
      </c>
      <c r="B5" s="62">
        <v>1710.07336335627</v>
      </c>
      <c r="C5" s="63" t="s">
        <v>381</v>
      </c>
      <c r="D5" s="62">
        <v>104128680882.974</v>
      </c>
      <c r="E5" s="63" t="s">
        <v>382</v>
      </c>
      <c r="F5" s="62">
        <v>69.3</v>
      </c>
      <c r="G5" s="37" t="s">
        <v>159</v>
      </c>
      <c r="H5" s="66" t="s">
        <v>383</v>
      </c>
      <c r="I5" s="67">
        <v>566</v>
      </c>
      <c r="J5" s="67">
        <f t="shared" si="0"/>
        <v>0.56599999999999995</v>
      </c>
      <c r="K5" s="67"/>
      <c r="L5" s="37" t="s">
        <v>97</v>
      </c>
      <c r="M5" s="37">
        <v>88.4</v>
      </c>
      <c r="N5" s="37"/>
    </row>
    <row r="6" spans="1:14" ht="15">
      <c r="A6" s="61" t="s">
        <v>381</v>
      </c>
      <c r="B6" s="62">
        <v>1776.1668678953099</v>
      </c>
      <c r="C6" s="63" t="s">
        <v>384</v>
      </c>
      <c r="D6" s="62">
        <v>12457862570.9615</v>
      </c>
      <c r="E6" s="63" t="s">
        <v>385</v>
      </c>
      <c r="F6" s="62">
        <v>69</v>
      </c>
      <c r="G6" s="37" t="s">
        <v>386</v>
      </c>
      <c r="H6" s="66" t="s">
        <v>387</v>
      </c>
      <c r="I6" s="67">
        <v>494</v>
      </c>
      <c r="J6" s="67">
        <f t="shared" si="0"/>
        <v>0.49399999999999999</v>
      </c>
      <c r="K6" s="67"/>
      <c r="L6" s="37" t="s">
        <v>144</v>
      </c>
      <c r="M6" s="37">
        <v>10.199999999999999</v>
      </c>
      <c r="N6" s="37"/>
    </row>
    <row r="7" spans="1:14" ht="15">
      <c r="A7" s="61" t="s">
        <v>384</v>
      </c>
      <c r="B7" s="62">
        <v>5246.2923063479302</v>
      </c>
      <c r="C7" s="63" t="s">
        <v>388</v>
      </c>
      <c r="D7" s="62">
        <v>2649303923.7495399</v>
      </c>
      <c r="E7" s="63" t="s">
        <v>389</v>
      </c>
      <c r="F7" s="62">
        <v>66.7</v>
      </c>
      <c r="G7" s="37" t="s">
        <v>390</v>
      </c>
      <c r="H7" s="66" t="s">
        <v>391</v>
      </c>
      <c r="I7" s="67">
        <v>513</v>
      </c>
      <c r="J7" s="67">
        <f t="shared" si="0"/>
        <v>0.51300000000000001</v>
      </c>
      <c r="K7" s="67"/>
      <c r="L7" s="37" t="s">
        <v>143</v>
      </c>
      <c r="M7" s="37">
        <f>88.3+40.1+BO7+BV7+10.3+11.5+2.5+67.7+1.2+0.4+0.24</f>
        <v>222.24000000000004</v>
      </c>
      <c r="N7" s="37"/>
    </row>
    <row r="8" spans="1:14" ht="15">
      <c r="A8" s="61" t="s">
        <v>388</v>
      </c>
      <c r="B8" s="65"/>
      <c r="C8" s="63" t="s">
        <v>392</v>
      </c>
      <c r="D8" s="62">
        <v>2525824292720.6099</v>
      </c>
      <c r="E8" s="63" t="s">
        <v>393</v>
      </c>
      <c r="F8" s="62">
        <v>64.900000000000006</v>
      </c>
      <c r="G8" s="37" t="s">
        <v>394</v>
      </c>
      <c r="H8" s="66" t="s">
        <v>395</v>
      </c>
      <c r="I8" s="67">
        <v>579</v>
      </c>
      <c r="J8" s="67">
        <f t="shared" si="0"/>
        <v>0.57899999999999996</v>
      </c>
      <c r="K8" s="67"/>
      <c r="L8" s="37" t="s">
        <v>103</v>
      </c>
      <c r="M8" s="37">
        <v>35.299999999999997</v>
      </c>
      <c r="N8" s="37"/>
    </row>
    <row r="9" spans="1:14" ht="15">
      <c r="A9" s="61" t="s">
        <v>392</v>
      </c>
      <c r="B9" s="62">
        <v>5586.78178314451</v>
      </c>
      <c r="C9" s="63" t="s">
        <v>214</v>
      </c>
      <c r="D9" s="62">
        <v>370866189764.80603</v>
      </c>
      <c r="E9" s="63" t="s">
        <v>396</v>
      </c>
      <c r="F9" s="62">
        <v>63.9</v>
      </c>
      <c r="G9" s="37" t="s">
        <v>164</v>
      </c>
      <c r="H9" s="66" t="s">
        <v>397</v>
      </c>
      <c r="I9" s="67">
        <v>490</v>
      </c>
      <c r="J9" s="67">
        <f t="shared" si="0"/>
        <v>0.49</v>
      </c>
      <c r="K9" s="67"/>
      <c r="L9" s="37" t="s">
        <v>115</v>
      </c>
      <c r="M9" s="37">
        <v>14.4</v>
      </c>
      <c r="N9" s="37"/>
    </row>
    <row r="10" spans="1:14" ht="15">
      <c r="A10" s="61" t="s">
        <v>214</v>
      </c>
      <c r="B10" s="62">
        <v>36284.555242955197</v>
      </c>
      <c r="C10" s="63" t="s">
        <v>159</v>
      </c>
      <c r="D10" s="62">
        <v>514772410744.88599</v>
      </c>
      <c r="E10" s="63" t="s">
        <v>398</v>
      </c>
      <c r="F10" s="62">
        <v>62</v>
      </c>
      <c r="G10" s="37" t="s">
        <v>215</v>
      </c>
      <c r="H10" s="66" t="s">
        <v>399</v>
      </c>
      <c r="I10" s="67">
        <v>1</v>
      </c>
      <c r="J10" s="67">
        <v>1</v>
      </c>
      <c r="K10" s="67"/>
      <c r="L10" s="37" t="s">
        <v>116</v>
      </c>
      <c r="M10" s="37">
        <v>17.100000000000001</v>
      </c>
      <c r="N10" s="37"/>
    </row>
    <row r="11" spans="1:14" ht="15">
      <c r="A11" s="61" t="s">
        <v>159</v>
      </c>
      <c r="B11" s="62">
        <v>8579.0177731568292</v>
      </c>
      <c r="C11" s="63" t="s">
        <v>386</v>
      </c>
      <c r="D11" s="62">
        <v>11915301005.3428</v>
      </c>
      <c r="E11" s="63" t="s">
        <v>400</v>
      </c>
      <c r="F11" s="62">
        <v>59.3</v>
      </c>
      <c r="G11" s="37" t="s">
        <v>179</v>
      </c>
      <c r="H11" s="66" t="s">
        <v>401</v>
      </c>
      <c r="I11" s="67">
        <v>598</v>
      </c>
      <c r="J11" s="67">
        <f>I11/1000</f>
        <v>0.59799999999999998</v>
      </c>
      <c r="K11" s="67"/>
      <c r="L11" s="37" t="s">
        <v>139</v>
      </c>
      <c r="M11" s="37">
        <v>8.9</v>
      </c>
      <c r="N11" s="37"/>
    </row>
    <row r="12" spans="1:14" ht="15">
      <c r="A12" s="61" t="s">
        <v>386</v>
      </c>
      <c r="B12" s="62">
        <v>4266.0180742094599</v>
      </c>
      <c r="C12" s="63" t="s">
        <v>402</v>
      </c>
      <c r="D12" s="62">
        <v>653477862.59542</v>
      </c>
      <c r="E12" s="63" t="s">
        <v>403</v>
      </c>
      <c r="F12" s="62">
        <v>58.9</v>
      </c>
      <c r="G12" s="37" t="s">
        <v>175</v>
      </c>
      <c r="H12" s="66" t="s">
        <v>404</v>
      </c>
      <c r="I12" s="67">
        <v>616</v>
      </c>
      <c r="J12" s="67">
        <f>I12/1000</f>
        <v>0.61599999999999999</v>
      </c>
      <c r="K12" s="67"/>
      <c r="L12" s="46" t="s">
        <v>96</v>
      </c>
      <c r="M12" s="37">
        <v>940</v>
      </c>
      <c r="N12" s="37"/>
    </row>
    <row r="13" spans="1:14" ht="15">
      <c r="A13" s="61" t="s">
        <v>402</v>
      </c>
      <c r="B13" s="62">
        <v>12844.9009909959</v>
      </c>
      <c r="C13" s="63" t="s">
        <v>405</v>
      </c>
      <c r="D13" s="62">
        <v>1301036618.2978799</v>
      </c>
      <c r="E13" s="63" t="s">
        <v>406</v>
      </c>
      <c r="F13" s="62">
        <v>58.5</v>
      </c>
      <c r="G13" s="37" t="s">
        <v>407</v>
      </c>
      <c r="H13" s="66" t="s">
        <v>408</v>
      </c>
      <c r="I13" s="67">
        <v>578</v>
      </c>
      <c r="J13" s="67">
        <f>I13/1000</f>
        <v>0.57799999999999996</v>
      </c>
      <c r="K13" s="67"/>
      <c r="L13" s="37" t="s">
        <v>95</v>
      </c>
      <c r="M13" s="37">
        <v>187.2</v>
      </c>
      <c r="N13" s="37"/>
    </row>
    <row r="14" spans="1:14" ht="15">
      <c r="A14" s="61" t="s">
        <v>405</v>
      </c>
      <c r="B14" s="62">
        <v>13992.744480449701</v>
      </c>
      <c r="C14" s="63" t="s">
        <v>158</v>
      </c>
      <c r="D14" s="62">
        <v>1490967836287.24</v>
      </c>
      <c r="E14" s="63" t="s">
        <v>409</v>
      </c>
      <c r="F14" s="62">
        <v>56.8</v>
      </c>
      <c r="G14" s="37" t="s">
        <v>410</v>
      </c>
      <c r="H14" s="66" t="s">
        <v>411</v>
      </c>
      <c r="I14" s="67">
        <v>503</v>
      </c>
      <c r="J14" s="67">
        <f>I14/1000</f>
        <v>0.503</v>
      </c>
      <c r="K14" s="67"/>
      <c r="L14" s="37" t="s">
        <v>92</v>
      </c>
      <c r="M14" s="37">
        <v>233.8</v>
      </c>
      <c r="N14" s="37"/>
    </row>
    <row r="15" spans="1:14" ht="15">
      <c r="A15" s="61" t="s">
        <v>158</v>
      </c>
      <c r="B15" s="62">
        <v>51692.8427477695</v>
      </c>
      <c r="C15" s="63" t="s">
        <v>160</v>
      </c>
      <c r="D15" s="62">
        <v>386358828359.97998</v>
      </c>
      <c r="E15" s="63" t="s">
        <v>206</v>
      </c>
      <c r="F15" s="62">
        <v>55.5</v>
      </c>
      <c r="G15" s="37" t="s">
        <v>412</v>
      </c>
      <c r="H15" s="66" t="s">
        <v>413</v>
      </c>
      <c r="I15" s="67">
        <v>437</v>
      </c>
      <c r="J15" s="67">
        <f>I15/1000</f>
        <v>0.437</v>
      </c>
      <c r="K15" s="67"/>
      <c r="L15" s="37" t="s">
        <v>89</v>
      </c>
      <c r="M15" s="37">
        <v>187.4</v>
      </c>
      <c r="N15" s="37"/>
    </row>
    <row r="16" spans="1:14" ht="15">
      <c r="A16" s="61" t="s">
        <v>160</v>
      </c>
      <c r="B16" s="62">
        <v>48586.801321323801</v>
      </c>
      <c r="C16" s="63" t="s">
        <v>379</v>
      </c>
      <c r="D16" s="62">
        <v>51307185972.713303</v>
      </c>
      <c r="E16" s="63" t="s">
        <v>414</v>
      </c>
      <c r="F16" s="62">
        <v>55.1</v>
      </c>
      <c r="G16" s="37" t="s">
        <v>182</v>
      </c>
      <c r="H16" s="66" t="s">
        <v>415</v>
      </c>
      <c r="I16" s="67">
        <v>1</v>
      </c>
      <c r="J16" s="67">
        <v>1</v>
      </c>
      <c r="K16" s="67"/>
      <c r="L16" s="37" t="s">
        <v>91</v>
      </c>
      <c r="M16" s="37">
        <v>91.5</v>
      </c>
      <c r="N16" s="37"/>
    </row>
    <row r="17" spans="1:14" ht="15">
      <c r="A17" s="61" t="s">
        <v>379</v>
      </c>
      <c r="B17" s="62">
        <v>4221.4074784784798</v>
      </c>
      <c r="C17" s="63" t="s">
        <v>393</v>
      </c>
      <c r="D17" s="62">
        <v>3218732735.4783201</v>
      </c>
      <c r="E17" s="63" t="s">
        <v>374</v>
      </c>
      <c r="F17" s="62">
        <v>54.5</v>
      </c>
      <c r="G17" s="37" t="s">
        <v>207</v>
      </c>
      <c r="H17" s="66" t="s">
        <v>416</v>
      </c>
      <c r="I17" s="67">
        <v>537</v>
      </c>
      <c r="J17" s="67">
        <f>I17/1000</f>
        <v>0.53700000000000003</v>
      </c>
      <c r="K17" s="67"/>
      <c r="L17" s="37" t="s">
        <v>88</v>
      </c>
      <c r="M17" s="37">
        <v>48.2</v>
      </c>
      <c r="N17" s="37"/>
    </row>
    <row r="18" spans="1:14" ht="15">
      <c r="A18" s="61" t="s">
        <v>393</v>
      </c>
      <c r="B18" s="62">
        <v>238.990725856496</v>
      </c>
      <c r="C18" s="63" t="s">
        <v>162</v>
      </c>
      <c r="D18" s="62">
        <v>466648941451.32098</v>
      </c>
      <c r="E18" s="63" t="s">
        <v>417</v>
      </c>
      <c r="F18" s="62">
        <v>54.4</v>
      </c>
      <c r="G18" s="37" t="s">
        <v>184</v>
      </c>
      <c r="H18" s="66" t="s">
        <v>418</v>
      </c>
      <c r="I18" s="67">
        <v>547</v>
      </c>
      <c r="J18" s="67">
        <f>I18/1000</f>
        <v>0.54700000000000004</v>
      </c>
      <c r="K18" s="67"/>
      <c r="L18" s="37" t="s">
        <v>90</v>
      </c>
      <c r="M18" s="37">
        <v>82.6</v>
      </c>
      <c r="N18" s="37"/>
    </row>
    <row r="19" spans="1:14" ht="15">
      <c r="A19" s="61" t="s">
        <v>162</v>
      </c>
      <c r="B19" s="62">
        <v>45159.348222971697</v>
      </c>
      <c r="C19" s="63" t="s">
        <v>419</v>
      </c>
      <c r="D19" s="62">
        <v>14725558673.483601</v>
      </c>
      <c r="E19" s="63" t="s">
        <v>420</v>
      </c>
      <c r="F19" s="62">
        <v>51.5</v>
      </c>
      <c r="G19" s="37" t="s">
        <v>421</v>
      </c>
      <c r="H19" s="66" t="s">
        <v>422</v>
      </c>
      <c r="I19" s="67">
        <v>412</v>
      </c>
      <c r="J19" s="67">
        <f>I19/1000</f>
        <v>0.41199999999999998</v>
      </c>
      <c r="K19" s="67"/>
      <c r="L19" s="37" t="s">
        <v>87</v>
      </c>
      <c r="M19" s="37">
        <v>29.4</v>
      </c>
      <c r="N19" s="37"/>
    </row>
    <row r="20" spans="1:14" ht="15">
      <c r="A20" s="61" t="s">
        <v>419</v>
      </c>
      <c r="B20" s="62">
        <v>1291.0409721544099</v>
      </c>
      <c r="C20" s="63" t="s">
        <v>423</v>
      </c>
      <c r="D20" s="62">
        <v>15291209207.4632</v>
      </c>
      <c r="E20" s="63" t="s">
        <v>424</v>
      </c>
      <c r="F20" s="62">
        <v>50.9</v>
      </c>
      <c r="G20" s="37" t="s">
        <v>165</v>
      </c>
      <c r="H20" s="66" t="s">
        <v>425</v>
      </c>
      <c r="I20" s="67">
        <v>1</v>
      </c>
      <c r="J20" s="67">
        <v>1</v>
      </c>
      <c r="K20" s="67"/>
      <c r="L20" s="37" t="s">
        <v>93</v>
      </c>
      <c r="M20" s="37">
        <v>16.399999999999999</v>
      </c>
      <c r="N20" s="37"/>
    </row>
    <row r="21" spans="1:14" ht="15">
      <c r="A21" s="61" t="s">
        <v>423</v>
      </c>
      <c r="B21" s="62">
        <v>857.932729650223</v>
      </c>
      <c r="C21" s="63" t="s">
        <v>426</v>
      </c>
      <c r="D21" s="62">
        <v>270695543283.14499</v>
      </c>
      <c r="E21" s="63" t="s">
        <v>427</v>
      </c>
      <c r="F21" s="62">
        <v>49.7</v>
      </c>
      <c r="G21" s="37" t="s">
        <v>362</v>
      </c>
      <c r="H21" s="66" t="s">
        <v>428</v>
      </c>
      <c r="I21" s="67">
        <v>520</v>
      </c>
      <c r="J21" s="67">
        <f t="shared" ref="J21:J29" si="1">I21/1000</f>
        <v>0.52</v>
      </c>
      <c r="K21" s="67"/>
      <c r="L21" s="37" t="s">
        <v>86</v>
      </c>
      <c r="M21" s="37">
        <v>8.6999999999999993</v>
      </c>
      <c r="N21" s="37"/>
    </row>
    <row r="22" spans="1:14" ht="15">
      <c r="A22" s="61" t="s">
        <v>426</v>
      </c>
      <c r="B22" s="62">
        <v>1961.6137487886001</v>
      </c>
      <c r="C22" s="63" t="s">
        <v>394</v>
      </c>
      <c r="D22" s="62">
        <v>54923717977.782799</v>
      </c>
      <c r="E22" s="63" t="s">
        <v>429</v>
      </c>
      <c r="F22" s="62">
        <v>48.6</v>
      </c>
      <c r="G22" s="37" t="s">
        <v>360</v>
      </c>
      <c r="H22" s="66" t="s">
        <v>430</v>
      </c>
      <c r="I22" s="67">
        <v>555</v>
      </c>
      <c r="J22" s="67">
        <f t="shared" si="1"/>
        <v>0.55500000000000005</v>
      </c>
      <c r="K22" s="67"/>
      <c r="L22" s="37" t="s">
        <v>150</v>
      </c>
      <c r="M22" s="37">
        <v>90.5</v>
      </c>
      <c r="N22" s="37"/>
    </row>
    <row r="23" spans="1:14" ht="15">
      <c r="A23" s="61" t="s">
        <v>394</v>
      </c>
      <c r="B23" s="62">
        <v>10079.203381220301</v>
      </c>
      <c r="C23" s="63" t="s">
        <v>161</v>
      </c>
      <c r="D23" s="62">
        <v>33206179338.0924</v>
      </c>
      <c r="E23" s="63" t="s">
        <v>431</v>
      </c>
      <c r="F23" s="62">
        <v>48.6</v>
      </c>
      <c r="G23" s="37" t="s">
        <v>358</v>
      </c>
      <c r="H23" s="66" t="s">
        <v>432</v>
      </c>
      <c r="I23" s="67">
        <v>570</v>
      </c>
      <c r="J23" s="67">
        <f t="shared" si="1"/>
        <v>0.56999999999999995</v>
      </c>
      <c r="K23" s="67"/>
      <c r="L23" s="37" t="s">
        <v>146</v>
      </c>
      <c r="M23" s="37">
        <v>120.5</v>
      </c>
      <c r="N23" s="37"/>
    </row>
    <row r="24" spans="1:14" ht="15">
      <c r="A24" s="61" t="s">
        <v>161</v>
      </c>
      <c r="B24" s="62">
        <v>20409.9528047731</v>
      </c>
      <c r="C24" s="63" t="s">
        <v>433</v>
      </c>
      <c r="D24" s="62">
        <v>10700067637.535</v>
      </c>
      <c r="E24" s="63" t="s">
        <v>434</v>
      </c>
      <c r="F24" s="62">
        <v>48.3</v>
      </c>
      <c r="G24" s="37" t="s">
        <v>435</v>
      </c>
      <c r="H24" s="66" t="s">
        <v>436</v>
      </c>
      <c r="I24" s="67">
        <v>589</v>
      </c>
      <c r="J24" s="67">
        <f t="shared" si="1"/>
        <v>0.58899999999999997</v>
      </c>
      <c r="K24" s="67"/>
      <c r="L24" s="46" t="s">
        <v>84</v>
      </c>
      <c r="M24" s="37">
        <v>124.2</v>
      </c>
      <c r="N24" s="37"/>
    </row>
    <row r="25" spans="1:14" ht="15">
      <c r="A25" s="61" t="s">
        <v>433</v>
      </c>
      <c r="B25" s="62">
        <v>25194.025144438099</v>
      </c>
      <c r="C25" s="63" t="s">
        <v>437</v>
      </c>
      <c r="D25" s="62">
        <v>17825164473.5196</v>
      </c>
      <c r="E25" s="63" t="s">
        <v>438</v>
      </c>
      <c r="F25" s="62">
        <v>46.7</v>
      </c>
      <c r="G25" s="37" t="s">
        <v>199</v>
      </c>
      <c r="H25" s="66" t="s">
        <v>439</v>
      </c>
      <c r="I25" s="67">
        <v>596</v>
      </c>
      <c r="J25" s="67">
        <f t="shared" si="1"/>
        <v>0.59599999999999997</v>
      </c>
      <c r="K25" s="67"/>
      <c r="L25" s="37" t="s">
        <v>148</v>
      </c>
      <c r="M25" s="37">
        <v>117.1</v>
      </c>
      <c r="N25" s="37"/>
    </row>
    <row r="26" spans="1:14" ht="15">
      <c r="A26" s="61" t="s">
        <v>437</v>
      </c>
      <c r="B26" s="62">
        <v>6079.7382854483803</v>
      </c>
      <c r="C26" s="63" t="s">
        <v>390</v>
      </c>
      <c r="D26" s="62">
        <v>58482352924.764702</v>
      </c>
      <c r="E26" s="63" t="s">
        <v>440</v>
      </c>
      <c r="F26" s="62">
        <v>46.5</v>
      </c>
      <c r="G26" s="37" t="s">
        <v>198</v>
      </c>
      <c r="H26" s="66" t="s">
        <v>441</v>
      </c>
      <c r="I26" s="67">
        <v>618</v>
      </c>
      <c r="J26" s="67">
        <f t="shared" si="1"/>
        <v>0.61799999999999999</v>
      </c>
      <c r="K26" s="67"/>
      <c r="L26" s="37" t="s">
        <v>126</v>
      </c>
      <c r="M26" s="37">
        <v>25.4</v>
      </c>
      <c r="N26" s="37"/>
    </row>
    <row r="27" spans="1:14" ht="15">
      <c r="A27" s="61" t="s">
        <v>390</v>
      </c>
      <c r="B27" s="62">
        <v>6424.1521764272202</v>
      </c>
      <c r="C27" s="63" t="s">
        <v>442</v>
      </c>
      <c r="D27" s="62">
        <v>1577955710.9509799</v>
      </c>
      <c r="E27" s="63" t="s">
        <v>443</v>
      </c>
      <c r="F27" s="62">
        <v>46.1</v>
      </c>
      <c r="G27" s="37" t="s">
        <v>202</v>
      </c>
      <c r="H27" s="66" t="s">
        <v>444</v>
      </c>
      <c r="I27" s="67">
        <v>512</v>
      </c>
      <c r="J27" s="67">
        <f t="shared" si="1"/>
        <v>0.51200000000000001</v>
      </c>
      <c r="K27" s="67"/>
      <c r="L27" s="37" t="s">
        <v>108</v>
      </c>
      <c r="M27" s="37">
        <v>31.6</v>
      </c>
      <c r="N27" s="37"/>
    </row>
    <row r="28" spans="1:14" ht="15">
      <c r="A28" s="61" t="s">
        <v>442</v>
      </c>
      <c r="B28" s="62">
        <v>4115.1770079562202</v>
      </c>
      <c r="C28" s="63" t="s">
        <v>163</v>
      </c>
      <c r="D28" s="62">
        <v>6416619976.7894802</v>
      </c>
      <c r="E28" s="63" t="s">
        <v>445</v>
      </c>
      <c r="F28" s="62">
        <v>43.7</v>
      </c>
      <c r="G28" s="37" t="s">
        <v>361</v>
      </c>
      <c r="H28" s="66" t="s">
        <v>446</v>
      </c>
      <c r="I28" s="67">
        <v>589</v>
      </c>
      <c r="J28" s="67">
        <f t="shared" si="1"/>
        <v>0.58899999999999997</v>
      </c>
      <c r="K28" s="67"/>
      <c r="L28" s="37" t="s">
        <v>153</v>
      </c>
      <c r="M28" s="37">
        <v>46.4</v>
      </c>
      <c r="N28" s="37"/>
    </row>
    <row r="29" spans="1:14" ht="15">
      <c r="A29" s="61" t="s">
        <v>163</v>
      </c>
      <c r="B29" s="62">
        <v>107079.479836627</v>
      </c>
      <c r="C29" s="63" t="s">
        <v>447</v>
      </c>
      <c r="D29" s="62">
        <v>34820961246.592697</v>
      </c>
      <c r="E29" s="63" t="s">
        <v>448</v>
      </c>
      <c r="F29" s="62">
        <v>42.4</v>
      </c>
      <c r="G29" s="37" t="s">
        <v>449</v>
      </c>
      <c r="H29" s="66" t="s">
        <v>450</v>
      </c>
      <c r="I29" s="67">
        <v>577</v>
      </c>
      <c r="J29" s="67">
        <f t="shared" si="1"/>
        <v>0.57699999999999996</v>
      </c>
      <c r="K29" s="67"/>
      <c r="L29" s="37" t="s">
        <v>130</v>
      </c>
      <c r="M29" s="37">
        <v>83.2</v>
      </c>
      <c r="N29" s="37"/>
    </row>
    <row r="30" spans="1:14" ht="15">
      <c r="A30" s="61" t="s">
        <v>447</v>
      </c>
      <c r="B30" s="62">
        <v>3133.0998032150401</v>
      </c>
      <c r="C30" s="63" t="s">
        <v>164</v>
      </c>
      <c r="D30" s="62">
        <v>1749104722085.75</v>
      </c>
      <c r="E30" s="63" t="s">
        <v>451</v>
      </c>
      <c r="F30" s="62">
        <v>42.3</v>
      </c>
      <c r="G30" s="37" t="s">
        <v>216</v>
      </c>
      <c r="H30" s="66" t="s">
        <v>452</v>
      </c>
      <c r="I30" s="67">
        <v>1</v>
      </c>
      <c r="J30" s="67">
        <v>1</v>
      </c>
      <c r="K30" s="67"/>
      <c r="L30" s="37" t="s">
        <v>121</v>
      </c>
      <c r="M30" s="37">
        <v>98.9</v>
      </c>
      <c r="N30" s="37"/>
    </row>
    <row r="31" spans="1:14" ht="15">
      <c r="A31" s="61" t="s">
        <v>164</v>
      </c>
      <c r="B31" s="62">
        <v>6796.8445422787699</v>
      </c>
      <c r="C31" s="63" t="s">
        <v>353</v>
      </c>
      <c r="D31" s="62">
        <v>3906818634.5026002</v>
      </c>
      <c r="E31" s="63" t="s">
        <v>453</v>
      </c>
      <c r="F31" s="62">
        <v>42.1</v>
      </c>
      <c r="G31" s="37" t="s">
        <v>212</v>
      </c>
      <c r="H31" s="66" t="s">
        <v>454</v>
      </c>
      <c r="I31" s="67">
        <v>465</v>
      </c>
      <c r="J31" s="67">
        <f t="shared" ref="J31:J36" si="2">I31/1000</f>
        <v>0.46500000000000002</v>
      </c>
      <c r="K31" s="67"/>
      <c r="L31" s="37" t="s">
        <v>100</v>
      </c>
      <c r="M31" s="37">
        <v>42.3</v>
      </c>
      <c r="N31" s="37"/>
    </row>
    <row r="32" spans="1:14" ht="15">
      <c r="A32" s="61" t="s">
        <v>353</v>
      </c>
      <c r="B32" s="62">
        <v>15373.8547035017</v>
      </c>
      <c r="C32" s="63" t="s">
        <v>455</v>
      </c>
      <c r="D32" s="62">
        <v>13429361905.7745</v>
      </c>
      <c r="E32" s="63" t="s">
        <v>190</v>
      </c>
      <c r="F32" s="62">
        <v>41.9</v>
      </c>
      <c r="G32" s="37" t="s">
        <v>173</v>
      </c>
      <c r="H32" s="66" t="s">
        <v>456</v>
      </c>
      <c r="I32" s="67">
        <v>559</v>
      </c>
      <c r="J32" s="67">
        <f t="shared" si="2"/>
        <v>0.55900000000000005</v>
      </c>
      <c r="K32" s="67"/>
      <c r="L32" s="37" t="s">
        <v>98</v>
      </c>
      <c r="M32" s="37">
        <v>50.8</v>
      </c>
      <c r="N32" s="37"/>
    </row>
    <row r="33" spans="1:14" ht="15">
      <c r="A33" s="61" t="s">
        <v>455</v>
      </c>
      <c r="B33" s="62">
        <v>27442.95382794</v>
      </c>
      <c r="C33" s="63" t="s">
        <v>457</v>
      </c>
      <c r="D33" s="62">
        <v>2221963713.9157701</v>
      </c>
      <c r="E33" s="63" t="s">
        <v>458</v>
      </c>
      <c r="F33" s="62">
        <v>41.8</v>
      </c>
      <c r="G33" s="37" t="s">
        <v>208</v>
      </c>
      <c r="H33" s="66" t="s">
        <v>459</v>
      </c>
      <c r="I33" s="67">
        <v>625</v>
      </c>
      <c r="J33" s="67">
        <f t="shared" si="2"/>
        <v>0.625</v>
      </c>
      <c r="K33" s="67"/>
      <c r="L33" s="37" t="s">
        <v>136</v>
      </c>
      <c r="M33" s="37">
        <v>31.8</v>
      </c>
      <c r="N33" s="37"/>
    </row>
    <row r="34" spans="1:14" ht="15">
      <c r="A34" s="61" t="s">
        <v>457</v>
      </c>
      <c r="B34" s="62">
        <v>3000.7793270297602</v>
      </c>
      <c r="C34" s="63" t="s">
        <v>460</v>
      </c>
      <c r="D34" s="62">
        <v>14813376718.8645</v>
      </c>
      <c r="E34" s="63" t="s">
        <v>423</v>
      </c>
      <c r="F34" s="62">
        <v>41.4</v>
      </c>
      <c r="G34" s="37" t="s">
        <v>172</v>
      </c>
      <c r="H34" s="66" t="s">
        <v>461</v>
      </c>
      <c r="I34" s="67">
        <v>566</v>
      </c>
      <c r="J34" s="67">
        <f t="shared" si="2"/>
        <v>0.56599999999999995</v>
      </c>
      <c r="K34" s="67"/>
      <c r="L34" s="37" t="s">
        <v>124</v>
      </c>
      <c r="M34" s="37">
        <v>23.3</v>
      </c>
      <c r="N34" s="37"/>
    </row>
    <row r="35" spans="1:14" ht="15">
      <c r="A35" s="61" t="s">
        <v>460</v>
      </c>
      <c r="B35" s="62">
        <v>6404.8999315907404</v>
      </c>
      <c r="C35" s="63" t="s">
        <v>398</v>
      </c>
      <c r="D35" s="62">
        <v>2001437872.50299</v>
      </c>
      <c r="E35" s="63" t="s">
        <v>462</v>
      </c>
      <c r="F35" s="62">
        <v>41.2</v>
      </c>
      <c r="G35" s="37" t="s">
        <v>206</v>
      </c>
      <c r="H35" s="66" t="s">
        <v>463</v>
      </c>
      <c r="I35" s="67">
        <v>607</v>
      </c>
      <c r="J35" s="67">
        <f t="shared" si="2"/>
        <v>0.60699999999999998</v>
      </c>
      <c r="K35" s="67"/>
      <c r="L35" s="37" t="s">
        <v>102</v>
      </c>
      <c r="M35" s="37">
        <v>16.8</v>
      </c>
      <c r="N35" s="37"/>
    </row>
    <row r="36" spans="1:14" ht="15">
      <c r="A36" s="61" t="s">
        <v>398</v>
      </c>
      <c r="B36" s="62">
        <v>492.79587119399002</v>
      </c>
      <c r="C36" s="63" t="s">
        <v>165</v>
      </c>
      <c r="D36" s="62">
        <v>1600331194689.1001</v>
      </c>
      <c r="E36" s="63" t="s">
        <v>464</v>
      </c>
      <c r="F36" s="62">
        <v>40.9</v>
      </c>
      <c r="G36" s="37" t="s">
        <v>185</v>
      </c>
      <c r="H36" s="66" t="s">
        <v>465</v>
      </c>
      <c r="I36" s="67">
        <v>487</v>
      </c>
      <c r="J36" s="67">
        <f t="shared" si="2"/>
        <v>0.48699999999999999</v>
      </c>
      <c r="K36" s="67"/>
      <c r="L36" s="37" t="s">
        <v>109</v>
      </c>
      <c r="M36" s="37">
        <v>9.5</v>
      </c>
      <c r="N36" s="37"/>
    </row>
    <row r="37" spans="1:14" ht="15">
      <c r="A37" s="61" t="s">
        <v>165</v>
      </c>
      <c r="B37" s="62">
        <v>43258.176319833998</v>
      </c>
      <c r="C37" s="63" t="s">
        <v>466</v>
      </c>
      <c r="D37" s="62">
        <v>1461972813625.4199</v>
      </c>
      <c r="E37" s="63" t="s">
        <v>467</v>
      </c>
      <c r="F37" s="62">
        <v>40.799999999999997</v>
      </c>
      <c r="G37" s="37"/>
      <c r="H37" s="37"/>
      <c r="I37" s="37"/>
      <c r="J37" s="37"/>
      <c r="K37" s="37"/>
      <c r="L37" s="37" t="s">
        <v>134</v>
      </c>
      <c r="M37" s="37">
        <v>0.55800000000000005</v>
      </c>
      <c r="N37" s="37"/>
    </row>
    <row r="38" spans="1:14" ht="15">
      <c r="A38" s="61" t="s">
        <v>466</v>
      </c>
      <c r="B38" s="62">
        <v>16168.296090994199</v>
      </c>
      <c r="C38" s="63" t="s">
        <v>468</v>
      </c>
      <c r="D38" s="62">
        <v>740026236249.64795</v>
      </c>
      <c r="E38" s="63" t="s">
        <v>193</v>
      </c>
      <c r="F38" s="62">
        <v>40.1</v>
      </c>
      <c r="G38" s="37"/>
      <c r="H38" s="37"/>
      <c r="I38" s="37"/>
      <c r="J38" s="37"/>
      <c r="K38" s="37"/>
      <c r="L38" s="37" t="s">
        <v>133</v>
      </c>
      <c r="M38" s="37">
        <v>0.628</v>
      </c>
      <c r="N38" s="37"/>
    </row>
    <row r="39" spans="1:14" ht="15">
      <c r="A39" s="61" t="s">
        <v>468</v>
      </c>
      <c r="B39" s="62">
        <v>87097.036450376399</v>
      </c>
      <c r="C39" s="63" t="s">
        <v>469</v>
      </c>
      <c r="D39" s="64"/>
      <c r="E39" s="63" t="s">
        <v>470</v>
      </c>
      <c r="F39" s="62">
        <v>39.9</v>
      </c>
      <c r="G39" s="37"/>
      <c r="H39" s="37"/>
      <c r="I39" s="37"/>
      <c r="J39" s="37"/>
      <c r="K39" s="37"/>
      <c r="L39" s="37" t="s">
        <v>149</v>
      </c>
      <c r="M39" s="37">
        <v>4.7</v>
      </c>
      <c r="N39" s="37"/>
    </row>
    <row r="40" spans="1:14" ht="15">
      <c r="A40" s="61" t="s">
        <v>469</v>
      </c>
      <c r="B40" s="65"/>
      <c r="C40" s="63" t="s">
        <v>166</v>
      </c>
      <c r="D40" s="62">
        <v>247639120221.194</v>
      </c>
      <c r="E40" s="63" t="s">
        <v>471</v>
      </c>
      <c r="F40" s="62">
        <v>39.5</v>
      </c>
      <c r="G40" s="37"/>
      <c r="H40" s="37"/>
      <c r="I40" s="37"/>
      <c r="J40" s="37"/>
      <c r="K40" s="37"/>
      <c r="L40" s="37" t="s">
        <v>120</v>
      </c>
      <c r="M40" s="37">
        <v>0.81899999999999995</v>
      </c>
      <c r="N40" s="37"/>
    </row>
    <row r="41" spans="1:14" ht="15">
      <c r="A41" s="61" t="s">
        <v>166</v>
      </c>
      <c r="B41" s="62">
        <v>13231.704206938301</v>
      </c>
      <c r="C41" s="63" t="s">
        <v>362</v>
      </c>
      <c r="D41" s="62">
        <v>14631844421164.199</v>
      </c>
      <c r="E41" s="63" t="s">
        <v>419</v>
      </c>
      <c r="F41" s="62">
        <v>38.5</v>
      </c>
      <c r="G41" s="37"/>
      <c r="H41" s="37"/>
      <c r="I41" s="37"/>
      <c r="J41" s="37"/>
      <c r="K41" s="37"/>
      <c r="L41" s="37" t="s">
        <v>118</v>
      </c>
      <c r="M41" s="37">
        <v>0.31900000000000001</v>
      </c>
      <c r="N41" s="37"/>
    </row>
    <row r="42" spans="1:14" ht="15">
      <c r="A42" s="61" t="s">
        <v>362</v>
      </c>
      <c r="B42" s="62">
        <v>10434.7751874839</v>
      </c>
      <c r="C42" s="63" t="s">
        <v>472</v>
      </c>
      <c r="D42" s="62">
        <v>61033878289.113701</v>
      </c>
      <c r="E42" s="63" t="s">
        <v>473</v>
      </c>
      <c r="F42" s="62">
        <v>38.299999999999997</v>
      </c>
      <c r="G42" s="37"/>
      <c r="H42" s="37"/>
      <c r="I42" s="37"/>
      <c r="J42" s="37"/>
      <c r="K42" s="37"/>
      <c r="L42" s="37" t="s">
        <v>104</v>
      </c>
      <c r="M42" s="37">
        <v>2.9</v>
      </c>
      <c r="N42" s="37"/>
    </row>
    <row r="43" spans="1:14" ht="15">
      <c r="A43" s="61" t="s">
        <v>472</v>
      </c>
      <c r="B43" s="62">
        <v>2325.7237050224699</v>
      </c>
      <c r="C43" s="63" t="s">
        <v>474</v>
      </c>
      <c r="D43" s="62">
        <v>37686544899.745796</v>
      </c>
      <c r="E43" s="63" t="s">
        <v>475</v>
      </c>
      <c r="F43" s="62">
        <v>38.200000000000003</v>
      </c>
      <c r="G43" s="37"/>
      <c r="H43" s="37"/>
      <c r="I43" s="37"/>
      <c r="J43" s="37"/>
      <c r="K43" s="37"/>
      <c r="L43" s="37" t="s">
        <v>85</v>
      </c>
      <c r="M43" s="37">
        <v>2.6</v>
      </c>
      <c r="N43" s="37"/>
    </row>
    <row r="44" spans="1:14" ht="15">
      <c r="A44" s="61" t="s">
        <v>474</v>
      </c>
      <c r="B44" s="62">
        <v>1537.1302183277301</v>
      </c>
      <c r="C44" s="63" t="s">
        <v>476</v>
      </c>
      <c r="D44" s="62">
        <v>45259706747.584801</v>
      </c>
      <c r="E44" s="63" t="s">
        <v>474</v>
      </c>
      <c r="F44" s="62">
        <v>37.5</v>
      </c>
      <c r="G44" s="37"/>
      <c r="H44" s="37"/>
      <c r="I44" s="37"/>
      <c r="J44" s="37"/>
      <c r="K44" s="37"/>
      <c r="L44" s="37" t="s">
        <v>135</v>
      </c>
      <c r="M44" s="37">
        <v>5</v>
      </c>
      <c r="N44" s="37"/>
    </row>
    <row r="45" spans="1:14" ht="15">
      <c r="A45" s="61" t="s">
        <v>476</v>
      </c>
      <c r="B45" s="62">
        <v>543.95039251580295</v>
      </c>
      <c r="C45" s="63" t="s">
        <v>477</v>
      </c>
      <c r="D45" s="62">
        <v>8877391999.2164192</v>
      </c>
      <c r="E45" s="63" t="s">
        <v>447</v>
      </c>
      <c r="F45" s="62">
        <v>37.200000000000003</v>
      </c>
      <c r="G45" s="37"/>
      <c r="H45" s="37"/>
      <c r="I45" s="37"/>
      <c r="J45" s="37"/>
      <c r="K45" s="37"/>
      <c r="L45" s="37" t="s">
        <v>123</v>
      </c>
      <c r="M45" s="37">
        <v>2.8</v>
      </c>
      <c r="N45" s="37"/>
    </row>
    <row r="46" spans="1:14" ht="15">
      <c r="A46" s="61" t="s">
        <v>477</v>
      </c>
      <c r="B46" s="62">
        <v>1846.1312970869501</v>
      </c>
      <c r="C46" s="63" t="s">
        <v>167</v>
      </c>
      <c r="D46" s="62">
        <v>299826459539.862</v>
      </c>
      <c r="E46" s="63" t="s">
        <v>478</v>
      </c>
      <c r="F46" s="62">
        <v>36.1</v>
      </c>
      <c r="G46" s="37"/>
      <c r="H46" s="37"/>
      <c r="I46" s="37"/>
      <c r="J46" s="37"/>
      <c r="K46" s="37"/>
      <c r="L46" s="46" t="s">
        <v>122</v>
      </c>
      <c r="M46" s="37">
        <v>5</v>
      </c>
      <c r="N46" s="37"/>
    </row>
    <row r="47" spans="1:14" ht="15">
      <c r="A47" s="61" t="s">
        <v>167</v>
      </c>
      <c r="B47" s="62">
        <v>5334.5560423391698</v>
      </c>
      <c r="C47" s="63" t="s">
        <v>448</v>
      </c>
      <c r="D47" s="62">
        <v>1091379941.8226099</v>
      </c>
      <c r="E47" s="63" t="s">
        <v>167</v>
      </c>
      <c r="F47" s="62">
        <v>35.700000000000003</v>
      </c>
      <c r="G47" s="37"/>
      <c r="H47" s="37"/>
      <c r="I47" s="37"/>
      <c r="J47" s="37"/>
      <c r="K47" s="37"/>
      <c r="L47" s="37" t="s">
        <v>145</v>
      </c>
      <c r="M47" s="37">
        <v>5.9</v>
      </c>
      <c r="N47" s="37"/>
    </row>
    <row r="48" spans="1:14" ht="15">
      <c r="A48" s="61" t="s">
        <v>448</v>
      </c>
      <c r="B48" s="62">
        <v>1420.66174747221</v>
      </c>
      <c r="C48" s="63" t="s">
        <v>479</v>
      </c>
      <c r="D48" s="62">
        <v>1632003277.60234</v>
      </c>
      <c r="E48" s="63" t="s">
        <v>159</v>
      </c>
      <c r="F48" s="62">
        <v>35.5</v>
      </c>
      <c r="G48" s="37"/>
      <c r="H48" s="37"/>
      <c r="I48" s="37"/>
      <c r="J48" s="37"/>
      <c r="K48" s="37"/>
      <c r="L48" s="37" t="s">
        <v>140</v>
      </c>
      <c r="M48" s="37">
        <v>2.7</v>
      </c>
      <c r="N48" s="37"/>
    </row>
    <row r="49" spans="1:14" ht="15">
      <c r="A49" s="61" t="s">
        <v>479</v>
      </c>
      <c r="B49" s="62">
        <v>3064.27238842819</v>
      </c>
      <c r="C49" s="63" t="s">
        <v>168</v>
      </c>
      <c r="D49" s="62">
        <v>61668979511.365799</v>
      </c>
      <c r="E49" s="63" t="s">
        <v>480</v>
      </c>
      <c r="F49" s="62">
        <v>35.200000000000003</v>
      </c>
      <c r="G49" s="37"/>
      <c r="H49" s="37"/>
      <c r="I49" s="37"/>
      <c r="J49" s="37"/>
      <c r="K49" s="37"/>
      <c r="L49" s="37" t="s">
        <v>113</v>
      </c>
      <c r="M49" s="37">
        <v>27.1</v>
      </c>
      <c r="N49" s="37"/>
    </row>
    <row r="50" spans="1:14" ht="15">
      <c r="A50" s="61" t="s">
        <v>168</v>
      </c>
      <c r="B50" s="62">
        <v>12140.8541545754</v>
      </c>
      <c r="C50" s="63" t="s">
        <v>481</v>
      </c>
      <c r="D50" s="62">
        <v>68220930221.567802</v>
      </c>
      <c r="E50" s="63" t="s">
        <v>482</v>
      </c>
      <c r="F50" s="62">
        <v>33.4</v>
      </c>
      <c r="G50" s="37"/>
      <c r="H50" s="37"/>
      <c r="I50" s="37"/>
      <c r="J50" s="37"/>
      <c r="K50" s="37"/>
      <c r="L50" s="37" t="s">
        <v>119</v>
      </c>
      <c r="M50" s="37">
        <v>2.6</v>
      </c>
      <c r="N50" s="37"/>
    </row>
    <row r="51" spans="1:14" ht="15">
      <c r="A51" s="61" t="s">
        <v>481</v>
      </c>
      <c r="B51" s="62">
        <v>8873.52192883729</v>
      </c>
      <c r="C51" s="63" t="s">
        <v>483</v>
      </c>
      <c r="D51" s="62">
        <v>81054474018.348602</v>
      </c>
      <c r="E51" s="63" t="s">
        <v>484</v>
      </c>
      <c r="F51" s="62">
        <v>33.1</v>
      </c>
      <c r="G51" s="37"/>
      <c r="H51" s="37"/>
      <c r="I51" s="37"/>
      <c r="J51" s="37"/>
      <c r="K51" s="37"/>
      <c r="L51" s="37" t="s">
        <v>125</v>
      </c>
      <c r="M51" s="37">
        <v>15.5</v>
      </c>
      <c r="N51" s="37"/>
    </row>
    <row r="52" spans="1:14" ht="15">
      <c r="A52" s="61" t="s">
        <v>483</v>
      </c>
      <c r="B52" s="62">
        <v>9477.8528732677096</v>
      </c>
      <c r="C52" s="63" t="s">
        <v>485</v>
      </c>
      <c r="D52" s="62">
        <v>2364843106.7860198</v>
      </c>
      <c r="E52" s="63" t="s">
        <v>486</v>
      </c>
      <c r="F52" s="62">
        <v>32.5</v>
      </c>
      <c r="G52" s="37"/>
      <c r="H52" s="37"/>
      <c r="I52" s="37"/>
      <c r="J52" s="37"/>
      <c r="K52" s="37"/>
      <c r="L52" s="37" t="s">
        <v>114</v>
      </c>
      <c r="M52" s="37">
        <v>194</v>
      </c>
      <c r="N52" s="37"/>
    </row>
    <row r="53" spans="1:14" ht="15">
      <c r="A53" s="61" t="s">
        <v>485</v>
      </c>
      <c r="B53" s="62">
        <v>16745.7243140176</v>
      </c>
      <c r="C53" s="63" t="s">
        <v>487</v>
      </c>
      <c r="D53" s="62">
        <v>5060362414.4965801</v>
      </c>
      <c r="E53" s="63" t="s">
        <v>381</v>
      </c>
      <c r="F53" s="62">
        <v>32.299999999999997</v>
      </c>
      <c r="G53" s="37"/>
      <c r="H53" s="37"/>
      <c r="I53" s="37"/>
      <c r="J53" s="37"/>
      <c r="K53" s="37"/>
      <c r="L53" s="46" t="s">
        <v>110</v>
      </c>
      <c r="M53" s="37">
        <v>159</v>
      </c>
      <c r="N53" s="37"/>
    </row>
    <row r="54" spans="1:14" ht="15">
      <c r="A54" s="61" t="s">
        <v>487</v>
      </c>
      <c r="B54" s="62">
        <v>85082.526855547796</v>
      </c>
      <c r="C54" s="63" t="s">
        <v>169</v>
      </c>
      <c r="D54" s="62">
        <v>23579790561.366901</v>
      </c>
      <c r="E54" s="63" t="s">
        <v>488</v>
      </c>
      <c r="F54" s="62">
        <v>31</v>
      </c>
      <c r="G54" s="37"/>
      <c r="H54" s="37"/>
      <c r="I54" s="37"/>
      <c r="J54" s="37"/>
      <c r="K54" s="37"/>
      <c r="L54" s="46" t="s">
        <v>112</v>
      </c>
      <c r="M54" s="37">
        <v>73.3</v>
      </c>
      <c r="N54" s="37"/>
    </row>
    <row r="55" spans="1:14" ht="15">
      <c r="A55" s="61" t="s">
        <v>169</v>
      </c>
      <c r="B55" s="62">
        <v>26623.8008913181</v>
      </c>
      <c r="C55" s="63" t="s">
        <v>170</v>
      </c>
      <c r="D55" s="62">
        <v>203104100818.13101</v>
      </c>
      <c r="E55" s="63" t="s">
        <v>489</v>
      </c>
      <c r="F55" s="62">
        <v>29.9</v>
      </c>
      <c r="G55" s="37"/>
      <c r="H55" s="37"/>
      <c r="I55" s="37"/>
      <c r="J55" s="37"/>
      <c r="K55" s="37"/>
      <c r="L55" s="46" t="s">
        <v>111</v>
      </c>
      <c r="M55" s="37">
        <v>55.3</v>
      </c>
      <c r="N55" s="37"/>
    </row>
    <row r="56" spans="1:14" ht="15">
      <c r="A56" s="61" t="s">
        <v>170</v>
      </c>
      <c r="B56" s="62">
        <v>22932.224968656501</v>
      </c>
      <c r="C56" s="63" t="s">
        <v>175</v>
      </c>
      <c r="D56" s="62">
        <v>3434435991589.48</v>
      </c>
      <c r="E56" s="63" t="s">
        <v>490</v>
      </c>
      <c r="F56" s="62">
        <v>29.2</v>
      </c>
      <c r="G56" s="37"/>
      <c r="H56" s="37"/>
      <c r="I56" s="37"/>
      <c r="J56" s="37"/>
      <c r="K56" s="37"/>
      <c r="L56" s="46" t="s">
        <v>151</v>
      </c>
      <c r="M56" s="37">
        <v>252</v>
      </c>
      <c r="N56" s="37"/>
    </row>
    <row r="57" spans="1:14" ht="15">
      <c r="A57" s="61" t="s">
        <v>175</v>
      </c>
      <c r="B57" s="62">
        <v>46208.4294717472</v>
      </c>
      <c r="C57" s="63" t="s">
        <v>491</v>
      </c>
      <c r="D57" s="62">
        <v>3207792428.7992902</v>
      </c>
      <c r="E57" s="63" t="s">
        <v>492</v>
      </c>
      <c r="F57" s="62">
        <v>28.4</v>
      </c>
      <c r="G57" s="37"/>
      <c r="H57" s="37"/>
      <c r="I57" s="37"/>
      <c r="J57" s="37"/>
      <c r="K57" s="37"/>
      <c r="L57" s="46" t="s">
        <v>152</v>
      </c>
      <c r="M57" s="37">
        <v>22</v>
      </c>
      <c r="N57" s="37"/>
    </row>
    <row r="58" spans="1:14" ht="15">
      <c r="A58" s="61" t="s">
        <v>491</v>
      </c>
      <c r="B58" s="62">
        <v>3425.4841758580301</v>
      </c>
      <c r="C58" s="63" t="s">
        <v>493</v>
      </c>
      <c r="D58" s="62">
        <v>473932843.20657802</v>
      </c>
      <c r="E58" s="63" t="s">
        <v>494</v>
      </c>
      <c r="F58" s="62">
        <v>27.4</v>
      </c>
      <c r="G58" s="37"/>
      <c r="H58" s="37"/>
      <c r="I58" s="37"/>
      <c r="J58" s="37"/>
      <c r="K58" s="37"/>
      <c r="L58" s="46" t="s">
        <v>105</v>
      </c>
      <c r="M58" s="37">
        <v>47.7</v>
      </c>
      <c r="N58" s="37"/>
    </row>
    <row r="59" spans="1:14" ht="15">
      <c r="A59" s="61" t="s">
        <v>493</v>
      </c>
      <c r="B59" s="62">
        <v>7003.8590214723299</v>
      </c>
      <c r="C59" s="63" t="s">
        <v>171</v>
      </c>
      <c r="D59" s="62">
        <v>327737534762.37598</v>
      </c>
      <c r="E59" s="63" t="s">
        <v>164</v>
      </c>
      <c r="F59" s="62">
        <v>26.5</v>
      </c>
      <c r="G59" s="37"/>
      <c r="H59" s="37"/>
      <c r="I59" s="37"/>
      <c r="J59" s="37"/>
      <c r="K59" s="37"/>
      <c r="L59" s="37" t="s">
        <v>127</v>
      </c>
      <c r="M59" s="37">
        <v>37.1</v>
      </c>
      <c r="N59" s="37"/>
    </row>
    <row r="60" spans="1:14" ht="15">
      <c r="A60" s="61" t="s">
        <v>171</v>
      </c>
      <c r="B60" s="62">
        <v>61063.316430423802</v>
      </c>
      <c r="C60" s="63" t="s">
        <v>495</v>
      </c>
      <c r="D60" s="62">
        <v>83287065054.835495</v>
      </c>
      <c r="E60" s="63" t="s">
        <v>386</v>
      </c>
      <c r="F60" s="62">
        <v>26.4</v>
      </c>
      <c r="G60" s="37"/>
      <c r="H60" s="37"/>
      <c r="I60" s="37"/>
      <c r="J60" s="37"/>
      <c r="K60" s="37"/>
      <c r="L60" s="37" t="s">
        <v>101</v>
      </c>
      <c r="M60" s="37">
        <v>39.9</v>
      </c>
      <c r="N60" s="37"/>
    </row>
    <row r="61" spans="1:14" ht="15">
      <c r="A61" s="61" t="s">
        <v>495</v>
      </c>
      <c r="B61" s="62">
        <v>7268.1969096591001</v>
      </c>
      <c r="C61" s="63" t="s">
        <v>496</v>
      </c>
      <c r="D61" s="62">
        <v>168144148735.46701</v>
      </c>
      <c r="E61" s="63" t="s">
        <v>497</v>
      </c>
      <c r="F61" s="62">
        <v>26.4</v>
      </c>
      <c r="G61" s="37"/>
      <c r="H61" s="37"/>
      <c r="I61" s="37"/>
      <c r="J61" s="37"/>
      <c r="K61" s="37"/>
      <c r="L61" s="37" t="s">
        <v>99</v>
      </c>
      <c r="M61" s="37">
        <v>31.8</v>
      </c>
      <c r="N61" s="37"/>
    </row>
    <row r="62" spans="1:14" ht="15">
      <c r="A62" s="61" t="s">
        <v>496</v>
      </c>
      <c r="B62" s="62">
        <v>3306.8582083810402</v>
      </c>
      <c r="C62" s="63" t="s">
        <v>498</v>
      </c>
      <c r="D62" s="62">
        <v>17251524473606</v>
      </c>
      <c r="E62" s="63" t="s">
        <v>499</v>
      </c>
      <c r="F62" s="62">
        <v>26.3</v>
      </c>
      <c r="G62" s="37"/>
      <c r="H62" s="37"/>
      <c r="I62" s="37"/>
      <c r="J62" s="37"/>
      <c r="K62" s="37"/>
      <c r="L62" s="37" t="s">
        <v>137</v>
      </c>
      <c r="M62" s="37">
        <v>0.1</v>
      </c>
      <c r="N62" s="37"/>
    </row>
    <row r="63" spans="1:14" ht="15">
      <c r="A63" s="61" t="s">
        <v>498</v>
      </c>
      <c r="B63" s="62">
        <v>8254.6708710242801</v>
      </c>
      <c r="C63" s="63" t="s">
        <v>500</v>
      </c>
      <c r="D63" s="62">
        <v>11175750002752.6</v>
      </c>
      <c r="E63" s="63" t="s">
        <v>501</v>
      </c>
      <c r="F63" s="62">
        <v>26.3</v>
      </c>
      <c r="G63" s="37"/>
      <c r="H63" s="37"/>
      <c r="I63" s="37"/>
      <c r="J63" s="37"/>
      <c r="K63" s="37"/>
      <c r="L63" s="37" t="s">
        <v>129</v>
      </c>
      <c r="M63" s="37">
        <v>10.7</v>
      </c>
      <c r="N63" s="37"/>
    </row>
    <row r="64" spans="1:14" ht="15">
      <c r="A64" s="61" t="s">
        <v>500</v>
      </c>
      <c r="B64" s="62">
        <v>3201.6525316734601</v>
      </c>
      <c r="C64" s="63" t="s">
        <v>502</v>
      </c>
      <c r="D64" s="62">
        <v>26267553268938.602</v>
      </c>
      <c r="E64" s="63" t="s">
        <v>503</v>
      </c>
      <c r="F64" s="62">
        <v>25.3</v>
      </c>
      <c r="G64" s="37"/>
      <c r="H64" s="37"/>
      <c r="I64" s="37"/>
      <c r="J64" s="37"/>
      <c r="K64" s="37"/>
      <c r="L64" s="37" t="s">
        <v>94</v>
      </c>
      <c r="M64" s="37">
        <v>4.5</v>
      </c>
      <c r="N64" s="37"/>
    </row>
    <row r="65" spans="1:14" ht="15">
      <c r="A65" s="61" t="s">
        <v>502</v>
      </c>
      <c r="B65" s="62">
        <v>11477.792592268101</v>
      </c>
      <c r="C65" s="63" t="s">
        <v>504</v>
      </c>
      <c r="D65" s="62">
        <v>3414610834793.2798</v>
      </c>
      <c r="E65" s="63" t="s">
        <v>505</v>
      </c>
      <c r="F65" s="62">
        <v>25.2</v>
      </c>
      <c r="G65" s="37"/>
      <c r="H65" s="37"/>
      <c r="I65" s="37"/>
      <c r="J65" s="37"/>
      <c r="K65" s="37"/>
      <c r="L65" s="37" t="s">
        <v>107</v>
      </c>
      <c r="M65" s="37">
        <v>8.1999999999999993</v>
      </c>
      <c r="N65" s="37"/>
    </row>
    <row r="66" spans="1:14" ht="15">
      <c r="A66" s="61" t="s">
        <v>504</v>
      </c>
      <c r="B66" s="62">
        <v>7668.5243441042303</v>
      </c>
      <c r="C66" s="63" t="s">
        <v>506</v>
      </c>
      <c r="D66" s="62">
        <v>21108750105123.199</v>
      </c>
      <c r="E66" s="63" t="s">
        <v>507</v>
      </c>
      <c r="F66" s="62">
        <v>25</v>
      </c>
      <c r="G66" s="37"/>
      <c r="H66" s="37"/>
      <c r="I66" s="37"/>
      <c r="J66" s="37"/>
      <c r="K66" s="37"/>
      <c r="L66" s="47" t="s">
        <v>131</v>
      </c>
      <c r="M66" s="37">
        <v>15.6</v>
      </c>
      <c r="N66" s="37"/>
    </row>
    <row r="67" spans="1:14" ht="15">
      <c r="A67" s="61" t="s">
        <v>506</v>
      </c>
      <c r="B67" s="62">
        <v>23960.986483782799</v>
      </c>
      <c r="C67" s="63" t="s">
        <v>508</v>
      </c>
      <c r="D67" s="62">
        <v>93820098898.984695</v>
      </c>
      <c r="E67" s="63" t="s">
        <v>508</v>
      </c>
      <c r="F67" s="62">
        <v>25</v>
      </c>
      <c r="G67" s="37"/>
      <c r="H67" s="37"/>
      <c r="I67" s="37"/>
      <c r="J67" s="37"/>
      <c r="K67" s="37"/>
      <c r="L67" s="37" t="s">
        <v>147</v>
      </c>
      <c r="M67" s="37">
        <v>2.6</v>
      </c>
      <c r="N67" s="37"/>
    </row>
    <row r="68" spans="1:14" ht="15">
      <c r="A68" s="61" t="s">
        <v>508</v>
      </c>
      <c r="B68" s="62">
        <v>5600.3896149534103</v>
      </c>
      <c r="C68" s="63" t="s">
        <v>412</v>
      </c>
      <c r="D68" s="62">
        <v>412246049856.46198</v>
      </c>
      <c r="E68" s="63" t="s">
        <v>509</v>
      </c>
      <c r="F68" s="62">
        <v>24.9</v>
      </c>
      <c r="G68" s="37"/>
      <c r="H68" s="37"/>
      <c r="I68" s="37"/>
      <c r="J68" s="37"/>
      <c r="K68" s="37"/>
      <c r="L68" s="37" t="s">
        <v>117</v>
      </c>
      <c r="M68" s="37">
        <v>5.5</v>
      </c>
      <c r="N68" s="37"/>
    </row>
    <row r="69" spans="1:14" ht="15">
      <c r="A69" s="61" t="s">
        <v>412</v>
      </c>
      <c r="B69" s="62">
        <v>3569.2068412110798</v>
      </c>
      <c r="C69" s="63" t="s">
        <v>510</v>
      </c>
      <c r="D69" s="62">
        <v>11809389896083.301</v>
      </c>
      <c r="E69" s="63" t="s">
        <v>511</v>
      </c>
      <c r="F69" s="62">
        <v>24.9</v>
      </c>
      <c r="G69" s="37"/>
      <c r="H69" s="37"/>
      <c r="I69" s="37"/>
      <c r="J69" s="37"/>
      <c r="K69" s="37"/>
      <c r="L69" s="37" t="s">
        <v>142</v>
      </c>
      <c r="M69" s="37">
        <v>3</v>
      </c>
      <c r="N69" s="37"/>
    </row>
    <row r="70" spans="1:14" ht="15">
      <c r="A70" s="61" t="s">
        <v>510</v>
      </c>
      <c r="B70" s="62">
        <v>37968.2581452987</v>
      </c>
      <c r="C70" s="63" t="s">
        <v>385</v>
      </c>
      <c r="D70" s="64"/>
      <c r="E70" s="63" t="s">
        <v>512</v>
      </c>
      <c r="F70" s="62">
        <v>24.8</v>
      </c>
      <c r="G70" s="37"/>
      <c r="H70" s="37"/>
      <c r="I70" s="37"/>
      <c r="J70" s="37"/>
      <c r="K70" s="37"/>
      <c r="L70" s="37" t="s">
        <v>138</v>
      </c>
      <c r="M70" s="37">
        <v>1.6</v>
      </c>
      <c r="N70" s="37"/>
    </row>
    <row r="71" spans="1:14" ht="15">
      <c r="A71" s="61" t="s">
        <v>385</v>
      </c>
      <c r="B71" s="65"/>
      <c r="C71" s="63" t="s">
        <v>207</v>
      </c>
      <c r="D71" s="62">
        <v>1180730237585.72</v>
      </c>
      <c r="E71" s="63" t="s">
        <v>513</v>
      </c>
      <c r="F71" s="62">
        <v>24.5</v>
      </c>
      <c r="G71" s="37"/>
      <c r="H71" s="37"/>
      <c r="I71" s="37"/>
      <c r="J71" s="37"/>
      <c r="K71" s="37"/>
      <c r="L71" s="37" t="s">
        <v>106</v>
      </c>
      <c r="M71" s="37">
        <v>4.7</v>
      </c>
      <c r="N71" s="37"/>
    </row>
    <row r="72" spans="1:14" ht="15">
      <c r="A72" s="61" t="s">
        <v>207</v>
      </c>
      <c r="B72" s="62">
        <v>27063.193918029901</v>
      </c>
      <c r="C72" s="63" t="s">
        <v>172</v>
      </c>
      <c r="D72" s="62">
        <v>26269347954.890499</v>
      </c>
      <c r="E72" s="63" t="s">
        <v>426</v>
      </c>
      <c r="F72" s="62">
        <v>24.3</v>
      </c>
      <c r="G72" s="37"/>
      <c r="H72" s="37"/>
      <c r="I72" s="37"/>
      <c r="J72" s="37"/>
      <c r="K72" s="37"/>
      <c r="L72" s="47" t="s">
        <v>154</v>
      </c>
      <c r="M72" s="37">
        <v>4.2</v>
      </c>
      <c r="N72" s="37"/>
    </row>
    <row r="73" spans="1:14" ht="15">
      <c r="A73" s="61" t="s">
        <v>172</v>
      </c>
      <c r="B73" s="62">
        <v>23027.0269956294</v>
      </c>
      <c r="C73" s="63" t="s">
        <v>514</v>
      </c>
      <c r="D73" s="62">
        <v>95069173939.288498</v>
      </c>
      <c r="E73" s="63" t="s">
        <v>515</v>
      </c>
      <c r="F73" s="62">
        <v>24.3</v>
      </c>
      <c r="G73" s="37"/>
      <c r="H73" s="37"/>
      <c r="I73" s="37"/>
      <c r="J73" s="37"/>
      <c r="K73" s="37"/>
      <c r="L73" s="46"/>
    </row>
    <row r="74" spans="1:14" ht="15">
      <c r="A74" s="61" t="s">
        <v>514</v>
      </c>
      <c r="B74" s="62">
        <v>936.34046106474898</v>
      </c>
      <c r="C74" s="63" t="s">
        <v>516</v>
      </c>
      <c r="D74" s="62">
        <v>13885891191259</v>
      </c>
      <c r="E74" s="63" t="s">
        <v>394</v>
      </c>
      <c r="F74" s="62">
        <v>23.8</v>
      </c>
      <c r="G74" s="37"/>
      <c r="H74" s="37"/>
      <c r="I74" s="37"/>
      <c r="J74" s="37"/>
      <c r="K74" s="37"/>
    </row>
    <row r="75" spans="1:14" ht="15">
      <c r="A75" s="61" t="s">
        <v>516</v>
      </c>
      <c r="B75" s="62">
        <v>34149.292048981399</v>
      </c>
      <c r="C75" s="63" t="s">
        <v>517</v>
      </c>
      <c r="D75" s="62">
        <v>1636815770462.76</v>
      </c>
      <c r="E75" s="63" t="s">
        <v>361</v>
      </c>
      <c r="F75" s="62">
        <v>23.8</v>
      </c>
      <c r="G75" s="37"/>
      <c r="H75" s="37"/>
      <c r="I75" s="37"/>
      <c r="J75" s="37"/>
      <c r="K75" s="37"/>
    </row>
    <row r="76" spans="1:14" ht="15">
      <c r="A76" s="61" t="s">
        <v>517</v>
      </c>
      <c r="B76" s="62">
        <v>1619.6609215485601</v>
      </c>
      <c r="C76" s="63" t="s">
        <v>359</v>
      </c>
      <c r="D76" s="62">
        <v>247627994062.82599</v>
      </c>
      <c r="E76" s="63" t="s">
        <v>518</v>
      </c>
      <c r="F76" s="62">
        <v>23.5</v>
      </c>
      <c r="G76" s="37"/>
      <c r="H76" s="37"/>
      <c r="I76" s="37"/>
      <c r="J76" s="37"/>
      <c r="K76" s="37"/>
    </row>
    <row r="77" spans="1:14" ht="15">
      <c r="A77" s="61" t="s">
        <v>359</v>
      </c>
      <c r="B77" s="62">
        <v>48773.281169134701</v>
      </c>
      <c r="C77" s="63" t="s">
        <v>489</v>
      </c>
      <c r="D77" s="62">
        <v>4402511310.8718596</v>
      </c>
      <c r="E77" s="63" t="s">
        <v>514</v>
      </c>
      <c r="F77" s="62">
        <v>23.5</v>
      </c>
      <c r="G77" s="37"/>
      <c r="H77" s="37"/>
      <c r="I77" s="37"/>
      <c r="J77" s="37"/>
      <c r="K77" s="37"/>
    </row>
    <row r="78" spans="1:14" ht="15">
      <c r="A78" s="61" t="s">
        <v>489</v>
      </c>
      <c r="B78" s="62">
        <v>5057.6319126176104</v>
      </c>
      <c r="C78" s="63" t="s">
        <v>173</v>
      </c>
      <c r="D78" s="62">
        <v>2410285649514.3701</v>
      </c>
      <c r="E78" s="63" t="s">
        <v>176</v>
      </c>
      <c r="F78" s="62">
        <v>23.4</v>
      </c>
      <c r="G78" s="37"/>
      <c r="H78" s="37"/>
      <c r="I78" s="37"/>
      <c r="J78" s="37"/>
      <c r="K78" s="37"/>
    </row>
    <row r="79" spans="1:14" ht="15">
      <c r="A79" s="61" t="s">
        <v>173</v>
      </c>
      <c r="B79" s="62">
        <v>39030.360371348201</v>
      </c>
      <c r="C79" s="63" t="s">
        <v>519</v>
      </c>
      <c r="D79" s="64"/>
      <c r="E79" s="63" t="s">
        <v>352</v>
      </c>
      <c r="F79" s="62">
        <v>23.2</v>
      </c>
      <c r="G79" s="37"/>
      <c r="H79" s="37"/>
      <c r="I79" s="37"/>
      <c r="J79" s="37"/>
      <c r="K79" s="37"/>
    </row>
    <row r="80" spans="1:14" ht="15">
      <c r="A80" s="61" t="s">
        <v>519</v>
      </c>
      <c r="B80" s="65"/>
      <c r="C80" s="63" t="s">
        <v>520</v>
      </c>
      <c r="D80" s="62">
        <v>326589258.96646899</v>
      </c>
      <c r="E80" s="63" t="s">
        <v>360</v>
      </c>
      <c r="F80" s="62">
        <v>22.9</v>
      </c>
      <c r="G80" s="37"/>
      <c r="H80" s="37"/>
      <c r="I80" s="37"/>
      <c r="J80" s="37"/>
      <c r="K80" s="37"/>
    </row>
    <row r="81" spans="1:12" ht="15">
      <c r="A81" s="61" t="s">
        <v>520</v>
      </c>
      <c r="B81" s="62">
        <v>3565.293294268</v>
      </c>
      <c r="C81" s="63" t="s">
        <v>482</v>
      </c>
      <c r="D81" s="62">
        <v>15176119328.9266</v>
      </c>
      <c r="E81" s="63" t="s">
        <v>521</v>
      </c>
      <c r="F81" s="62">
        <v>22.8</v>
      </c>
      <c r="G81" s="37"/>
      <c r="H81" s="37"/>
      <c r="I81" s="37"/>
      <c r="J81" s="37"/>
      <c r="K81" s="37"/>
      <c r="L81" s="46"/>
    </row>
    <row r="82" spans="1:12" ht="15">
      <c r="A82" s="61" t="s">
        <v>482</v>
      </c>
      <c r="B82" s="62">
        <v>6881.7151923183101</v>
      </c>
      <c r="C82" s="63" t="s">
        <v>215</v>
      </c>
      <c r="D82" s="62">
        <v>2882115887622.8999</v>
      </c>
      <c r="E82" s="63" t="s">
        <v>522</v>
      </c>
      <c r="F82" s="62">
        <v>22.5</v>
      </c>
      <c r="G82" s="37"/>
      <c r="H82" s="37"/>
      <c r="I82" s="37"/>
      <c r="J82" s="37"/>
      <c r="K82" s="37"/>
    </row>
    <row r="83" spans="1:12" ht="15">
      <c r="A83" s="61" t="s">
        <v>215</v>
      </c>
      <c r="B83" s="62">
        <v>41124.534768673097</v>
      </c>
      <c r="C83" s="63" t="s">
        <v>410</v>
      </c>
      <c r="D83" s="62">
        <v>16557390869.431101</v>
      </c>
      <c r="E83" s="63" t="s">
        <v>523</v>
      </c>
      <c r="F83" s="62">
        <v>22.1</v>
      </c>
      <c r="G83" s="37"/>
      <c r="H83" s="37"/>
      <c r="I83" s="37"/>
      <c r="J83" s="37"/>
      <c r="K83" s="37"/>
    </row>
    <row r="84" spans="1:12" ht="15">
      <c r="A84" s="61" t="s">
        <v>410</v>
      </c>
      <c r="B84" s="62">
        <v>4266.6907945092398</v>
      </c>
      <c r="C84" s="63" t="s">
        <v>176</v>
      </c>
      <c r="D84" s="62">
        <v>62724594622.778397</v>
      </c>
      <c r="E84" s="63" t="s">
        <v>524</v>
      </c>
      <c r="F84" s="62">
        <v>21.9</v>
      </c>
      <c r="G84" s="37"/>
      <c r="H84" s="37"/>
      <c r="I84" s="37"/>
      <c r="J84" s="37"/>
      <c r="K84" s="37"/>
    </row>
    <row r="85" spans="1:12" ht="15">
      <c r="A85" s="61" t="s">
        <v>176</v>
      </c>
      <c r="B85" s="62">
        <v>2205.5290158583998</v>
      </c>
      <c r="C85" s="63" t="s">
        <v>525</v>
      </c>
      <c r="D85" s="64"/>
      <c r="E85" s="63" t="s">
        <v>526</v>
      </c>
      <c r="F85" s="62">
        <v>21.8</v>
      </c>
      <c r="G85" s="37"/>
      <c r="H85" s="37"/>
      <c r="I85" s="37"/>
      <c r="J85" s="37"/>
      <c r="K85" s="37"/>
    </row>
    <row r="86" spans="1:12" ht="15">
      <c r="A86" s="61" t="s">
        <v>525</v>
      </c>
      <c r="B86" s="65"/>
      <c r="C86" s="63" t="s">
        <v>445</v>
      </c>
      <c r="D86" s="62">
        <v>12922776921.3699</v>
      </c>
      <c r="E86" s="63" t="s">
        <v>172</v>
      </c>
      <c r="F86" s="62">
        <v>21.7</v>
      </c>
      <c r="G86" s="37"/>
      <c r="H86" s="37"/>
      <c r="I86" s="37"/>
      <c r="J86" s="37"/>
      <c r="K86" s="37"/>
    </row>
    <row r="87" spans="1:12" ht="15">
      <c r="A87" s="61" t="s">
        <v>445</v>
      </c>
      <c r="B87" s="62">
        <v>1194.03786469445</v>
      </c>
      <c r="C87" s="63" t="s">
        <v>527</v>
      </c>
      <c r="D87" s="62">
        <v>1672833037.60516</v>
      </c>
      <c r="E87" s="63" t="s">
        <v>528</v>
      </c>
      <c r="F87" s="62">
        <v>21.6</v>
      </c>
      <c r="G87" s="37"/>
      <c r="H87" s="37"/>
      <c r="I87" s="37"/>
      <c r="J87" s="37"/>
      <c r="K87" s="37"/>
    </row>
    <row r="88" spans="1:12" ht="15">
      <c r="A88" s="61" t="s">
        <v>527</v>
      </c>
      <c r="B88" s="62">
        <v>773.00207013552404</v>
      </c>
      <c r="C88" s="63" t="s">
        <v>382</v>
      </c>
      <c r="D88" s="62">
        <v>1218759824.0374999</v>
      </c>
      <c r="E88" s="63" t="s">
        <v>529</v>
      </c>
      <c r="F88" s="62">
        <v>21.4</v>
      </c>
      <c r="G88" s="37"/>
      <c r="H88" s="37"/>
      <c r="I88" s="37"/>
      <c r="J88" s="37"/>
      <c r="K88" s="37"/>
    </row>
    <row r="89" spans="1:12" ht="15">
      <c r="A89" s="61" t="s">
        <v>382</v>
      </c>
      <c r="B89" s="62">
        <v>727.52017171956197</v>
      </c>
      <c r="C89" s="63" t="s">
        <v>372</v>
      </c>
      <c r="D89" s="62">
        <v>9509201933.4239407</v>
      </c>
      <c r="E89" s="63" t="s">
        <v>491</v>
      </c>
      <c r="F89" s="62">
        <v>21.1</v>
      </c>
      <c r="G89" s="37"/>
      <c r="H89" s="37"/>
      <c r="I89" s="37"/>
      <c r="J89" s="37"/>
      <c r="K89" s="37"/>
    </row>
    <row r="90" spans="1:12" ht="15">
      <c r="A90" s="61" t="s">
        <v>372</v>
      </c>
      <c r="B90" s="62">
        <v>7143.2387049714598</v>
      </c>
      <c r="C90" s="63" t="s">
        <v>407</v>
      </c>
      <c r="D90" s="62">
        <v>185300000452.35599</v>
      </c>
      <c r="E90" s="63" t="s">
        <v>168</v>
      </c>
      <c r="F90" s="62">
        <v>21</v>
      </c>
      <c r="G90" s="37"/>
      <c r="H90" s="37"/>
      <c r="I90" s="37"/>
      <c r="J90" s="37"/>
      <c r="K90" s="37"/>
    </row>
    <row r="91" spans="1:12" ht="15">
      <c r="A91" s="61" t="s">
        <v>407</v>
      </c>
      <c r="B91" s="62">
        <v>17622.541003350401</v>
      </c>
      <c r="C91" s="63" t="s">
        <v>530</v>
      </c>
      <c r="D91" s="62">
        <v>979357778.22822499</v>
      </c>
      <c r="E91" s="63" t="s">
        <v>495</v>
      </c>
      <c r="F91" s="62">
        <v>21</v>
      </c>
      <c r="G91" s="37"/>
      <c r="H91" s="37"/>
      <c r="I91" s="37"/>
      <c r="J91" s="37"/>
      <c r="K91" s="37"/>
    </row>
    <row r="92" spans="1:12" ht="15">
      <c r="A92" s="61" t="s">
        <v>530</v>
      </c>
      <c r="B92" s="62">
        <v>9261.5518761769599</v>
      </c>
      <c r="C92" s="63" t="s">
        <v>531</v>
      </c>
      <c r="D92" s="64"/>
      <c r="E92" s="63" t="s">
        <v>207</v>
      </c>
      <c r="F92" s="62">
        <v>20.7</v>
      </c>
      <c r="G92" s="37"/>
      <c r="H92" s="37"/>
      <c r="I92" s="37"/>
      <c r="J92" s="37"/>
      <c r="K92" s="37"/>
    </row>
    <row r="93" spans="1:12" ht="15">
      <c r="A93" s="61" t="s">
        <v>531</v>
      </c>
      <c r="B93" s="65"/>
      <c r="C93" s="63" t="s">
        <v>400</v>
      </c>
      <c r="D93" s="62">
        <v>69560946554.621597</v>
      </c>
      <c r="E93" s="63" t="s">
        <v>358</v>
      </c>
      <c r="F93" s="62">
        <v>20.6</v>
      </c>
      <c r="G93" s="37"/>
      <c r="H93" s="37"/>
      <c r="I93" s="37"/>
      <c r="J93" s="37"/>
      <c r="K93" s="37"/>
      <c r="L93" s="46"/>
    </row>
    <row r="94" spans="1:12" ht="15">
      <c r="A94" s="61" t="s">
        <v>400</v>
      </c>
      <c r="B94" s="62">
        <v>4603.3396167097499</v>
      </c>
      <c r="C94" s="63" t="s">
        <v>177</v>
      </c>
      <c r="D94" s="62">
        <v>5259729936.3057299</v>
      </c>
      <c r="E94" s="63" t="s">
        <v>532</v>
      </c>
      <c r="F94" s="62">
        <v>20.3</v>
      </c>
      <c r="G94" s="37"/>
      <c r="H94" s="37"/>
      <c r="I94" s="37"/>
      <c r="J94" s="37"/>
      <c r="K94" s="37"/>
    </row>
    <row r="95" spans="1:12" ht="15">
      <c r="A95" s="61" t="s">
        <v>177</v>
      </c>
      <c r="B95" s="62">
        <v>34624.340129041397</v>
      </c>
      <c r="C95" s="63" t="s">
        <v>533</v>
      </c>
      <c r="D95" s="62">
        <v>7275908034.1142197</v>
      </c>
      <c r="E95" s="63" t="s">
        <v>196</v>
      </c>
      <c r="F95" s="62">
        <v>20.2</v>
      </c>
      <c r="G95" s="37"/>
      <c r="H95" s="37"/>
      <c r="I95" s="37"/>
      <c r="J95" s="37"/>
      <c r="K95" s="37"/>
    </row>
    <row r="96" spans="1:12" ht="15">
      <c r="A96" s="61" t="s">
        <v>533</v>
      </c>
      <c r="B96" s="62">
        <v>6955.93921717789</v>
      </c>
      <c r="C96" s="63" t="s">
        <v>534</v>
      </c>
      <c r="D96" s="62">
        <v>49763737737780.703</v>
      </c>
      <c r="E96" s="63" t="s">
        <v>535</v>
      </c>
      <c r="F96" s="62">
        <v>20.100000000000001</v>
      </c>
      <c r="G96" s="37"/>
      <c r="H96" s="37"/>
      <c r="I96" s="37"/>
      <c r="J96" s="37"/>
      <c r="K96" s="37"/>
    </row>
    <row r="97" spans="1:11" ht="15">
      <c r="A97" s="61" t="s">
        <v>534</v>
      </c>
      <c r="B97" s="62">
        <v>43950.085251024</v>
      </c>
      <c r="C97" s="63" t="s">
        <v>536</v>
      </c>
      <c r="D97" s="62">
        <v>311574446723.54303</v>
      </c>
      <c r="E97" s="63" t="s">
        <v>184</v>
      </c>
      <c r="F97" s="62">
        <v>20.100000000000001</v>
      </c>
      <c r="G97" s="37"/>
      <c r="H97" s="37"/>
      <c r="I97" s="37"/>
      <c r="J97" s="37"/>
      <c r="K97" s="37"/>
    </row>
    <row r="98" spans="1:11" ht="15">
      <c r="A98" s="61" t="s">
        <v>536</v>
      </c>
      <c r="B98" s="62">
        <v>46323.8634424384</v>
      </c>
      <c r="C98" s="63" t="s">
        <v>434</v>
      </c>
      <c r="D98" s="62">
        <v>22022361225.0611</v>
      </c>
      <c r="E98" s="63" t="s">
        <v>537</v>
      </c>
      <c r="F98" s="62">
        <v>19.899999999999999</v>
      </c>
      <c r="G98" s="37"/>
      <c r="H98" s="37"/>
      <c r="I98" s="37"/>
      <c r="J98" s="37"/>
      <c r="K98" s="37"/>
    </row>
    <row r="99" spans="1:11" ht="15">
      <c r="A99" s="61" t="s">
        <v>434</v>
      </c>
      <c r="B99" s="62">
        <v>2389.0124307709998</v>
      </c>
      <c r="C99" s="63" t="s">
        <v>538</v>
      </c>
      <c r="D99" s="62">
        <v>789750001096.46802</v>
      </c>
      <c r="E99" s="63" t="s">
        <v>410</v>
      </c>
      <c r="F99" s="62">
        <v>19.5</v>
      </c>
      <c r="G99" s="37"/>
      <c r="H99" s="37"/>
      <c r="I99" s="37"/>
      <c r="J99" s="37"/>
      <c r="K99" s="37"/>
    </row>
    <row r="100" spans="1:11" ht="15">
      <c r="A100" s="61" t="s">
        <v>538</v>
      </c>
      <c r="B100" s="62">
        <v>966.28990259249304</v>
      </c>
      <c r="C100" s="63" t="s">
        <v>539</v>
      </c>
      <c r="D100" s="62">
        <v>52557893779.493202</v>
      </c>
      <c r="E100" s="63" t="s">
        <v>460</v>
      </c>
      <c r="F100" s="62">
        <v>19.3</v>
      </c>
      <c r="G100" s="37"/>
      <c r="H100" s="37"/>
      <c r="I100" s="37"/>
      <c r="J100" s="37"/>
      <c r="K100" s="37"/>
    </row>
    <row r="101" spans="1:11" ht="15">
      <c r="A101" s="61" t="s">
        <v>539</v>
      </c>
      <c r="B101" s="62">
        <v>14134.1626811193</v>
      </c>
      <c r="C101" s="63" t="s">
        <v>406</v>
      </c>
      <c r="D101" s="62">
        <v>14956795315.413401</v>
      </c>
      <c r="E101" s="63" t="s">
        <v>540</v>
      </c>
      <c r="F101" s="62">
        <v>18.899999999999999</v>
      </c>
      <c r="G101" s="37"/>
      <c r="H101" s="37"/>
      <c r="I101" s="37"/>
      <c r="J101" s="37"/>
      <c r="K101" s="37"/>
    </row>
    <row r="102" spans="1:11" ht="15">
      <c r="A102" s="61" t="s">
        <v>406</v>
      </c>
      <c r="B102" s="62">
        <v>1272.36799204205</v>
      </c>
      <c r="C102" s="63" t="s">
        <v>179</v>
      </c>
      <c r="D102" s="62">
        <v>140096898857.09698</v>
      </c>
      <c r="E102" s="63" t="s">
        <v>215</v>
      </c>
      <c r="F102" s="62">
        <v>18.600000000000001</v>
      </c>
      <c r="G102" s="37"/>
      <c r="H102" s="37"/>
      <c r="I102" s="37"/>
      <c r="J102" s="37"/>
      <c r="K102" s="37"/>
    </row>
    <row r="103" spans="1:11" ht="15">
      <c r="A103" s="61" t="s">
        <v>179</v>
      </c>
      <c r="B103" s="62">
        <v>15980.740889649</v>
      </c>
      <c r="C103" s="63" t="s">
        <v>541</v>
      </c>
      <c r="D103" s="62">
        <v>30483038482833.398</v>
      </c>
      <c r="E103" s="63" t="s">
        <v>539</v>
      </c>
      <c r="F103" s="62">
        <v>18.3</v>
      </c>
      <c r="G103" s="37"/>
      <c r="H103" s="37"/>
      <c r="I103" s="37"/>
      <c r="J103" s="37"/>
      <c r="K103" s="37"/>
    </row>
    <row r="104" spans="1:11" ht="15">
      <c r="A104" s="61" t="s">
        <v>541</v>
      </c>
      <c r="B104" s="62">
        <v>6149.3615444319703</v>
      </c>
      <c r="C104" s="63" t="s">
        <v>542</v>
      </c>
      <c r="D104" s="62">
        <v>32830212097572.898</v>
      </c>
      <c r="E104" s="63" t="s">
        <v>543</v>
      </c>
      <c r="F104" s="62">
        <v>18.3</v>
      </c>
      <c r="G104" s="37"/>
      <c r="H104" s="37"/>
      <c r="I104" s="37"/>
      <c r="J104" s="37"/>
      <c r="K104" s="37"/>
    </row>
    <row r="105" spans="1:11" ht="15">
      <c r="A105" s="61" t="s">
        <v>542</v>
      </c>
      <c r="B105" s="62">
        <v>4890.7863932866103</v>
      </c>
      <c r="C105" s="63" t="s">
        <v>544</v>
      </c>
      <c r="D105" s="62">
        <v>2346669721783.3301</v>
      </c>
      <c r="E105" s="63" t="s">
        <v>407</v>
      </c>
      <c r="F105" s="62">
        <v>17.899999999999999</v>
      </c>
      <c r="G105" s="37"/>
      <c r="H105" s="37"/>
      <c r="I105" s="37"/>
      <c r="J105" s="37"/>
      <c r="K105" s="37"/>
    </row>
    <row r="106" spans="1:11" ht="15">
      <c r="A106" s="61" t="s">
        <v>544</v>
      </c>
      <c r="B106" s="62">
        <v>1309.5155037034999</v>
      </c>
      <c r="C106" s="63" t="s">
        <v>545</v>
      </c>
      <c r="D106" s="62">
        <v>1107135693734.1599</v>
      </c>
      <c r="E106" s="63" t="s">
        <v>216</v>
      </c>
      <c r="F106" s="62">
        <v>17.8</v>
      </c>
      <c r="G106" s="37"/>
      <c r="H106" s="37"/>
      <c r="I106" s="37"/>
      <c r="J106" s="37"/>
      <c r="K106" s="37"/>
    </row>
    <row r="107" spans="1:11" ht="15">
      <c r="A107" s="61" t="s">
        <v>545</v>
      </c>
      <c r="B107" s="62">
        <v>1674.91787065885</v>
      </c>
      <c r="C107" s="63" t="s">
        <v>181</v>
      </c>
      <c r="D107" s="62">
        <v>1027602854052.75</v>
      </c>
      <c r="E107" s="63" t="s">
        <v>354</v>
      </c>
      <c r="F107" s="62">
        <v>17.7</v>
      </c>
      <c r="G107" s="37"/>
      <c r="H107" s="37"/>
      <c r="I107" s="37"/>
      <c r="J107" s="37"/>
      <c r="K107" s="37"/>
    </row>
    <row r="108" spans="1:11" ht="15">
      <c r="A108" s="61" t="s">
        <v>181</v>
      </c>
      <c r="B108" s="62">
        <v>3869.5884270453698</v>
      </c>
      <c r="C108" s="63" t="s">
        <v>546</v>
      </c>
      <c r="D108" s="62">
        <v>1239716122908.1799</v>
      </c>
      <c r="E108" s="63" t="s">
        <v>547</v>
      </c>
      <c r="F108" s="62">
        <v>17.5</v>
      </c>
      <c r="G108" s="37"/>
      <c r="H108" s="37"/>
      <c r="I108" s="37"/>
      <c r="J108" s="37"/>
      <c r="K108" s="37"/>
    </row>
    <row r="109" spans="1:11" ht="15">
      <c r="A109" s="61" t="s">
        <v>546</v>
      </c>
      <c r="B109" s="62">
        <v>1125.1833644655901</v>
      </c>
      <c r="C109" s="63" t="s">
        <v>548</v>
      </c>
      <c r="D109" s="64"/>
      <c r="E109" s="63" t="s">
        <v>549</v>
      </c>
      <c r="F109" s="62">
        <v>17.399999999999999</v>
      </c>
      <c r="G109" s="37"/>
      <c r="H109" s="37"/>
      <c r="I109" s="37"/>
      <c r="J109" s="37"/>
      <c r="K109" s="37"/>
    </row>
    <row r="110" spans="1:11" ht="15">
      <c r="A110" s="61" t="s">
        <v>548</v>
      </c>
      <c r="B110" s="65"/>
      <c r="C110" s="63" t="s">
        <v>524</v>
      </c>
      <c r="D110" s="62">
        <v>2500132192252.0698</v>
      </c>
      <c r="E110" s="63" t="s">
        <v>198</v>
      </c>
      <c r="F110" s="62">
        <v>17.2</v>
      </c>
      <c r="G110" s="37"/>
      <c r="H110" s="37"/>
      <c r="I110" s="37"/>
      <c r="J110" s="37"/>
      <c r="K110" s="37"/>
    </row>
    <row r="111" spans="1:11" ht="15">
      <c r="A111" s="61" t="s">
        <v>524</v>
      </c>
      <c r="B111" s="62">
        <v>1927.70782309335</v>
      </c>
      <c r="C111" s="63" t="s">
        <v>550</v>
      </c>
      <c r="D111" s="64"/>
      <c r="E111" s="63" t="s">
        <v>551</v>
      </c>
      <c r="F111" s="62">
        <v>17.100000000000001</v>
      </c>
      <c r="G111" s="37"/>
      <c r="H111" s="37"/>
      <c r="I111" s="37"/>
      <c r="J111" s="37"/>
      <c r="K111" s="37"/>
    </row>
    <row r="112" spans="1:11" ht="15">
      <c r="A112" s="61" t="s">
        <v>550</v>
      </c>
      <c r="B112" s="65"/>
      <c r="C112" s="63" t="s">
        <v>182</v>
      </c>
      <c r="D112" s="62">
        <v>392377013983.203</v>
      </c>
      <c r="E112" s="63" t="s">
        <v>208</v>
      </c>
      <c r="F112" s="62">
        <v>17.100000000000001</v>
      </c>
      <c r="G112" s="37"/>
      <c r="H112" s="37"/>
      <c r="I112" s="37"/>
      <c r="J112" s="37"/>
      <c r="K112" s="37"/>
    </row>
    <row r="113" spans="1:12" ht="15">
      <c r="A113" s="61" t="s">
        <v>182</v>
      </c>
      <c r="B113" s="62">
        <v>85267.764743758205</v>
      </c>
      <c r="C113" s="63" t="s">
        <v>552</v>
      </c>
      <c r="D113" s="62">
        <v>410188057889.547</v>
      </c>
      <c r="E113" s="63" t="s">
        <v>437</v>
      </c>
      <c r="F113" s="62">
        <v>16.899999999999999</v>
      </c>
      <c r="G113" s="37"/>
      <c r="H113" s="37"/>
      <c r="I113" s="37"/>
      <c r="J113" s="37"/>
      <c r="K113" s="37"/>
    </row>
    <row r="114" spans="1:12" ht="15">
      <c r="A114" s="61" t="s">
        <v>552</v>
      </c>
      <c r="B114" s="62">
        <v>2422.48065682777</v>
      </c>
      <c r="C114" s="63" t="s">
        <v>540</v>
      </c>
      <c r="D114" s="62">
        <v>170857727944.57101</v>
      </c>
      <c r="E114" s="63" t="s">
        <v>183</v>
      </c>
      <c r="F114" s="62">
        <v>16.899999999999999</v>
      </c>
      <c r="G114" s="37"/>
      <c r="H114" s="37"/>
      <c r="I114" s="37"/>
      <c r="J114" s="37"/>
      <c r="K114" s="37"/>
    </row>
    <row r="115" spans="1:12" ht="15">
      <c r="A115" s="61" t="s">
        <v>540</v>
      </c>
      <c r="B115" s="62">
        <v>4145.8629363760201</v>
      </c>
      <c r="C115" s="63" t="s">
        <v>180</v>
      </c>
      <c r="D115" s="62">
        <v>19491448632.067902</v>
      </c>
      <c r="E115" s="63" t="s">
        <v>197</v>
      </c>
      <c r="F115" s="62">
        <v>16.7</v>
      </c>
      <c r="G115" s="37"/>
      <c r="H115" s="37"/>
      <c r="I115" s="37"/>
      <c r="J115" s="37"/>
      <c r="K115" s="37"/>
      <c r="L115" s="46"/>
    </row>
    <row r="116" spans="1:12" ht="15">
      <c r="A116" s="61" t="s">
        <v>180</v>
      </c>
      <c r="B116" s="62">
        <v>59270.180051048301</v>
      </c>
      <c r="C116" s="63" t="s">
        <v>183</v>
      </c>
      <c r="D116" s="62">
        <v>345459861240.94202</v>
      </c>
      <c r="E116" s="63" t="s">
        <v>468</v>
      </c>
      <c r="F116" s="62">
        <v>16</v>
      </c>
      <c r="G116" s="37"/>
      <c r="H116" s="37"/>
      <c r="I116" s="37"/>
      <c r="J116" s="37"/>
      <c r="K116" s="37"/>
    </row>
    <row r="117" spans="1:12" ht="15">
      <c r="A117" s="61" t="s">
        <v>183</v>
      </c>
      <c r="B117" s="62">
        <v>44168.943635502597</v>
      </c>
      <c r="C117" s="63" t="s">
        <v>184</v>
      </c>
      <c r="D117" s="62">
        <v>1744731951797.3999</v>
      </c>
      <c r="E117" s="63" t="s">
        <v>355</v>
      </c>
      <c r="F117" s="62">
        <v>15.7</v>
      </c>
      <c r="G117" s="37"/>
      <c r="H117" s="37"/>
      <c r="I117" s="37"/>
      <c r="J117" s="37"/>
      <c r="K117" s="37"/>
    </row>
    <row r="118" spans="1:12" ht="15">
      <c r="A118" s="61" t="s">
        <v>184</v>
      </c>
      <c r="B118" s="62">
        <v>31714.220946710499</v>
      </c>
      <c r="C118" s="63" t="s">
        <v>537</v>
      </c>
      <c r="D118" s="62">
        <v>13440715454.4634</v>
      </c>
      <c r="E118" s="63" t="s">
        <v>185</v>
      </c>
      <c r="F118" s="62">
        <v>15.7</v>
      </c>
      <c r="G118" s="37"/>
      <c r="H118" s="37"/>
      <c r="I118" s="37"/>
      <c r="J118" s="37"/>
      <c r="K118" s="37"/>
    </row>
    <row r="119" spans="1:12" ht="15">
      <c r="A119" s="61" t="s">
        <v>537</v>
      </c>
      <c r="B119" s="62">
        <v>4664.5302422213299</v>
      </c>
      <c r="C119" s="63" t="s">
        <v>355</v>
      </c>
      <c r="D119" s="62">
        <v>41108073616.901199</v>
      </c>
      <c r="E119" s="63" t="s">
        <v>199</v>
      </c>
      <c r="F119" s="62">
        <v>15.4</v>
      </c>
      <c r="G119" s="37"/>
      <c r="H119" s="37"/>
      <c r="I119" s="37"/>
      <c r="J119" s="37"/>
      <c r="K119" s="37"/>
    </row>
    <row r="120" spans="1:12" ht="15">
      <c r="A120" s="61" t="s">
        <v>355</v>
      </c>
      <c r="B120" s="62">
        <v>4282.76582461621</v>
      </c>
      <c r="C120" s="63" t="s">
        <v>185</v>
      </c>
      <c r="D120" s="62">
        <v>4380756530555.8398</v>
      </c>
      <c r="E120" s="63" t="s">
        <v>553</v>
      </c>
      <c r="F120" s="62">
        <v>15.2</v>
      </c>
      <c r="G120" s="37"/>
      <c r="H120" s="37"/>
      <c r="I120" s="37"/>
      <c r="J120" s="37"/>
      <c r="K120" s="37"/>
    </row>
    <row r="121" spans="1:12" ht="15">
      <c r="A121" s="61" t="s">
        <v>185</v>
      </c>
      <c r="B121" s="62">
        <v>40193.2524448357</v>
      </c>
      <c r="C121" s="63" t="s">
        <v>421</v>
      </c>
      <c r="D121" s="62">
        <v>205829297738.039</v>
      </c>
      <c r="E121" s="63" t="s">
        <v>162</v>
      </c>
      <c r="F121" s="62">
        <v>14.8</v>
      </c>
      <c r="G121" s="37"/>
      <c r="H121" s="37"/>
      <c r="I121" s="37"/>
      <c r="J121" s="37"/>
      <c r="K121" s="37"/>
    </row>
    <row r="122" spans="1:12" ht="15">
      <c r="A122" s="61" t="s">
        <v>421</v>
      </c>
      <c r="B122" s="62">
        <v>9122.23343021644</v>
      </c>
      <c r="C122" s="63" t="s">
        <v>478</v>
      </c>
      <c r="D122" s="62">
        <v>83859109642.797699</v>
      </c>
      <c r="E122" s="63" t="s">
        <v>175</v>
      </c>
      <c r="F122" s="62">
        <v>14.8</v>
      </c>
      <c r="G122" s="37"/>
      <c r="H122" s="37"/>
      <c r="I122" s="37"/>
      <c r="J122" s="37"/>
      <c r="K122" s="37"/>
      <c r="L122" s="46"/>
    </row>
    <row r="123" spans="1:12" ht="15">
      <c r="A123" s="61" t="s">
        <v>478</v>
      </c>
      <c r="B123" s="62">
        <v>1878.58070251348</v>
      </c>
      <c r="C123" s="63" t="s">
        <v>554</v>
      </c>
      <c r="D123" s="62">
        <v>7238139485.0763197</v>
      </c>
      <c r="E123" s="63" t="s">
        <v>169</v>
      </c>
      <c r="F123" s="62">
        <v>14.7</v>
      </c>
      <c r="G123" s="37"/>
      <c r="H123" s="37"/>
      <c r="I123" s="37"/>
      <c r="J123" s="37"/>
      <c r="K123" s="37"/>
      <c r="L123" s="46"/>
    </row>
    <row r="124" spans="1:12" ht="15">
      <c r="A124" s="61" t="s">
        <v>554</v>
      </c>
      <c r="B124" s="62">
        <v>1173.6113041992601</v>
      </c>
      <c r="C124" s="63" t="s">
        <v>354</v>
      </c>
      <c r="D124" s="62">
        <v>23012192756.000401</v>
      </c>
      <c r="E124" s="63" t="s">
        <v>212</v>
      </c>
      <c r="F124" s="62">
        <v>14.4</v>
      </c>
      <c r="G124" s="37"/>
      <c r="H124" s="37"/>
      <c r="I124" s="37"/>
      <c r="J124" s="37"/>
      <c r="K124" s="37"/>
      <c r="L124" s="46"/>
    </row>
    <row r="125" spans="1:12" ht="15">
      <c r="A125" s="61" t="s">
        <v>354</v>
      </c>
      <c r="B125" s="62">
        <v>1543.66925757282</v>
      </c>
      <c r="C125" s="63" t="s">
        <v>526</v>
      </c>
      <c r="D125" s="62">
        <v>191947336.31612301</v>
      </c>
      <c r="E125" s="63" t="s">
        <v>384</v>
      </c>
      <c r="F125" s="62">
        <v>14.3</v>
      </c>
      <c r="G125" s="37"/>
      <c r="H125" s="37"/>
      <c r="I125" s="37"/>
      <c r="J125" s="37"/>
      <c r="K125" s="37"/>
      <c r="L125" s="46"/>
    </row>
    <row r="126" spans="1:12" ht="15">
      <c r="A126" s="61" t="s">
        <v>526</v>
      </c>
      <c r="B126" s="62">
        <v>1653.54029724315</v>
      </c>
      <c r="C126" s="63" t="s">
        <v>555</v>
      </c>
      <c r="D126" s="62">
        <v>973116706.09979904</v>
      </c>
      <c r="E126" s="63" t="s">
        <v>556</v>
      </c>
      <c r="F126" s="62">
        <v>14.1</v>
      </c>
      <c r="G126" s="37"/>
      <c r="H126" s="37"/>
      <c r="I126" s="37"/>
      <c r="J126" s="37"/>
      <c r="K126" s="37"/>
      <c r="L126" s="46"/>
    </row>
    <row r="127" spans="1:12" ht="15">
      <c r="A127" s="61" t="s">
        <v>555</v>
      </c>
      <c r="B127" s="62">
        <v>18437.748923536299</v>
      </c>
      <c r="C127" s="63" t="s">
        <v>557</v>
      </c>
      <c r="D127" s="62">
        <v>1623895080923.74</v>
      </c>
      <c r="E127" s="63" t="s">
        <v>191</v>
      </c>
      <c r="F127" s="62">
        <v>13.6</v>
      </c>
      <c r="G127" s="37"/>
      <c r="H127" s="37"/>
      <c r="I127" s="37"/>
      <c r="J127" s="37"/>
      <c r="K127" s="37"/>
      <c r="L127" s="46"/>
    </row>
    <row r="128" spans="1:12" ht="15">
      <c r="A128" s="61" t="s">
        <v>557</v>
      </c>
      <c r="B128" s="62">
        <v>31631.469450986599</v>
      </c>
      <c r="C128" s="63" t="s">
        <v>187</v>
      </c>
      <c r="D128" s="62">
        <v>104326525025.93201</v>
      </c>
      <c r="E128" s="63" t="s">
        <v>173</v>
      </c>
      <c r="F128" s="62">
        <v>13.6</v>
      </c>
      <c r="G128" s="37"/>
      <c r="H128" s="37"/>
      <c r="I128" s="37"/>
      <c r="J128" s="37"/>
      <c r="K128" s="37"/>
    </row>
    <row r="129" spans="1:12" ht="15">
      <c r="A129" s="61" t="s">
        <v>187</v>
      </c>
      <c r="B129" s="62">
        <v>24811.769710023102</v>
      </c>
      <c r="C129" s="63" t="s">
        <v>558</v>
      </c>
      <c r="D129" s="62">
        <v>4524412872718.6904</v>
      </c>
      <c r="E129" s="63" t="s">
        <v>160</v>
      </c>
      <c r="F129" s="62">
        <v>13.3</v>
      </c>
      <c r="G129" s="37"/>
      <c r="H129" s="37"/>
      <c r="I129" s="37"/>
      <c r="J129" s="37"/>
      <c r="K129" s="37"/>
    </row>
    <row r="130" spans="1:12" ht="15">
      <c r="A130" s="61" t="s">
        <v>558</v>
      </c>
      <c r="B130" s="62">
        <v>6779.1997172648598</v>
      </c>
      <c r="C130" s="63" t="s">
        <v>559</v>
      </c>
      <c r="D130" s="62">
        <v>18584865505.7243</v>
      </c>
      <c r="E130" s="63" t="s">
        <v>182</v>
      </c>
      <c r="F130" s="62">
        <v>13.1</v>
      </c>
      <c r="G130" s="37"/>
      <c r="H130" s="37"/>
      <c r="I130" s="37"/>
      <c r="J130" s="37"/>
      <c r="K130" s="37"/>
    </row>
    <row r="131" spans="1:12" ht="15">
      <c r="A131" s="61" t="s">
        <v>559</v>
      </c>
      <c r="B131" s="62">
        <v>2629.71458287115</v>
      </c>
      <c r="C131" s="63" t="s">
        <v>494</v>
      </c>
      <c r="D131" s="62">
        <v>36736829867.882797</v>
      </c>
      <c r="E131" s="63" t="s">
        <v>560</v>
      </c>
      <c r="F131" s="62">
        <v>12.7</v>
      </c>
      <c r="G131" s="37"/>
      <c r="H131" s="37"/>
      <c r="I131" s="37"/>
      <c r="J131" s="37"/>
      <c r="K131" s="37"/>
    </row>
    <row r="132" spans="1:12" ht="15">
      <c r="A132" s="61" t="s">
        <v>494</v>
      </c>
      <c r="B132" s="62">
        <v>4649.5476460783702</v>
      </c>
      <c r="C132" s="63" t="s">
        <v>424</v>
      </c>
      <c r="D132" s="62">
        <v>3115542651.4821901</v>
      </c>
      <c r="E132" s="63" t="s">
        <v>561</v>
      </c>
      <c r="F132" s="62">
        <v>12.7</v>
      </c>
      <c r="G132" s="37"/>
      <c r="H132" s="37"/>
      <c r="I132" s="37"/>
      <c r="J132" s="37"/>
      <c r="K132" s="37"/>
    </row>
    <row r="133" spans="1:12" ht="15">
      <c r="A133" s="61" t="s">
        <v>424</v>
      </c>
      <c r="B133" s="62">
        <v>632.93638561734997</v>
      </c>
      <c r="C133" s="63" t="s">
        <v>562</v>
      </c>
      <c r="D133" s="62">
        <v>27805590095.545399</v>
      </c>
      <c r="E133" s="63" t="s">
        <v>194</v>
      </c>
      <c r="F133" s="62">
        <v>12.7</v>
      </c>
      <c r="G133" s="37"/>
      <c r="H133" s="37"/>
      <c r="I133" s="37"/>
      <c r="J133" s="37"/>
      <c r="K133" s="37"/>
    </row>
    <row r="134" spans="1:12" ht="15">
      <c r="A134" s="61" t="s">
        <v>562</v>
      </c>
      <c r="B134" s="62">
        <v>3699.29476514318</v>
      </c>
      <c r="C134" s="63" t="s">
        <v>563</v>
      </c>
      <c r="D134" s="62">
        <v>1588638626.64639</v>
      </c>
      <c r="E134" s="63" t="s">
        <v>564</v>
      </c>
      <c r="F134" s="62">
        <v>12.6</v>
      </c>
      <c r="G134" s="37"/>
      <c r="H134" s="37"/>
      <c r="I134" s="37"/>
      <c r="J134" s="37"/>
      <c r="K134" s="37"/>
    </row>
    <row r="135" spans="1:12" ht="15">
      <c r="A135" s="61" t="s">
        <v>563</v>
      </c>
      <c r="B135" s="62">
        <v>8804.5610483134005</v>
      </c>
      <c r="C135" s="63" t="s">
        <v>565</v>
      </c>
      <c r="D135" s="62">
        <v>5220250174910.9404</v>
      </c>
      <c r="E135" s="63" t="s">
        <v>171</v>
      </c>
      <c r="F135" s="62">
        <v>12.5</v>
      </c>
      <c r="G135" s="37"/>
      <c r="H135" s="37"/>
      <c r="I135" s="37"/>
      <c r="J135" s="37"/>
      <c r="K135" s="37"/>
      <c r="L135" s="47"/>
    </row>
    <row r="136" spans="1:12" ht="15">
      <c r="A136" s="61" t="s">
        <v>565</v>
      </c>
      <c r="B136" s="62">
        <v>7244.6594192372204</v>
      </c>
      <c r="C136" s="63" t="s">
        <v>566</v>
      </c>
      <c r="D136" s="62">
        <v>1132409817404.22</v>
      </c>
      <c r="E136" s="63" t="s">
        <v>158</v>
      </c>
      <c r="F136" s="62">
        <v>12.4</v>
      </c>
      <c r="G136" s="37"/>
      <c r="H136" s="37"/>
      <c r="I136" s="37"/>
      <c r="J136" s="37"/>
      <c r="K136" s="37"/>
    </row>
    <row r="137" spans="1:12" ht="15">
      <c r="A137" s="61" t="s">
        <v>566</v>
      </c>
      <c r="B137" s="62">
        <v>1051.8831057816999</v>
      </c>
      <c r="C137" s="63" t="s">
        <v>567</v>
      </c>
      <c r="D137" s="62">
        <v>477577465777.25299</v>
      </c>
      <c r="E137" s="63" t="s">
        <v>179</v>
      </c>
      <c r="F137" s="62">
        <v>12.3</v>
      </c>
      <c r="G137" s="37"/>
      <c r="H137" s="37"/>
      <c r="I137" s="37"/>
      <c r="J137" s="37"/>
      <c r="K137" s="37"/>
    </row>
    <row r="138" spans="1:12" ht="15">
      <c r="A138" s="61" t="s">
        <v>567</v>
      </c>
      <c r="B138" s="62">
        <v>688.03202350457502</v>
      </c>
      <c r="C138" s="63" t="s">
        <v>568</v>
      </c>
      <c r="D138" s="64"/>
      <c r="E138" s="63" t="s">
        <v>359</v>
      </c>
      <c r="F138" s="62">
        <v>12.2</v>
      </c>
      <c r="G138" s="37"/>
      <c r="H138" s="37"/>
      <c r="I138" s="37"/>
      <c r="J138" s="37"/>
      <c r="K138" s="37"/>
    </row>
    <row r="139" spans="1:12" ht="15">
      <c r="A139" s="61" t="s">
        <v>568</v>
      </c>
      <c r="B139" s="65"/>
      <c r="C139" s="63" t="s">
        <v>569</v>
      </c>
      <c r="D139" s="62">
        <v>88832160056.326004</v>
      </c>
      <c r="E139" s="63" t="s">
        <v>205</v>
      </c>
      <c r="F139" s="62">
        <v>12</v>
      </c>
      <c r="G139" s="37"/>
      <c r="H139" s="37"/>
      <c r="I139" s="37"/>
      <c r="J139" s="37"/>
      <c r="K139" s="37"/>
    </row>
    <row r="140" spans="1:12" ht="15">
      <c r="A140" s="61" t="s">
        <v>569</v>
      </c>
      <c r="B140" s="62">
        <v>3680.67347661745</v>
      </c>
      <c r="C140" s="63" t="s">
        <v>570</v>
      </c>
      <c r="D140" s="62">
        <v>7530226915518.8496</v>
      </c>
      <c r="E140" s="63" t="s">
        <v>165</v>
      </c>
      <c r="F140" s="62">
        <v>11.6</v>
      </c>
      <c r="G140" s="37"/>
      <c r="H140" s="37"/>
      <c r="I140" s="37"/>
      <c r="J140" s="37"/>
      <c r="K140" s="37"/>
      <c r="L140" s="47"/>
    </row>
    <row r="141" spans="1:12" ht="15">
      <c r="A141" s="61" t="s">
        <v>570</v>
      </c>
      <c r="B141" s="62">
        <v>2217.21488405319</v>
      </c>
      <c r="C141" s="63" t="s">
        <v>571</v>
      </c>
      <c r="D141" s="62">
        <v>31702954847707.699</v>
      </c>
      <c r="E141" s="63" t="s">
        <v>189</v>
      </c>
      <c r="F141" s="62">
        <v>10.3</v>
      </c>
      <c r="G141" s="37"/>
      <c r="H141" s="37"/>
      <c r="I141" s="37"/>
      <c r="J141" s="37"/>
      <c r="K141" s="37"/>
    </row>
    <row r="142" spans="1:12" ht="15">
      <c r="A142" s="61" t="s">
        <v>571</v>
      </c>
      <c r="B142" s="62">
        <v>4754.5204778095604</v>
      </c>
      <c r="C142" s="63" t="s">
        <v>427</v>
      </c>
      <c r="D142" s="62">
        <v>2105770361.0141499</v>
      </c>
      <c r="E142" s="63" t="s">
        <v>170</v>
      </c>
      <c r="F142" s="62">
        <v>10.1</v>
      </c>
      <c r="G142" s="37"/>
      <c r="H142" s="37"/>
      <c r="I142" s="37"/>
      <c r="J142" s="37"/>
      <c r="K142" s="37"/>
    </row>
    <row r="143" spans="1:12" ht="15">
      <c r="A143" s="61" t="s">
        <v>427</v>
      </c>
      <c r="B143" s="62">
        <v>875.35343296392602</v>
      </c>
      <c r="C143" s="63" t="s">
        <v>572</v>
      </c>
      <c r="D143" s="62">
        <v>22443633555291.199</v>
      </c>
      <c r="E143" s="63" t="s">
        <v>210</v>
      </c>
      <c r="F143" s="62">
        <v>9.9</v>
      </c>
      <c r="G143" s="37"/>
      <c r="H143" s="37"/>
      <c r="I143" s="37"/>
      <c r="J143" s="37"/>
      <c r="K143" s="37"/>
      <c r="L143" s="46"/>
    </row>
    <row r="144" spans="1:12" ht="15">
      <c r="A144" s="61" t="s">
        <v>572</v>
      </c>
      <c r="B144" s="62">
        <v>9679.3968450469492</v>
      </c>
      <c r="C144" s="63" t="s">
        <v>358</v>
      </c>
      <c r="D144" s="62">
        <v>48091287110.448997</v>
      </c>
      <c r="E144" s="63" t="s">
        <v>181</v>
      </c>
      <c r="F144" s="62">
        <v>9.4</v>
      </c>
      <c r="G144" s="37"/>
      <c r="H144" s="37"/>
      <c r="I144" s="37"/>
      <c r="J144" s="37"/>
      <c r="K144" s="37"/>
    </row>
    <row r="145" spans="1:12" ht="15">
      <c r="A145" s="61" t="s">
        <v>358</v>
      </c>
      <c r="B145" s="62">
        <v>20233.6413480843</v>
      </c>
      <c r="C145" s="63" t="s">
        <v>547</v>
      </c>
      <c r="D145" s="62">
        <v>66091291203.412201</v>
      </c>
      <c r="E145" s="63" t="s">
        <v>180</v>
      </c>
      <c r="F145" s="62">
        <v>8.8000000000000007</v>
      </c>
      <c r="G145" s="37"/>
      <c r="H145" s="37"/>
      <c r="I145" s="37"/>
      <c r="J145" s="37"/>
      <c r="K145" s="37"/>
    </row>
    <row r="146" spans="1:12" ht="15">
      <c r="A146" s="61" t="s">
        <v>547</v>
      </c>
      <c r="B146" s="62">
        <v>116014.602496869</v>
      </c>
      <c r="C146" s="63" t="s">
        <v>360</v>
      </c>
      <c r="D146" s="62">
        <v>29604557971.021198</v>
      </c>
      <c r="E146" s="63" t="s">
        <v>213</v>
      </c>
      <c r="F146" s="62">
        <v>8.8000000000000007</v>
      </c>
      <c r="G146" s="37"/>
      <c r="H146" s="37"/>
      <c r="I146" s="37"/>
      <c r="J146" s="37"/>
      <c r="K146" s="37"/>
    </row>
    <row r="147" spans="1:12" ht="15">
      <c r="A147" s="61" t="s">
        <v>360</v>
      </c>
      <c r="B147" s="62">
        <v>17726.252935136799</v>
      </c>
      <c r="C147" s="63" t="s">
        <v>573</v>
      </c>
      <c r="D147" s="62">
        <v>23488188941.667999</v>
      </c>
      <c r="E147" s="63" t="s">
        <v>166</v>
      </c>
      <c r="F147" s="62">
        <v>8.6</v>
      </c>
      <c r="G147" s="37"/>
      <c r="H147" s="37"/>
      <c r="I147" s="37"/>
      <c r="J147" s="37"/>
      <c r="K147" s="37"/>
    </row>
    <row r="148" spans="1:12" ht="15">
      <c r="A148" s="61" t="s">
        <v>573</v>
      </c>
      <c r="B148" s="62">
        <v>39403.135907336196</v>
      </c>
      <c r="C148" s="63" t="s">
        <v>574</v>
      </c>
      <c r="D148" s="64"/>
      <c r="E148" s="63" t="s">
        <v>575</v>
      </c>
      <c r="F148" s="62">
        <v>8.1999999999999993</v>
      </c>
      <c r="G148" s="37"/>
      <c r="H148" s="37"/>
      <c r="I148" s="37"/>
      <c r="J148" s="37"/>
      <c r="K148" s="37"/>
    </row>
    <row r="149" spans="1:12" ht="15">
      <c r="A149" s="61" t="s">
        <v>574</v>
      </c>
      <c r="B149" s="65"/>
      <c r="C149" s="63" t="s">
        <v>576</v>
      </c>
      <c r="D149" s="62">
        <v>105726171616.036</v>
      </c>
      <c r="E149" s="63" t="s">
        <v>457</v>
      </c>
      <c r="F149" s="62">
        <v>8.1999999999999993</v>
      </c>
      <c r="G149" s="37"/>
      <c r="H149" s="37"/>
      <c r="I149" s="37"/>
      <c r="J149" s="37"/>
      <c r="K149" s="37"/>
    </row>
    <row r="150" spans="1:12" ht="15">
      <c r="A150" s="61" t="s">
        <v>576</v>
      </c>
      <c r="B150" s="62">
        <v>3009.2494595815201</v>
      </c>
      <c r="C150" s="63" t="s">
        <v>577</v>
      </c>
      <c r="D150" s="64"/>
      <c r="E150" s="63" t="s">
        <v>435</v>
      </c>
      <c r="F150" s="62">
        <v>7.3</v>
      </c>
      <c r="G150" s="37"/>
      <c r="H150" s="37"/>
      <c r="I150" s="37"/>
      <c r="J150" s="37"/>
      <c r="K150" s="37"/>
    </row>
    <row r="151" spans="1:12" ht="15">
      <c r="A151" s="61" t="s">
        <v>577</v>
      </c>
      <c r="B151" s="65"/>
      <c r="C151" s="63" t="s">
        <v>435</v>
      </c>
      <c r="D151" s="62">
        <v>8517409875.6726704</v>
      </c>
      <c r="E151" s="63" t="s">
        <v>217</v>
      </c>
      <c r="F151" s="62">
        <v>6.7</v>
      </c>
      <c r="G151" s="37"/>
      <c r="H151" s="37"/>
      <c r="I151" s="37"/>
      <c r="J151" s="37"/>
      <c r="K151" s="37"/>
      <c r="L151" s="46"/>
    </row>
    <row r="152" spans="1:12" ht="15">
      <c r="A152" s="61" t="s">
        <v>435</v>
      </c>
      <c r="B152" s="62">
        <v>4547.05972064671</v>
      </c>
      <c r="C152" s="63" t="s">
        <v>378</v>
      </c>
      <c r="D152" s="62">
        <v>12244773575.743</v>
      </c>
      <c r="E152" s="63" t="s">
        <v>379</v>
      </c>
      <c r="F152" s="62">
        <v>6</v>
      </c>
      <c r="G152" s="37"/>
      <c r="H152" s="37"/>
      <c r="I152" s="37"/>
      <c r="J152" s="37"/>
      <c r="K152" s="37"/>
    </row>
    <row r="153" spans="1:12" ht="15">
      <c r="A153" s="61" t="s">
        <v>378</v>
      </c>
      <c r="B153" s="62">
        <v>471.49149630025198</v>
      </c>
      <c r="C153" s="63" t="s">
        <v>575</v>
      </c>
      <c r="D153" s="62">
        <v>3600460152.8705401</v>
      </c>
      <c r="E153" s="63" t="s">
        <v>188</v>
      </c>
      <c r="F153" s="62">
        <v>5.6</v>
      </c>
      <c r="G153" s="37"/>
      <c r="H153" s="37"/>
      <c r="I153" s="37"/>
      <c r="J153" s="37"/>
      <c r="K153" s="37"/>
    </row>
    <row r="154" spans="1:12" ht="15">
      <c r="A154" s="61" t="s">
        <v>575</v>
      </c>
      <c r="B154" s="62">
        <v>6924.10574465625</v>
      </c>
      <c r="C154" s="63" t="s">
        <v>578</v>
      </c>
      <c r="D154" s="62">
        <v>3232650039398.8599</v>
      </c>
      <c r="E154" s="63" t="s">
        <v>496</v>
      </c>
      <c r="F154" s="62">
        <v>5.5</v>
      </c>
      <c r="G154" s="37"/>
      <c r="H154" s="37"/>
      <c r="I154" s="37"/>
      <c r="J154" s="37"/>
      <c r="K154" s="37"/>
    </row>
    <row r="155" spans="1:12" ht="15">
      <c r="A155" s="61" t="s">
        <v>578</v>
      </c>
      <c r="B155" s="62">
        <v>6514.3433575154604</v>
      </c>
      <c r="C155" s="63" t="s">
        <v>190</v>
      </c>
      <c r="D155" s="62">
        <v>1148749268216.8301</v>
      </c>
      <c r="E155" s="63" t="s">
        <v>390</v>
      </c>
      <c r="F155" s="62">
        <v>5</v>
      </c>
      <c r="G155" s="37"/>
      <c r="H155" s="37"/>
      <c r="I155" s="37"/>
      <c r="J155" s="37"/>
      <c r="K155" s="37"/>
    </row>
    <row r="156" spans="1:12" ht="15">
      <c r="A156" s="61" t="s">
        <v>190</v>
      </c>
      <c r="B156" s="62">
        <v>8329.27131263927</v>
      </c>
      <c r="C156" s="63" t="s">
        <v>579</v>
      </c>
      <c r="D156" s="62">
        <v>207699800</v>
      </c>
      <c r="E156" s="63" t="s">
        <v>576</v>
      </c>
      <c r="F156" s="62">
        <v>4.8</v>
      </c>
      <c r="G156" s="37"/>
      <c r="H156" s="37"/>
      <c r="I156" s="37"/>
      <c r="J156" s="37"/>
      <c r="K156" s="37"/>
    </row>
    <row r="157" spans="1:12" ht="15">
      <c r="A157" s="61" t="s">
        <v>579</v>
      </c>
      <c r="B157" s="62">
        <v>4129.8509984120001</v>
      </c>
      <c r="C157" s="63" t="s">
        <v>580</v>
      </c>
      <c r="D157" s="62">
        <v>31226518398513.5</v>
      </c>
      <c r="E157" s="63" t="s">
        <v>421</v>
      </c>
      <c r="F157" s="62">
        <v>4.3</v>
      </c>
      <c r="G157" s="37"/>
      <c r="H157" s="37"/>
      <c r="I157" s="37"/>
      <c r="J157" s="37"/>
      <c r="K157" s="37"/>
    </row>
    <row r="158" spans="1:12" ht="15">
      <c r="A158" s="61" t="s">
        <v>580</v>
      </c>
      <c r="B158" s="62">
        <v>5216.9478914950996</v>
      </c>
      <c r="C158" s="63" t="s">
        <v>528</v>
      </c>
      <c r="D158" s="62">
        <v>10602899914.6751</v>
      </c>
      <c r="E158" s="63" t="s">
        <v>569</v>
      </c>
      <c r="F158" s="62">
        <v>4.0999999999999996</v>
      </c>
      <c r="G158" s="37"/>
      <c r="H158" s="37"/>
      <c r="I158" s="37"/>
      <c r="J158" s="37"/>
      <c r="K158" s="37"/>
    </row>
    <row r="159" spans="1:12" ht="15">
      <c r="A159" s="61" t="s">
        <v>528</v>
      </c>
      <c r="B159" s="62">
        <v>5917.2625754522096</v>
      </c>
      <c r="C159" s="63" t="s">
        <v>453</v>
      </c>
      <c r="D159" s="62">
        <v>15830713922.9713</v>
      </c>
      <c r="E159" s="63" t="s">
        <v>581</v>
      </c>
      <c r="F159" s="62">
        <v>1.1000000000000001</v>
      </c>
      <c r="G159" s="37"/>
      <c r="H159" s="37"/>
      <c r="I159" s="37"/>
      <c r="J159" s="37"/>
      <c r="K159" s="37"/>
    </row>
    <row r="160" spans="1:12" ht="15">
      <c r="A160" s="61" t="s">
        <v>453</v>
      </c>
      <c r="B160" s="62">
        <v>862.45301877025202</v>
      </c>
      <c r="C160" s="63" t="s">
        <v>551</v>
      </c>
      <c r="D160" s="62">
        <v>12886270020.5634</v>
      </c>
      <c r="E160" s="63" t="s">
        <v>362</v>
      </c>
      <c r="F160" s="62">
        <v>0.6</v>
      </c>
      <c r="G160" s="37"/>
      <c r="H160" s="37"/>
      <c r="I160" s="37"/>
      <c r="J160" s="37"/>
      <c r="K160" s="37"/>
    </row>
    <row r="161" spans="1:12" ht="15">
      <c r="A161" s="61" t="s">
        <v>551</v>
      </c>
      <c r="B161" s="62">
        <v>27884.642827425101</v>
      </c>
      <c r="C161" s="63" t="s">
        <v>512</v>
      </c>
      <c r="D161" s="62">
        <v>86343028344.681702</v>
      </c>
      <c r="E161" s="63" t="s">
        <v>582</v>
      </c>
      <c r="F161" s="64"/>
      <c r="G161" s="37"/>
      <c r="H161" s="37"/>
      <c r="I161" s="37"/>
      <c r="J161" s="37"/>
      <c r="K161" s="37"/>
    </row>
    <row r="162" spans="1:12" ht="15">
      <c r="A162" s="61" t="s">
        <v>512</v>
      </c>
      <c r="B162" s="62">
        <v>1467.6042811514301</v>
      </c>
      <c r="C162" s="63" t="s">
        <v>583</v>
      </c>
      <c r="D162" s="62">
        <v>1484549700027.4399</v>
      </c>
      <c r="E162" s="63" t="s">
        <v>442</v>
      </c>
      <c r="F162" s="64"/>
      <c r="G162" s="37"/>
      <c r="H162" s="37"/>
      <c r="I162" s="37"/>
      <c r="J162" s="37"/>
      <c r="K162" s="37"/>
    </row>
    <row r="163" spans="1:12" ht="15">
      <c r="A163" s="61" t="s">
        <v>583</v>
      </c>
      <c r="B163" s="62">
        <v>3018.4336546504801</v>
      </c>
      <c r="C163" s="63" t="s">
        <v>513</v>
      </c>
      <c r="D163" s="62">
        <v>4046328370.4822998</v>
      </c>
      <c r="E163" s="63" t="s">
        <v>584</v>
      </c>
      <c r="F163" s="64"/>
      <c r="G163" s="37"/>
      <c r="H163" s="37"/>
      <c r="I163" s="37"/>
      <c r="J163" s="37"/>
      <c r="K163" s="37"/>
      <c r="L163" s="46"/>
    </row>
    <row r="164" spans="1:12" ht="15">
      <c r="A164" s="61" t="s">
        <v>513</v>
      </c>
      <c r="B164" s="62">
        <v>7677.1522256999597</v>
      </c>
      <c r="C164" s="63" t="s">
        <v>492</v>
      </c>
      <c r="D164" s="62">
        <v>13528524724.647301</v>
      </c>
      <c r="E164" s="63" t="s">
        <v>585</v>
      </c>
      <c r="F164" s="64"/>
      <c r="G164" s="37"/>
      <c r="H164" s="37"/>
      <c r="I164" s="37"/>
      <c r="J164" s="37"/>
      <c r="K164" s="37"/>
    </row>
    <row r="165" spans="1:12" ht="15">
      <c r="A165" s="61" t="s">
        <v>492</v>
      </c>
      <c r="B165" s="62">
        <v>4060.9505177003798</v>
      </c>
      <c r="C165" s="63" t="s">
        <v>586</v>
      </c>
      <c r="D165" s="64"/>
      <c r="E165" s="63" t="s">
        <v>533</v>
      </c>
      <c r="F165" s="64"/>
      <c r="G165" s="37"/>
      <c r="H165" s="37"/>
      <c r="I165" s="37"/>
      <c r="J165" s="37"/>
      <c r="K165" s="37"/>
    </row>
    <row r="166" spans="1:12" ht="15">
      <c r="A166" s="61" t="s">
        <v>586</v>
      </c>
      <c r="B166" s="65"/>
      <c r="C166" s="63" t="s">
        <v>443</v>
      </c>
      <c r="D166" s="62">
        <v>17959222232.323799</v>
      </c>
      <c r="E166" s="63" t="s">
        <v>211</v>
      </c>
      <c r="F166" s="64"/>
      <c r="G166" s="37"/>
      <c r="H166" s="37"/>
      <c r="I166" s="37"/>
      <c r="J166" s="37"/>
      <c r="K166" s="37"/>
    </row>
    <row r="167" spans="1:12" ht="15">
      <c r="A167" s="61" t="s">
        <v>443</v>
      </c>
      <c r="B167" s="62">
        <v>448.54428070498199</v>
      </c>
      <c r="C167" s="63" t="s">
        <v>488</v>
      </c>
      <c r="D167" s="62">
        <v>7206774163.4500704</v>
      </c>
      <c r="E167" s="63" t="s">
        <v>587</v>
      </c>
      <c r="F167" s="64"/>
      <c r="G167" s="37"/>
      <c r="H167" s="37"/>
      <c r="I167" s="37"/>
      <c r="J167" s="37"/>
      <c r="K167" s="37"/>
    </row>
    <row r="168" spans="1:12" ht="15">
      <c r="A168" s="61" t="s">
        <v>488</v>
      </c>
      <c r="B168" s="62">
        <v>1701.9911630490799</v>
      </c>
      <c r="C168" s="63" t="s">
        <v>189</v>
      </c>
      <c r="D168" s="62">
        <v>11465335041.3424</v>
      </c>
      <c r="E168" s="63" t="s">
        <v>588</v>
      </c>
      <c r="F168" s="64"/>
      <c r="G168" s="37"/>
      <c r="H168" s="37"/>
      <c r="I168" s="37"/>
      <c r="J168" s="37"/>
      <c r="K168" s="37"/>
    </row>
    <row r="169" spans="1:12" ht="15">
      <c r="A169" s="61" t="s">
        <v>189</v>
      </c>
      <c r="B169" s="62">
        <v>8627.8431571198107</v>
      </c>
      <c r="C169" s="63" t="s">
        <v>420</v>
      </c>
      <c r="D169" s="62">
        <v>7537262760.2286596</v>
      </c>
      <c r="E169" s="63" t="s">
        <v>214</v>
      </c>
      <c r="F169" s="64"/>
      <c r="G169" s="37"/>
      <c r="H169" s="37"/>
      <c r="I169" s="37"/>
      <c r="J169" s="37"/>
      <c r="K169" s="37"/>
    </row>
    <row r="170" spans="1:12" ht="15">
      <c r="A170" s="61" t="s">
        <v>420</v>
      </c>
      <c r="B170" s="62">
        <v>636.82053683384697</v>
      </c>
      <c r="C170" s="63" t="s">
        <v>188</v>
      </c>
      <c r="D170" s="62">
        <v>344099347074.638</v>
      </c>
      <c r="E170" s="63" t="s">
        <v>589</v>
      </c>
      <c r="F170" s="64"/>
      <c r="G170" s="37"/>
      <c r="H170" s="37"/>
      <c r="I170" s="37"/>
      <c r="J170" s="37"/>
      <c r="K170" s="37"/>
    </row>
    <row r="171" spans="1:12" ht="15">
      <c r="A171" s="61" t="s">
        <v>188</v>
      </c>
      <c r="B171" s="62">
        <v>10412.3489834381</v>
      </c>
      <c r="C171" s="63" t="s">
        <v>590</v>
      </c>
      <c r="D171" s="62">
        <v>20853806814665.898</v>
      </c>
      <c r="E171" s="63" t="s">
        <v>209</v>
      </c>
      <c r="F171" s="64"/>
      <c r="G171" s="37"/>
      <c r="H171" s="37"/>
      <c r="I171" s="37"/>
      <c r="J171" s="37"/>
      <c r="K171" s="37"/>
    </row>
    <row r="172" spans="1:12" ht="15">
      <c r="A172" s="61" t="s">
        <v>590</v>
      </c>
      <c r="B172" s="62">
        <v>61337.031104371497</v>
      </c>
      <c r="C172" s="63" t="s">
        <v>549</v>
      </c>
      <c r="D172" s="62">
        <v>10285277742.127501</v>
      </c>
      <c r="E172" s="63" t="s">
        <v>591</v>
      </c>
      <c r="F172" s="64"/>
      <c r="G172" s="37"/>
      <c r="H172" s="37"/>
      <c r="I172" s="37"/>
      <c r="J172" s="37"/>
      <c r="K172" s="37"/>
    </row>
    <row r="173" spans="1:12" ht="15">
      <c r="A173" s="61" t="s">
        <v>549</v>
      </c>
      <c r="B173" s="62">
        <v>4179.2780656087498</v>
      </c>
      <c r="C173" s="63" t="s">
        <v>592</v>
      </c>
      <c r="D173" s="64"/>
      <c r="E173" s="63" t="s">
        <v>593</v>
      </c>
      <c r="F173" s="64"/>
      <c r="G173" s="37"/>
      <c r="H173" s="37"/>
      <c r="I173" s="37"/>
      <c r="J173" s="37"/>
      <c r="K173" s="37"/>
    </row>
    <row r="174" spans="1:12" ht="15">
      <c r="A174" s="61" t="s">
        <v>592</v>
      </c>
      <c r="B174" s="65"/>
      <c r="C174" s="63" t="s">
        <v>467</v>
      </c>
      <c r="D174" s="62">
        <v>12649312790.6637</v>
      </c>
      <c r="E174" s="64"/>
      <c r="F174" s="68"/>
      <c r="G174" s="37"/>
      <c r="H174" s="37"/>
      <c r="I174" s="37"/>
      <c r="J174" s="37"/>
      <c r="K174" s="37"/>
    </row>
    <row r="175" spans="1:12" ht="15">
      <c r="A175" s="61" t="s">
        <v>467</v>
      </c>
      <c r="B175" s="62">
        <v>567.66989226161104</v>
      </c>
      <c r="C175" s="63" t="s">
        <v>193</v>
      </c>
      <c r="D175" s="62">
        <v>493917966761.43298</v>
      </c>
      <c r="E175" s="64"/>
      <c r="F175" s="68"/>
      <c r="G175" s="37"/>
      <c r="H175" s="37"/>
      <c r="I175" s="37"/>
      <c r="J175" s="37"/>
      <c r="K175" s="37"/>
    </row>
    <row r="176" spans="1:12" ht="15">
      <c r="A176" s="61" t="s">
        <v>193</v>
      </c>
      <c r="B176" s="62">
        <v>2097.0924728902201</v>
      </c>
      <c r="C176" s="63" t="s">
        <v>511</v>
      </c>
      <c r="D176" s="62">
        <v>12734736953.8557</v>
      </c>
      <c r="E176" s="64"/>
      <c r="F176" s="68"/>
      <c r="G176" s="37"/>
      <c r="H176" s="37"/>
      <c r="I176" s="37"/>
      <c r="J176" s="37"/>
      <c r="K176" s="37"/>
    </row>
    <row r="177" spans="1:12" ht="15">
      <c r="A177" s="61" t="s">
        <v>511</v>
      </c>
      <c r="B177" s="62">
        <v>1905.26115155921</v>
      </c>
      <c r="C177" s="63" t="s">
        <v>191</v>
      </c>
      <c r="D177" s="62">
        <v>808007359760.31897</v>
      </c>
      <c r="E177" s="64"/>
      <c r="F177" s="68"/>
      <c r="G177" s="37"/>
      <c r="H177" s="37"/>
      <c r="I177" s="37"/>
      <c r="J177" s="37"/>
      <c r="K177" s="37"/>
    </row>
    <row r="178" spans="1:12" ht="15">
      <c r="A178" s="61" t="s">
        <v>191</v>
      </c>
      <c r="B178" s="62">
        <v>52397.116712955802</v>
      </c>
      <c r="C178" s="63" t="s">
        <v>194</v>
      </c>
      <c r="D178" s="62">
        <v>403779725121.422</v>
      </c>
      <c r="E178" s="64"/>
      <c r="F178" s="68"/>
      <c r="G178" s="37"/>
      <c r="H178" s="37"/>
      <c r="I178" s="37"/>
      <c r="J178" s="37"/>
      <c r="K178" s="37"/>
    </row>
    <row r="179" spans="1:12" ht="15">
      <c r="A179" s="61" t="s">
        <v>194</v>
      </c>
      <c r="B179" s="62">
        <v>67389.912047246995</v>
      </c>
      <c r="C179" s="63" t="s">
        <v>505</v>
      </c>
      <c r="D179" s="62">
        <v>29966137023.624699</v>
      </c>
      <c r="E179" s="64"/>
      <c r="F179" s="68"/>
      <c r="G179" s="37"/>
      <c r="H179" s="37"/>
      <c r="I179" s="37"/>
      <c r="J179" s="37"/>
      <c r="K179" s="37"/>
    </row>
    <row r="180" spans="1:12" ht="15">
      <c r="A180" s="61" t="s">
        <v>505</v>
      </c>
      <c r="B180" s="62">
        <v>1155.14285440358</v>
      </c>
      <c r="C180" s="63" t="s">
        <v>582</v>
      </c>
      <c r="D180" s="62">
        <v>90650121.434712499</v>
      </c>
      <c r="E180" s="64"/>
      <c r="F180" s="68"/>
      <c r="G180" s="37"/>
      <c r="H180" s="37"/>
      <c r="I180" s="37"/>
      <c r="J180" s="37"/>
      <c r="K180" s="37"/>
    </row>
    <row r="181" spans="1:12" ht="15">
      <c r="A181" s="61" t="s">
        <v>582</v>
      </c>
      <c r="B181" s="62">
        <v>10580.268188390501</v>
      </c>
      <c r="C181" s="63" t="s">
        <v>192</v>
      </c>
      <c r="D181" s="62">
        <v>204482365452.67499</v>
      </c>
      <c r="E181" s="64"/>
      <c r="F181" s="68"/>
      <c r="G181" s="37"/>
      <c r="H181" s="37"/>
      <c r="I181" s="37"/>
      <c r="J181" s="37"/>
      <c r="K181" s="37"/>
    </row>
    <row r="182" spans="1:12" ht="15">
      <c r="A182" s="61" t="s">
        <v>192</v>
      </c>
      <c r="B182" s="62">
        <v>41441.466666701097</v>
      </c>
      <c r="C182" s="63" t="s">
        <v>594</v>
      </c>
      <c r="D182" s="62">
        <v>49244680329334</v>
      </c>
      <c r="E182" s="64"/>
      <c r="F182" s="68"/>
      <c r="G182" s="37"/>
      <c r="H182" s="37"/>
      <c r="I182" s="37"/>
      <c r="J182" s="37"/>
      <c r="K182" s="37"/>
    </row>
    <row r="183" spans="1:12" ht="15">
      <c r="A183" s="61" t="s">
        <v>594</v>
      </c>
      <c r="B183" s="62">
        <v>38178.178282692701</v>
      </c>
      <c r="C183" s="63" t="s">
        <v>195</v>
      </c>
      <c r="D183" s="64"/>
      <c r="E183" s="64"/>
      <c r="F183" s="68"/>
      <c r="G183" s="37"/>
      <c r="H183" s="37"/>
      <c r="I183" s="37"/>
      <c r="J183" s="37"/>
      <c r="K183" s="37"/>
    </row>
    <row r="184" spans="1:12" ht="15">
      <c r="A184" s="61" t="s">
        <v>195</v>
      </c>
      <c r="B184" s="62">
        <v>12659.717724239201</v>
      </c>
      <c r="C184" s="63" t="s">
        <v>595</v>
      </c>
      <c r="D184" s="62">
        <v>381932796736.11798</v>
      </c>
      <c r="E184" s="64"/>
      <c r="F184" s="68"/>
      <c r="G184" s="37"/>
      <c r="H184" s="37"/>
      <c r="I184" s="37"/>
      <c r="J184" s="37"/>
      <c r="K184" s="37"/>
    </row>
    <row r="185" spans="1:12" ht="15">
      <c r="A185" s="61" t="s">
        <v>595</v>
      </c>
      <c r="B185" s="62">
        <v>11766.973739293901</v>
      </c>
      <c r="C185" s="63" t="s">
        <v>515</v>
      </c>
      <c r="D185" s="62">
        <v>319589670093.83801</v>
      </c>
      <c r="E185" s="64"/>
      <c r="F185" s="68"/>
      <c r="G185" s="37"/>
      <c r="H185" s="37"/>
      <c r="I185" s="37"/>
      <c r="J185" s="37"/>
      <c r="K185" s="37"/>
      <c r="L185" s="46"/>
    </row>
    <row r="186" spans="1:12" ht="15">
      <c r="A186" s="61" t="s">
        <v>515</v>
      </c>
      <c r="B186" s="62">
        <v>1188.8597569216199</v>
      </c>
      <c r="C186" s="63" t="s">
        <v>523</v>
      </c>
      <c r="D186" s="62">
        <v>52520697209.233704</v>
      </c>
      <c r="E186" s="64"/>
      <c r="F186" s="68"/>
      <c r="G186" s="37"/>
      <c r="H186" s="37"/>
      <c r="I186" s="37"/>
      <c r="J186" s="37"/>
      <c r="K186" s="37"/>
    </row>
    <row r="187" spans="1:12" ht="15">
      <c r="A187" s="61" t="s">
        <v>523</v>
      </c>
      <c r="B187" s="62">
        <v>12509.8352901414</v>
      </c>
      <c r="C187" s="63" t="s">
        <v>196</v>
      </c>
      <c r="D187" s="62">
        <v>190979128768.53299</v>
      </c>
      <c r="E187" s="64"/>
      <c r="F187" s="68"/>
      <c r="G187" s="37"/>
      <c r="H187" s="37"/>
      <c r="I187" s="37"/>
      <c r="J187" s="37"/>
      <c r="K187" s="37"/>
    </row>
    <row r="188" spans="1:12" ht="15">
      <c r="A188" s="61" t="s">
        <v>196</v>
      </c>
      <c r="B188" s="62">
        <v>6126.8745397886696</v>
      </c>
      <c r="C188" s="63" t="s">
        <v>197</v>
      </c>
      <c r="D188" s="62">
        <v>358294070260.97699</v>
      </c>
      <c r="E188" s="64"/>
      <c r="F188" s="68"/>
      <c r="G188" s="37"/>
      <c r="H188" s="37"/>
      <c r="I188" s="37"/>
      <c r="J188" s="37"/>
      <c r="K188" s="37"/>
    </row>
    <row r="189" spans="1:12" ht="15">
      <c r="A189" s="61" t="s">
        <v>197</v>
      </c>
      <c r="B189" s="62">
        <v>3298.8295856965701</v>
      </c>
      <c r="C189" s="63" t="s">
        <v>509</v>
      </c>
      <c r="D189" s="62">
        <v>239735275.66539899</v>
      </c>
      <c r="E189" s="64"/>
      <c r="F189" s="68"/>
      <c r="G189" s="37"/>
      <c r="H189" s="37"/>
      <c r="I189" s="37"/>
      <c r="J189" s="37"/>
      <c r="K189" s="37"/>
    </row>
    <row r="190" spans="1:12" ht="15">
      <c r="A190" s="61" t="s">
        <v>509</v>
      </c>
      <c r="B190" s="62">
        <v>14243.8646915764</v>
      </c>
      <c r="C190" s="63" t="s">
        <v>470</v>
      </c>
      <c r="D190" s="62">
        <v>23854664082.319901</v>
      </c>
      <c r="E190" s="64"/>
      <c r="F190" s="68"/>
      <c r="G190" s="37"/>
      <c r="H190" s="37"/>
      <c r="I190" s="37"/>
      <c r="J190" s="37"/>
      <c r="K190" s="37"/>
    </row>
    <row r="191" spans="1:12" ht="15">
      <c r="A191" s="61" t="s">
        <v>470</v>
      </c>
      <c r="B191" s="62">
        <v>2757.2175297369599</v>
      </c>
      <c r="C191" s="63" t="s">
        <v>199</v>
      </c>
      <c r="D191" s="62">
        <v>555630454967.50195</v>
      </c>
      <c r="E191" s="64"/>
      <c r="F191" s="68"/>
      <c r="G191" s="37"/>
      <c r="H191" s="37"/>
      <c r="I191" s="37"/>
      <c r="J191" s="37"/>
      <c r="K191" s="37"/>
    </row>
    <row r="192" spans="1:12" ht="15">
      <c r="A192" s="61" t="s">
        <v>199</v>
      </c>
      <c r="B192" s="62">
        <v>15720.994663556001</v>
      </c>
      <c r="C192" s="63" t="s">
        <v>596</v>
      </c>
      <c r="D192" s="62">
        <v>1404161900868.1399</v>
      </c>
      <c r="E192" s="64"/>
      <c r="F192" s="68"/>
      <c r="G192" s="37"/>
      <c r="H192" s="37"/>
      <c r="I192" s="37"/>
      <c r="J192" s="37"/>
      <c r="K192" s="37"/>
      <c r="L192" s="46"/>
    </row>
    <row r="193" spans="1:12" ht="15">
      <c r="A193" s="61" t="s">
        <v>596</v>
      </c>
      <c r="B193" s="62">
        <v>1330.01289820543</v>
      </c>
      <c r="C193" s="63" t="s">
        <v>200</v>
      </c>
      <c r="D193" s="62">
        <v>92660076632.508698</v>
      </c>
      <c r="E193" s="64"/>
      <c r="F193" s="68"/>
      <c r="G193" s="37"/>
      <c r="H193" s="37"/>
      <c r="I193" s="37"/>
      <c r="J193" s="37"/>
      <c r="K193" s="37"/>
      <c r="L193" s="46"/>
    </row>
    <row r="194" spans="1:12" ht="15">
      <c r="A194" s="61" t="s">
        <v>200</v>
      </c>
      <c r="B194" s="62">
        <v>32290.9211360931</v>
      </c>
      <c r="C194" s="63" t="s">
        <v>597</v>
      </c>
      <c r="D194" s="64"/>
      <c r="E194" s="64"/>
      <c r="F194" s="68"/>
      <c r="G194" s="37"/>
      <c r="H194" s="37"/>
      <c r="I194" s="37"/>
      <c r="J194" s="37"/>
      <c r="K194" s="37"/>
      <c r="L194" s="46"/>
    </row>
    <row r="195" spans="1:12" ht="15">
      <c r="A195" s="61" t="s">
        <v>597</v>
      </c>
      <c r="B195" s="65"/>
      <c r="C195" s="63" t="s">
        <v>198</v>
      </c>
      <c r="D195" s="62">
        <v>203507675081.48199</v>
      </c>
      <c r="E195" s="64"/>
      <c r="F195" s="68"/>
      <c r="G195" s="37"/>
      <c r="H195" s="37"/>
      <c r="I195" s="37"/>
      <c r="J195" s="37"/>
      <c r="K195" s="37"/>
      <c r="L195" s="46"/>
    </row>
    <row r="196" spans="1:12" ht="15">
      <c r="A196" s="61" t="s">
        <v>198</v>
      </c>
      <c r="B196" s="62">
        <v>22176.296711692899</v>
      </c>
      <c r="C196" s="63" t="s">
        <v>518</v>
      </c>
      <c r="D196" s="62">
        <v>40446808660.989403</v>
      </c>
      <c r="E196" s="64"/>
      <c r="F196" s="68"/>
      <c r="G196" s="37"/>
      <c r="H196" s="37"/>
      <c r="I196" s="37"/>
      <c r="J196" s="37"/>
      <c r="K196" s="37"/>
      <c r="L196" s="46"/>
    </row>
    <row r="197" spans="1:12" ht="15">
      <c r="A197" s="61" t="s">
        <v>518</v>
      </c>
      <c r="B197" s="62">
        <v>5001.0727604519097</v>
      </c>
      <c r="C197" s="63" t="s">
        <v>598</v>
      </c>
      <c r="D197" s="62">
        <v>14015400000</v>
      </c>
      <c r="E197" s="64"/>
      <c r="F197" s="68"/>
      <c r="G197" s="37"/>
      <c r="H197" s="37"/>
      <c r="I197" s="37"/>
      <c r="J197" s="37"/>
      <c r="K197" s="37"/>
      <c r="L197" s="46"/>
    </row>
    <row r="198" spans="1:12" ht="15">
      <c r="A198" s="61" t="s">
        <v>598</v>
      </c>
      <c r="B198" s="62">
        <v>3239.7311081265698</v>
      </c>
      <c r="C198" s="63" t="s">
        <v>599</v>
      </c>
      <c r="D198" s="62">
        <v>9135631621.7330494</v>
      </c>
      <c r="E198" s="64"/>
      <c r="F198" s="68"/>
      <c r="G198" s="37"/>
      <c r="H198" s="37"/>
      <c r="I198" s="37"/>
      <c r="J198" s="37"/>
      <c r="K198" s="37"/>
    </row>
    <row r="199" spans="1:12" ht="15">
      <c r="A199" s="61" t="s">
        <v>599</v>
      </c>
      <c r="B199" s="62">
        <v>3768.5433573464602</v>
      </c>
      <c r="C199" s="63" t="s">
        <v>600</v>
      </c>
      <c r="D199" s="62">
        <v>46053872639370.203</v>
      </c>
      <c r="E199" s="64"/>
      <c r="F199" s="68"/>
      <c r="G199" s="37"/>
      <c r="H199" s="37"/>
      <c r="I199" s="37"/>
      <c r="J199" s="37"/>
      <c r="K199" s="37"/>
    </row>
    <row r="200" spans="1:12" ht="15">
      <c r="A200" s="61" t="s">
        <v>600</v>
      </c>
      <c r="B200" s="62">
        <v>44425.161691088302</v>
      </c>
      <c r="C200" s="63" t="s">
        <v>601</v>
      </c>
      <c r="D200" s="64"/>
      <c r="E200" s="64"/>
      <c r="F200" s="68"/>
      <c r="G200" s="37"/>
      <c r="H200" s="37"/>
      <c r="I200" s="37"/>
      <c r="J200" s="37"/>
      <c r="K200" s="37"/>
    </row>
    <row r="201" spans="1:12" ht="15">
      <c r="A201" s="61" t="s">
        <v>601</v>
      </c>
      <c r="B201" s="65"/>
      <c r="C201" s="63" t="s">
        <v>201</v>
      </c>
      <c r="D201" s="62">
        <v>161416823761.20999</v>
      </c>
      <c r="E201" s="64"/>
      <c r="F201" s="68"/>
      <c r="G201" s="37"/>
      <c r="H201" s="37"/>
      <c r="I201" s="37"/>
      <c r="J201" s="37"/>
      <c r="K201" s="37"/>
    </row>
    <row r="202" spans="1:12" ht="15">
      <c r="A202" s="61" t="s">
        <v>201</v>
      </c>
      <c r="B202" s="62">
        <v>50124.385936172803</v>
      </c>
      <c r="C202" s="63" t="s">
        <v>361</v>
      </c>
      <c r="D202" s="62">
        <v>208838846565.92401</v>
      </c>
      <c r="E202" s="64"/>
      <c r="F202" s="68"/>
      <c r="G202" s="37"/>
      <c r="H202" s="37"/>
      <c r="I202" s="37"/>
      <c r="J202" s="37"/>
      <c r="K202" s="37"/>
    </row>
    <row r="203" spans="1:12" ht="15">
      <c r="A203" s="61" t="s">
        <v>361</v>
      </c>
      <c r="B203" s="62">
        <v>12896.0886211622</v>
      </c>
      <c r="C203" s="63" t="s">
        <v>202</v>
      </c>
      <c r="D203" s="62">
        <v>1416124431328.3</v>
      </c>
      <c r="E203" s="64"/>
      <c r="F203" s="68"/>
      <c r="G203" s="37"/>
      <c r="H203" s="37"/>
      <c r="I203" s="37"/>
      <c r="J203" s="37"/>
      <c r="K203" s="37"/>
    </row>
    <row r="204" spans="1:12" ht="15">
      <c r="A204" s="61" t="s">
        <v>202</v>
      </c>
      <c r="B204" s="62">
        <v>10126.721793529699</v>
      </c>
      <c r="C204" s="63" t="s">
        <v>475</v>
      </c>
      <c r="D204" s="62">
        <v>10807188692.348301</v>
      </c>
      <c r="E204" s="64"/>
      <c r="F204" s="68"/>
      <c r="G204" s="37"/>
      <c r="H204" s="37"/>
      <c r="I204" s="37"/>
      <c r="J204" s="37"/>
      <c r="K204" s="37"/>
    </row>
    <row r="205" spans="1:12" ht="15">
      <c r="A205" s="61" t="s">
        <v>475</v>
      </c>
      <c r="B205" s="62">
        <v>797.85552067174797</v>
      </c>
      <c r="C205" s="63" t="s">
        <v>602</v>
      </c>
      <c r="D205" s="62">
        <v>3235660073051.52</v>
      </c>
      <c r="E205" s="64"/>
      <c r="F205" s="68"/>
      <c r="G205" s="37"/>
      <c r="H205" s="37"/>
      <c r="I205" s="37"/>
      <c r="J205" s="37"/>
      <c r="K205" s="37"/>
      <c r="L205" s="47"/>
    </row>
    <row r="206" spans="1:12" ht="15">
      <c r="A206" s="61" t="s">
        <v>602</v>
      </c>
      <c r="B206" s="62">
        <v>1823.71291162955</v>
      </c>
      <c r="C206" s="63" t="s">
        <v>203</v>
      </c>
      <c r="D206" s="62">
        <v>650714601909.91504</v>
      </c>
      <c r="E206" s="64"/>
      <c r="F206" s="68"/>
      <c r="G206" s="37"/>
      <c r="H206" s="37"/>
      <c r="I206" s="37"/>
      <c r="J206" s="37"/>
      <c r="K206" s="37"/>
    </row>
    <row r="207" spans="1:12" ht="15">
      <c r="A207" s="61" t="s">
        <v>203</v>
      </c>
      <c r="B207" s="62">
        <v>20110.316192491198</v>
      </c>
      <c r="C207" s="63" t="s">
        <v>440</v>
      </c>
      <c r="D207" s="62">
        <v>49449888025.3069</v>
      </c>
      <c r="E207" s="64"/>
      <c r="F207" s="68"/>
      <c r="G207" s="37"/>
      <c r="H207" s="37"/>
      <c r="I207" s="37"/>
      <c r="J207" s="37"/>
      <c r="K207" s="37"/>
    </row>
    <row r="208" spans="1:12" ht="15">
      <c r="A208" s="61" t="s">
        <v>440</v>
      </c>
      <c r="B208" s="62">
        <v>595.46783300767902</v>
      </c>
      <c r="C208" s="63" t="s">
        <v>438</v>
      </c>
      <c r="D208" s="62">
        <v>22852755934.489498</v>
      </c>
      <c r="E208" s="64"/>
      <c r="F208" s="68"/>
      <c r="G208" s="37"/>
      <c r="H208" s="37"/>
      <c r="I208" s="37"/>
      <c r="J208" s="37"/>
      <c r="K208" s="37"/>
    </row>
    <row r="209" spans="1:12" ht="15">
      <c r="A209" s="61" t="s">
        <v>438</v>
      </c>
      <c r="B209" s="62">
        <v>1471.83096170711</v>
      </c>
      <c r="C209" s="63" t="s">
        <v>204</v>
      </c>
      <c r="D209" s="62">
        <v>330099796334.01202</v>
      </c>
      <c r="E209" s="64"/>
      <c r="F209" s="68"/>
      <c r="G209" s="37"/>
      <c r="H209" s="37"/>
      <c r="I209" s="37"/>
      <c r="J209" s="37"/>
      <c r="K209" s="37"/>
    </row>
    <row r="210" spans="1:12" ht="15">
      <c r="A210" s="61" t="s">
        <v>204</v>
      </c>
      <c r="B210" s="62">
        <v>59797.752180118798</v>
      </c>
      <c r="C210" s="63" t="s">
        <v>561</v>
      </c>
      <c r="D210" s="62">
        <v>1467403272.8450999</v>
      </c>
      <c r="E210" s="64"/>
      <c r="F210" s="68"/>
      <c r="G210" s="37"/>
      <c r="H210" s="37"/>
      <c r="I210" s="37"/>
      <c r="J210" s="37"/>
      <c r="K210" s="37"/>
      <c r="L210" s="47"/>
    </row>
    <row r="211" spans="1:12" ht="15">
      <c r="A211" s="61" t="s">
        <v>561</v>
      </c>
      <c r="B211" s="62">
        <v>2250.6011638607001</v>
      </c>
      <c r="C211" s="63" t="s">
        <v>409</v>
      </c>
      <c r="D211" s="62">
        <v>4976753933.9060001</v>
      </c>
      <c r="E211" s="64"/>
      <c r="F211" s="68"/>
      <c r="G211" s="37"/>
      <c r="H211" s="37"/>
      <c r="I211" s="37"/>
      <c r="J211" s="37"/>
      <c r="K211" s="37"/>
    </row>
    <row r="212" spans="1:12" ht="15">
      <c r="A212" s="61" t="s">
        <v>409</v>
      </c>
      <c r="B212" s="62">
        <v>509.376593987322</v>
      </c>
      <c r="C212" s="63" t="s">
        <v>521</v>
      </c>
      <c r="D212" s="62">
        <v>23560825996.9743</v>
      </c>
      <c r="E212" s="64"/>
      <c r="F212" s="68"/>
      <c r="G212" s="37"/>
      <c r="H212" s="37"/>
      <c r="I212" s="37"/>
      <c r="J212" s="37"/>
      <c r="K212" s="37"/>
    </row>
    <row r="213" spans="1:12" ht="15">
      <c r="A213" s="61" t="s">
        <v>521</v>
      </c>
      <c r="B213" s="62">
        <v>3798.63652082321</v>
      </c>
      <c r="C213" s="63" t="s">
        <v>603</v>
      </c>
      <c r="D213" s="64"/>
      <c r="E213" s="64"/>
      <c r="F213" s="68"/>
      <c r="G213" s="37"/>
      <c r="H213" s="37"/>
      <c r="I213" s="37"/>
      <c r="J213" s="37"/>
      <c r="K213" s="37"/>
      <c r="L213" s="46"/>
    </row>
    <row r="214" spans="1:12" ht="15">
      <c r="A214" s="61" t="s">
        <v>603</v>
      </c>
      <c r="B214" s="65"/>
      <c r="C214" s="63" t="s">
        <v>589</v>
      </c>
      <c r="D214" s="62">
        <v>5151914354.1993303</v>
      </c>
      <c r="E214" s="64"/>
      <c r="F214" s="68"/>
      <c r="G214" s="37"/>
      <c r="H214" s="37"/>
      <c r="I214" s="37"/>
      <c r="J214" s="37"/>
      <c r="K214" s="37"/>
    </row>
    <row r="215" spans="1:12" ht="15">
      <c r="A215" s="61" t="s">
        <v>589</v>
      </c>
      <c r="B215" s="62">
        <v>313.87231497901399</v>
      </c>
      <c r="C215" s="63" t="s">
        <v>352</v>
      </c>
      <c r="D215" s="62">
        <v>45184791299.441002</v>
      </c>
      <c r="E215" s="64"/>
      <c r="F215" s="68"/>
      <c r="G215" s="37"/>
      <c r="H215" s="37"/>
      <c r="I215" s="37"/>
      <c r="J215" s="37"/>
      <c r="K215" s="37"/>
    </row>
    <row r="216" spans="1:12" ht="15">
      <c r="A216" s="61" t="s">
        <v>352</v>
      </c>
      <c r="B216" s="62">
        <v>7720.5105719523399</v>
      </c>
      <c r="C216" s="63" t="s">
        <v>604</v>
      </c>
      <c r="D216" s="62">
        <v>1794424269842.49</v>
      </c>
      <c r="E216" s="64"/>
      <c r="F216" s="68"/>
      <c r="G216" s="37"/>
      <c r="H216" s="37"/>
      <c r="I216" s="37"/>
      <c r="J216" s="37"/>
      <c r="K216" s="37"/>
    </row>
    <row r="217" spans="1:12" ht="15">
      <c r="A217" s="61" t="s">
        <v>604</v>
      </c>
      <c r="B217" s="62">
        <v>1498.60973877114</v>
      </c>
      <c r="C217" s="63" t="s">
        <v>375</v>
      </c>
      <c r="D217" s="64"/>
      <c r="E217" s="64"/>
      <c r="F217" s="68"/>
      <c r="G217" s="37"/>
      <c r="H217" s="37"/>
      <c r="I217" s="37"/>
      <c r="J217" s="37"/>
      <c r="K217" s="37"/>
    </row>
    <row r="218" spans="1:12" ht="15">
      <c r="A218" s="61" t="s">
        <v>375</v>
      </c>
      <c r="B218" s="65"/>
      <c r="C218" s="63" t="s">
        <v>605</v>
      </c>
      <c r="D218" s="62">
        <v>1795810532219.8401</v>
      </c>
      <c r="E218" s="64"/>
      <c r="F218" s="68"/>
      <c r="G218" s="37"/>
      <c r="H218" s="37"/>
      <c r="I218" s="37"/>
      <c r="J218" s="37"/>
      <c r="K218" s="37"/>
    </row>
    <row r="219" spans="1:12" ht="15">
      <c r="A219" s="61" t="s">
        <v>605</v>
      </c>
      <c r="B219" s="62">
        <v>1499.4128133202</v>
      </c>
      <c r="C219" s="63" t="s">
        <v>606</v>
      </c>
      <c r="D219" s="62">
        <v>459280768897.80402</v>
      </c>
      <c r="E219" s="64"/>
      <c r="F219" s="68"/>
      <c r="G219" s="37"/>
      <c r="H219" s="37"/>
      <c r="I219" s="37"/>
      <c r="J219" s="37"/>
      <c r="K219" s="37"/>
    </row>
    <row r="220" spans="1:12" ht="15">
      <c r="A220" s="61" t="s">
        <v>606</v>
      </c>
      <c r="B220" s="62">
        <v>10770.589777790001</v>
      </c>
      <c r="C220" s="63" t="s">
        <v>389</v>
      </c>
      <c r="D220" s="62">
        <v>370868351.86852998</v>
      </c>
      <c r="E220" s="64"/>
      <c r="F220" s="68"/>
      <c r="G220" s="37"/>
      <c r="H220" s="37"/>
      <c r="I220" s="37"/>
      <c r="J220" s="37"/>
      <c r="K220" s="37"/>
    </row>
    <row r="221" spans="1:12" ht="15">
      <c r="A221" s="61" t="s">
        <v>389</v>
      </c>
      <c r="B221" s="62">
        <v>2157.84044569668</v>
      </c>
      <c r="C221" s="63" t="s">
        <v>585</v>
      </c>
      <c r="D221" s="62">
        <v>4417127637.7791405</v>
      </c>
      <c r="E221" s="64"/>
      <c r="F221" s="68"/>
      <c r="G221" s="37"/>
      <c r="H221" s="37"/>
      <c r="I221" s="37"/>
      <c r="J221" s="37"/>
      <c r="K221" s="37"/>
      <c r="L221" s="46"/>
    </row>
    <row r="222" spans="1:12" ht="15">
      <c r="A222" s="61" t="s">
        <v>585</v>
      </c>
      <c r="B222" s="62">
        <v>4916.6056663791796</v>
      </c>
      <c r="C222" s="63" t="s">
        <v>449</v>
      </c>
      <c r="D222" s="62">
        <v>94731014312.240707</v>
      </c>
      <c r="E222" s="64"/>
      <c r="F222" s="68"/>
      <c r="G222" s="37"/>
      <c r="H222" s="37"/>
      <c r="I222" s="37"/>
      <c r="J222" s="37"/>
      <c r="K222" s="37"/>
    </row>
    <row r="223" spans="1:12" ht="15">
      <c r="A223" s="61" t="s">
        <v>449</v>
      </c>
      <c r="B223" s="62">
        <v>19266.513573624699</v>
      </c>
      <c r="C223" s="63" t="s">
        <v>205</v>
      </c>
      <c r="D223" s="62">
        <v>48124693310.887703</v>
      </c>
      <c r="E223" s="64"/>
      <c r="F223" s="68"/>
      <c r="G223" s="37"/>
      <c r="H223" s="37"/>
      <c r="I223" s="37"/>
      <c r="J223" s="37"/>
      <c r="K223" s="37"/>
    </row>
    <row r="224" spans="1:12" ht="15">
      <c r="A224" s="61" t="s">
        <v>205</v>
      </c>
      <c r="B224" s="62">
        <v>25517.33066526</v>
      </c>
      <c r="C224" s="63" t="s">
        <v>208</v>
      </c>
      <c r="D224" s="62">
        <v>533611847447.42798</v>
      </c>
      <c r="E224" s="64"/>
      <c r="F224" s="68"/>
      <c r="G224" s="37"/>
      <c r="H224" s="37"/>
      <c r="I224" s="37"/>
      <c r="J224" s="37"/>
      <c r="K224" s="37"/>
    </row>
    <row r="225" spans="1:12" ht="15">
      <c r="A225" s="61" t="s">
        <v>208</v>
      </c>
      <c r="B225" s="62">
        <v>52274.408786879801</v>
      </c>
      <c r="C225" s="63" t="s">
        <v>403</v>
      </c>
      <c r="D225" s="62">
        <v>4319634145.1886301</v>
      </c>
      <c r="E225" s="64"/>
      <c r="F225" s="68"/>
      <c r="G225" s="37"/>
      <c r="H225" s="37"/>
      <c r="I225" s="37"/>
      <c r="J225" s="37"/>
      <c r="K225" s="37"/>
    </row>
    <row r="226" spans="1:12" ht="15">
      <c r="A226" s="61" t="s">
        <v>403</v>
      </c>
      <c r="B226" s="62">
        <v>3424.2822122310999</v>
      </c>
      <c r="C226" s="63" t="s">
        <v>607</v>
      </c>
      <c r="D226" s="64"/>
      <c r="E226" s="64"/>
      <c r="F226" s="68"/>
      <c r="G226" s="37"/>
      <c r="H226" s="37"/>
      <c r="I226" s="37"/>
      <c r="J226" s="37"/>
      <c r="K226" s="37"/>
    </row>
    <row r="227" spans="1:12" ht="15">
      <c r="A227" s="61" t="s">
        <v>607</v>
      </c>
      <c r="B227" s="65"/>
      <c r="C227" s="63" t="s">
        <v>503</v>
      </c>
      <c r="D227" s="62">
        <v>1386262377.3452201</v>
      </c>
      <c r="E227" s="64"/>
      <c r="F227" s="68"/>
      <c r="G227" s="37"/>
      <c r="H227" s="37"/>
      <c r="I227" s="37"/>
      <c r="J227" s="37"/>
      <c r="K227" s="37"/>
    </row>
    <row r="228" spans="1:12" ht="15">
      <c r="A228" s="61" t="s">
        <v>503</v>
      </c>
      <c r="B228" s="62">
        <v>10764.4204224611</v>
      </c>
      <c r="C228" s="63" t="s">
        <v>608</v>
      </c>
      <c r="D228" s="64"/>
      <c r="E228" s="64"/>
      <c r="F228" s="68"/>
      <c r="G228" s="37"/>
      <c r="H228" s="37"/>
      <c r="I228" s="37"/>
      <c r="J228" s="37"/>
      <c r="K228" s="37"/>
    </row>
    <row r="229" spans="1:12" ht="15">
      <c r="A229" s="61" t="s">
        <v>608</v>
      </c>
      <c r="B229" s="65"/>
      <c r="C229" s="63" t="s">
        <v>609</v>
      </c>
      <c r="D229" s="62">
        <v>802388550.96422899</v>
      </c>
      <c r="E229" s="64"/>
      <c r="F229" s="68"/>
      <c r="G229" s="37"/>
      <c r="H229" s="37"/>
      <c r="I229" s="37"/>
      <c r="J229" s="37"/>
      <c r="K229" s="37"/>
    </row>
    <row r="230" spans="1:12" ht="15">
      <c r="A230" s="61" t="s">
        <v>609</v>
      </c>
      <c r="B230" s="62">
        <v>23879.9266491038</v>
      </c>
      <c r="C230" s="63" t="s">
        <v>451</v>
      </c>
      <c r="D230" s="62">
        <v>10426343411.408199</v>
      </c>
      <c r="E230" s="64"/>
      <c r="F230" s="68"/>
      <c r="G230" s="37"/>
      <c r="H230" s="37"/>
      <c r="I230" s="37"/>
      <c r="J230" s="37"/>
      <c r="K230" s="37"/>
    </row>
    <row r="231" spans="1:12" ht="15">
      <c r="A231" s="61" t="s">
        <v>451</v>
      </c>
      <c r="B231" s="62">
        <v>659.27004497780104</v>
      </c>
      <c r="C231" s="63" t="s">
        <v>610</v>
      </c>
      <c r="D231" s="62">
        <v>17229550948649.9</v>
      </c>
      <c r="E231" s="64"/>
      <c r="F231" s="68"/>
      <c r="G231" s="37"/>
      <c r="H231" s="37"/>
      <c r="I231" s="37"/>
      <c r="J231" s="37"/>
      <c r="K231" s="37"/>
    </row>
    <row r="232" spans="1:12" ht="15">
      <c r="A232" s="61" t="s">
        <v>610</v>
      </c>
      <c r="B232" s="62">
        <v>8346.0388104579397</v>
      </c>
      <c r="C232" s="63" t="s">
        <v>611</v>
      </c>
      <c r="D232" s="62">
        <v>4022692727957.8301</v>
      </c>
      <c r="E232" s="64"/>
      <c r="F232" s="68"/>
      <c r="G232" s="37"/>
      <c r="H232" s="37"/>
      <c r="I232" s="37"/>
      <c r="J232" s="37"/>
      <c r="K232" s="37"/>
    </row>
    <row r="233" spans="1:12" ht="15">
      <c r="A233" s="61" t="s">
        <v>611</v>
      </c>
      <c r="B233" s="62">
        <v>8387.3906931025704</v>
      </c>
      <c r="C233" s="63" t="s">
        <v>414</v>
      </c>
      <c r="D233" s="62">
        <v>5187639195.4238997</v>
      </c>
      <c r="E233" s="64"/>
      <c r="F233" s="68"/>
      <c r="G233" s="37"/>
      <c r="H233" s="37"/>
      <c r="I233" s="37"/>
      <c r="J233" s="37"/>
      <c r="K233" s="37"/>
      <c r="L233" s="46"/>
    </row>
    <row r="234" spans="1:12" ht="15">
      <c r="A234" s="61" t="s">
        <v>414</v>
      </c>
      <c r="B234" s="62">
        <v>914.95079245321199</v>
      </c>
      <c r="C234" s="63" t="s">
        <v>210</v>
      </c>
      <c r="D234" s="62">
        <v>432649179610.32599</v>
      </c>
      <c r="E234" s="64"/>
      <c r="F234" s="68"/>
      <c r="G234" s="37"/>
      <c r="H234" s="37"/>
      <c r="I234" s="37"/>
      <c r="J234" s="37"/>
      <c r="K234" s="37"/>
    </row>
    <row r="235" spans="1:12" ht="15">
      <c r="A235" s="61" t="s">
        <v>210</v>
      </c>
      <c r="B235" s="62">
        <v>7186.8740920652499</v>
      </c>
      <c r="C235" s="63" t="s">
        <v>501</v>
      </c>
      <c r="D235" s="62">
        <v>11436203954.5867</v>
      </c>
      <c r="E235" s="64"/>
      <c r="F235" s="68"/>
      <c r="G235" s="37"/>
      <c r="H235" s="37"/>
      <c r="I235" s="37"/>
      <c r="J235" s="37"/>
      <c r="K235" s="37"/>
    </row>
    <row r="236" spans="1:12" ht="15">
      <c r="A236" s="61" t="s">
        <v>501</v>
      </c>
      <c r="B236" s="62">
        <v>859.13796112136799</v>
      </c>
      <c r="C236" s="63" t="s">
        <v>588</v>
      </c>
      <c r="D236" s="64"/>
      <c r="E236" s="64"/>
      <c r="F236" s="68"/>
      <c r="G236" s="37"/>
      <c r="H236" s="37"/>
      <c r="I236" s="37"/>
      <c r="J236" s="37"/>
      <c r="K236" s="37"/>
    </row>
    <row r="237" spans="1:12" ht="15">
      <c r="A237" s="61" t="s">
        <v>588</v>
      </c>
      <c r="B237" s="65"/>
      <c r="C237" s="63" t="s">
        <v>612</v>
      </c>
      <c r="D237" s="62">
        <v>5012339990419.7598</v>
      </c>
      <c r="E237" s="64"/>
      <c r="F237" s="68"/>
      <c r="G237" s="37"/>
      <c r="H237" s="37"/>
      <c r="I237" s="37"/>
      <c r="J237" s="37"/>
      <c r="K237" s="37"/>
    </row>
    <row r="238" spans="1:12" ht="15">
      <c r="A238" s="61" t="s">
        <v>612</v>
      </c>
      <c r="B238" s="62">
        <v>7035.7530748844902</v>
      </c>
      <c r="C238" s="63" t="s">
        <v>458</v>
      </c>
      <c r="D238" s="62">
        <v>2093497568.6977401</v>
      </c>
      <c r="E238" s="64"/>
      <c r="F238" s="68"/>
      <c r="G238" s="37"/>
      <c r="H238" s="37"/>
      <c r="I238" s="37"/>
      <c r="J238" s="37"/>
      <c r="K238" s="37"/>
    </row>
    <row r="239" spans="1:12" ht="15">
      <c r="A239" s="61" t="s">
        <v>458</v>
      </c>
      <c r="B239" s="62">
        <v>1442.7307382501499</v>
      </c>
      <c r="C239" s="63" t="s">
        <v>613</v>
      </c>
      <c r="D239" s="62">
        <v>1470547924143.79</v>
      </c>
      <c r="E239" s="64"/>
      <c r="F239" s="68"/>
      <c r="G239" s="37"/>
      <c r="H239" s="37"/>
      <c r="I239" s="37"/>
      <c r="J239" s="37"/>
      <c r="K239" s="37"/>
    </row>
    <row r="240" spans="1:12" ht="15">
      <c r="A240" s="61" t="s">
        <v>613</v>
      </c>
      <c r="B240" s="62">
        <v>3015.7035507997098</v>
      </c>
      <c r="C240" s="63" t="s">
        <v>522</v>
      </c>
      <c r="D240" s="62">
        <v>489364573.36646098</v>
      </c>
      <c r="E240" s="64"/>
      <c r="F240" s="68"/>
      <c r="G240" s="37"/>
      <c r="H240" s="37"/>
      <c r="I240" s="37"/>
      <c r="J240" s="37"/>
      <c r="K240" s="37"/>
    </row>
    <row r="241" spans="1:12" ht="15">
      <c r="A241" s="61" t="s">
        <v>522</v>
      </c>
      <c r="B241" s="62">
        <v>4624.8234488284397</v>
      </c>
      <c r="C241" s="63" t="s">
        <v>614</v>
      </c>
      <c r="D241" s="62">
        <v>3235660073051.52</v>
      </c>
      <c r="E241" s="64"/>
      <c r="F241" s="68"/>
      <c r="G241" s="37"/>
      <c r="H241" s="37"/>
      <c r="I241" s="37"/>
      <c r="J241" s="37"/>
      <c r="K241" s="37"/>
    </row>
    <row r="242" spans="1:12" ht="15">
      <c r="A242" s="61" t="s">
        <v>614</v>
      </c>
      <c r="B242" s="62">
        <v>1823.71291162955</v>
      </c>
      <c r="C242" s="63" t="s">
        <v>615</v>
      </c>
      <c r="D242" s="62">
        <v>1795810532219.8401</v>
      </c>
      <c r="E242" s="64"/>
      <c r="F242" s="68"/>
      <c r="G242" s="37"/>
      <c r="H242" s="37"/>
      <c r="I242" s="37"/>
      <c r="J242" s="37"/>
      <c r="K242" s="37"/>
    </row>
    <row r="243" spans="1:12" ht="15">
      <c r="A243" s="61" t="s">
        <v>615</v>
      </c>
      <c r="B243" s="62">
        <v>1499.4128133202</v>
      </c>
      <c r="C243" s="63" t="s">
        <v>211</v>
      </c>
      <c r="D243" s="62">
        <v>20813757908.578899</v>
      </c>
      <c r="E243" s="64"/>
      <c r="F243" s="68"/>
      <c r="G243" s="37"/>
      <c r="H243" s="37"/>
      <c r="I243" s="37"/>
      <c r="J243" s="37"/>
      <c r="K243" s="37"/>
    </row>
    <row r="244" spans="1:12" ht="15">
      <c r="A244" s="61" t="s">
        <v>211</v>
      </c>
      <c r="B244" s="62">
        <v>15425.6351094785</v>
      </c>
      <c r="C244" s="63" t="s">
        <v>553</v>
      </c>
      <c r="D244" s="62">
        <v>44681503990.462303</v>
      </c>
      <c r="E244" s="64"/>
      <c r="F244" s="68"/>
      <c r="G244" s="37"/>
      <c r="H244" s="37"/>
      <c r="I244" s="37"/>
      <c r="J244" s="37"/>
      <c r="K244" s="37"/>
    </row>
    <row r="245" spans="1:12" ht="15">
      <c r="A245" s="61" t="s">
        <v>553</v>
      </c>
      <c r="B245" s="62">
        <v>3521.5919480863899</v>
      </c>
      <c r="C245" s="63" t="s">
        <v>212</v>
      </c>
      <c r="D245" s="62">
        <v>1015326662715.27</v>
      </c>
      <c r="E245" s="64"/>
      <c r="F245" s="68"/>
      <c r="G245" s="37"/>
      <c r="H245" s="37"/>
      <c r="I245" s="37"/>
      <c r="J245" s="37"/>
      <c r="K245" s="37"/>
    </row>
    <row r="246" spans="1:12" ht="15">
      <c r="A246" s="61" t="s">
        <v>212</v>
      </c>
      <c r="B246" s="62">
        <v>8536.4333196063199</v>
      </c>
      <c r="C246" s="63" t="s">
        <v>499</v>
      </c>
      <c r="D246" s="62">
        <v>44708879.127465397</v>
      </c>
      <c r="E246" s="64"/>
      <c r="F246" s="68"/>
      <c r="G246" s="37"/>
      <c r="H246" s="37"/>
      <c r="I246" s="37"/>
      <c r="J246" s="37"/>
      <c r="K246" s="37"/>
    </row>
    <row r="247" spans="1:12" ht="15">
      <c r="A247" s="61" t="s">
        <v>499</v>
      </c>
      <c r="B247" s="62">
        <v>4143.1097526301101</v>
      </c>
      <c r="C247" s="63" t="s">
        <v>497</v>
      </c>
      <c r="D247" s="62">
        <v>61522709091.988998</v>
      </c>
      <c r="E247" s="64"/>
      <c r="F247" s="68"/>
      <c r="G247" s="37"/>
      <c r="H247" s="37"/>
      <c r="I247" s="37"/>
      <c r="J247" s="37"/>
      <c r="K247" s="37"/>
    </row>
    <row r="248" spans="1:12" ht="15">
      <c r="A248" s="61" t="s">
        <v>497</v>
      </c>
      <c r="B248" s="62">
        <v>1076.47038455352</v>
      </c>
      <c r="C248" s="63" t="s">
        <v>529</v>
      </c>
      <c r="D248" s="62">
        <v>40768765939.939903</v>
      </c>
      <c r="E248" s="64"/>
      <c r="F248" s="68"/>
      <c r="G248" s="37"/>
      <c r="H248" s="37"/>
      <c r="I248" s="37"/>
      <c r="J248" s="37"/>
      <c r="K248" s="37"/>
    </row>
    <row r="249" spans="1:12" ht="15">
      <c r="A249" s="61" t="s">
        <v>529</v>
      </c>
      <c r="B249" s="62">
        <v>822.02768153166596</v>
      </c>
      <c r="C249" s="63" t="s">
        <v>581</v>
      </c>
      <c r="D249" s="62">
        <v>97866338856.103699</v>
      </c>
      <c r="E249" s="64"/>
      <c r="F249" s="68"/>
      <c r="G249" s="37"/>
      <c r="H249" s="37"/>
      <c r="I249" s="37"/>
      <c r="J249" s="37"/>
      <c r="K249" s="37"/>
    </row>
    <row r="250" spans="1:12" ht="15">
      <c r="A250" s="61" t="s">
        <v>581</v>
      </c>
      <c r="B250" s="62">
        <v>3726.9271493705501</v>
      </c>
      <c r="C250" s="63" t="s">
        <v>616</v>
      </c>
      <c r="D250" s="62">
        <v>23696596108154.898</v>
      </c>
      <c r="E250" s="64"/>
      <c r="F250" s="68"/>
      <c r="G250" s="37"/>
      <c r="H250" s="37"/>
      <c r="I250" s="37"/>
      <c r="J250" s="37"/>
      <c r="K250" s="37"/>
    </row>
    <row r="251" spans="1:12" ht="15">
      <c r="A251" s="61" t="s">
        <v>616</v>
      </c>
      <c r="B251" s="62">
        <v>9177.8404372571204</v>
      </c>
      <c r="C251" s="63" t="s">
        <v>213</v>
      </c>
      <c r="D251" s="62">
        <v>52260972281.805397</v>
      </c>
      <c r="E251" s="64"/>
      <c r="F251" s="68"/>
      <c r="G251" s="37"/>
      <c r="H251" s="37"/>
      <c r="I251" s="37"/>
      <c r="J251" s="37"/>
      <c r="K251" s="37"/>
    </row>
    <row r="252" spans="1:12" ht="15">
      <c r="A252" s="61" t="s">
        <v>213</v>
      </c>
      <c r="B252" s="62">
        <v>15438.4116657291</v>
      </c>
      <c r="C252" s="63" t="s">
        <v>216</v>
      </c>
      <c r="D252" s="62">
        <v>19247059000000</v>
      </c>
      <c r="E252" s="64"/>
      <c r="F252" s="68"/>
      <c r="G252" s="37"/>
      <c r="H252" s="37"/>
      <c r="I252" s="37"/>
      <c r="J252" s="37"/>
      <c r="K252" s="37"/>
    </row>
    <row r="253" spans="1:12" ht="15">
      <c r="A253" s="61" t="s">
        <v>216</v>
      </c>
      <c r="B253" s="62">
        <v>63413.513858450802</v>
      </c>
      <c r="C253" s="63" t="s">
        <v>556</v>
      </c>
      <c r="D253" s="62">
        <v>107981860052.519</v>
      </c>
      <c r="E253" s="64"/>
      <c r="F253" s="68"/>
      <c r="G253" s="37"/>
      <c r="H253" s="37"/>
      <c r="I253" s="37"/>
      <c r="J253" s="37"/>
      <c r="K253" s="37"/>
    </row>
    <row r="254" spans="1:12" ht="15">
      <c r="A254" s="61" t="s">
        <v>556</v>
      </c>
      <c r="B254" s="62">
        <v>1750.6971132129099</v>
      </c>
      <c r="C254" s="63" t="s">
        <v>617</v>
      </c>
      <c r="D254" s="62">
        <v>772496631.164621</v>
      </c>
      <c r="E254" s="64"/>
      <c r="F254" s="68"/>
      <c r="G254" s="37"/>
      <c r="H254" s="37"/>
      <c r="I254" s="37"/>
      <c r="J254" s="37"/>
      <c r="K254" s="37"/>
    </row>
    <row r="255" spans="1:12" ht="15">
      <c r="A255" s="61" t="s">
        <v>617</v>
      </c>
      <c r="B255" s="62">
        <v>7278.0162967369497</v>
      </c>
      <c r="C255" s="63" t="s">
        <v>618</v>
      </c>
      <c r="D255" s="64"/>
      <c r="E255" s="64"/>
      <c r="F255" s="68"/>
      <c r="G255" s="37"/>
      <c r="H255" s="37"/>
      <c r="I255" s="37"/>
      <c r="J255" s="37"/>
      <c r="K255" s="37"/>
      <c r="L255" s="46"/>
    </row>
    <row r="256" spans="1:12" ht="15">
      <c r="A256" s="61" t="s">
        <v>618</v>
      </c>
      <c r="B256" s="65"/>
      <c r="C256" s="63" t="s">
        <v>619</v>
      </c>
      <c r="D256" s="64"/>
      <c r="E256" s="64"/>
      <c r="F256" s="68"/>
      <c r="G256" s="37"/>
      <c r="H256" s="37"/>
      <c r="I256" s="37"/>
      <c r="J256" s="37"/>
      <c r="K256" s="37"/>
    </row>
    <row r="257" spans="1:12" ht="15">
      <c r="A257" s="61" t="s">
        <v>619</v>
      </c>
      <c r="B257" s="65"/>
      <c r="C257" s="63" t="s">
        <v>620</v>
      </c>
      <c r="D257" s="64"/>
      <c r="E257" s="64"/>
      <c r="F257" s="68"/>
      <c r="G257" s="37"/>
      <c r="H257" s="37"/>
      <c r="I257" s="37"/>
      <c r="J257" s="37"/>
      <c r="K257" s="37"/>
    </row>
    <row r="258" spans="1:12" ht="15">
      <c r="A258" s="61" t="s">
        <v>620</v>
      </c>
      <c r="B258" s="65"/>
      <c r="C258" s="63" t="s">
        <v>217</v>
      </c>
      <c r="D258" s="62">
        <v>258508671883.21399</v>
      </c>
      <c r="E258" s="64"/>
      <c r="F258" s="68"/>
      <c r="G258" s="37"/>
      <c r="H258" s="37"/>
      <c r="I258" s="37"/>
      <c r="J258" s="37"/>
      <c r="K258" s="37"/>
    </row>
    <row r="259" spans="1:12" ht="15">
      <c r="A259" s="61" t="s">
        <v>217</v>
      </c>
      <c r="B259" s="62">
        <v>2785.7241608760301</v>
      </c>
      <c r="C259" s="63" t="s">
        <v>560</v>
      </c>
      <c r="D259" s="62">
        <v>810535805.63568997</v>
      </c>
      <c r="E259" s="64"/>
      <c r="F259" s="68"/>
      <c r="G259" s="37"/>
      <c r="H259" s="37"/>
      <c r="I259" s="37"/>
      <c r="J259" s="37"/>
      <c r="K259" s="37"/>
    </row>
    <row r="260" spans="1:12" ht="15">
      <c r="A260" s="61" t="s">
        <v>560</v>
      </c>
      <c r="B260" s="62">
        <v>2870.0893002891398</v>
      </c>
      <c r="C260" s="63" t="s">
        <v>621</v>
      </c>
      <c r="D260" s="62">
        <v>81749439660499.703</v>
      </c>
      <c r="E260" s="64"/>
      <c r="F260" s="68"/>
      <c r="G260" s="37"/>
      <c r="H260" s="37"/>
      <c r="I260" s="37"/>
      <c r="J260" s="37"/>
      <c r="K260" s="37"/>
    </row>
    <row r="261" spans="1:12" ht="15">
      <c r="A261" s="61" t="s">
        <v>621</v>
      </c>
      <c r="B261" s="62">
        <v>10910.083619381199</v>
      </c>
      <c r="C261" s="63" t="s">
        <v>532</v>
      </c>
      <c r="D261" s="62">
        <v>864485987.50376499</v>
      </c>
      <c r="E261" s="64"/>
      <c r="F261" s="68"/>
      <c r="G261" s="37"/>
      <c r="H261" s="37"/>
      <c r="I261" s="37"/>
      <c r="J261" s="37"/>
      <c r="K261" s="37"/>
    </row>
    <row r="262" spans="1:12" ht="15">
      <c r="A262" s="61" t="s">
        <v>532</v>
      </c>
      <c r="B262" s="62">
        <v>4067.84345873762</v>
      </c>
      <c r="C262" s="63" t="s">
        <v>622</v>
      </c>
      <c r="D262" s="62">
        <v>7144367590.2306404</v>
      </c>
      <c r="E262" s="64"/>
      <c r="F262" s="68"/>
      <c r="G262" s="37"/>
      <c r="H262" s="37"/>
      <c r="I262" s="37"/>
      <c r="J262" s="37"/>
      <c r="K262" s="37"/>
      <c r="L262" s="46"/>
    </row>
    <row r="263" spans="1:12" ht="15">
      <c r="A263" s="61" t="s">
        <v>622</v>
      </c>
      <c r="B263" s="62">
        <v>4346.6379306972103</v>
      </c>
      <c r="C263" s="63" t="s">
        <v>623</v>
      </c>
      <c r="D263" s="64"/>
      <c r="E263" s="64"/>
      <c r="F263" s="68"/>
      <c r="G263" s="37"/>
      <c r="H263" s="37"/>
      <c r="I263" s="37"/>
      <c r="J263" s="37"/>
      <c r="K263" s="37"/>
      <c r="L263" s="46"/>
    </row>
    <row r="264" spans="1:12" ht="15">
      <c r="A264" s="61" t="s">
        <v>623</v>
      </c>
      <c r="B264" s="65"/>
      <c r="C264" s="63" t="s">
        <v>206</v>
      </c>
      <c r="D264" s="62">
        <v>335640150576.12201</v>
      </c>
      <c r="E264" s="64"/>
      <c r="F264" s="68"/>
      <c r="G264" s="37"/>
      <c r="H264" s="37"/>
      <c r="I264" s="37"/>
      <c r="J264" s="37"/>
      <c r="K264" s="37"/>
      <c r="L264" s="46"/>
    </row>
    <row r="265" spans="1:12" ht="15">
      <c r="A265" s="61" t="s">
        <v>206</v>
      </c>
      <c r="B265" s="62">
        <v>5655.8676539039598</v>
      </c>
      <c r="C265" s="63" t="s">
        <v>417</v>
      </c>
      <c r="D265" s="62">
        <v>23418945736.8993</v>
      </c>
      <c r="E265" s="64"/>
      <c r="F265" s="68"/>
      <c r="G265" s="37"/>
      <c r="H265" s="37"/>
      <c r="I265" s="37"/>
      <c r="J265" s="37"/>
      <c r="K265" s="37"/>
      <c r="L265" s="46"/>
    </row>
    <row r="266" spans="1:12" ht="15">
      <c r="A266" s="61" t="s">
        <v>417</v>
      </c>
      <c r="B266" s="62">
        <v>985.13243603886895</v>
      </c>
      <c r="C266" s="63" t="s">
        <v>473</v>
      </c>
      <c r="D266" s="62">
        <v>19426048165.876999</v>
      </c>
      <c r="E266" s="64"/>
      <c r="F266" s="68"/>
      <c r="G266" s="37"/>
      <c r="H266" s="37"/>
      <c r="I266" s="37"/>
      <c r="J266" s="37"/>
      <c r="K266" s="37"/>
      <c r="L266" s="46"/>
    </row>
    <row r="267" spans="1:12" ht="15">
      <c r="A267" s="61" t="s">
        <v>473</v>
      </c>
      <c r="B267" s="62">
        <v>1214.5098202353399</v>
      </c>
      <c r="C267" s="69"/>
      <c r="D267" s="69"/>
      <c r="E267" s="69"/>
      <c r="F267" s="69"/>
      <c r="G267" s="37"/>
      <c r="H267" s="37"/>
      <c r="I267" s="37"/>
      <c r="J267" s="37"/>
      <c r="K267" s="37"/>
      <c r="L267" s="46"/>
    </row>
    <row r="268" spans="1:12" ht="15">
      <c r="A268" s="70" t="s">
        <v>623</v>
      </c>
      <c r="G268" s="37"/>
      <c r="H268" s="37"/>
      <c r="I268" s="37"/>
      <c r="J268" s="37"/>
      <c r="K268" s="37"/>
    </row>
    <row r="269" spans="1:12" ht="15">
      <c r="A269" s="70" t="s">
        <v>206</v>
      </c>
      <c r="G269" s="37"/>
      <c r="H269" s="37"/>
      <c r="I269" s="37"/>
      <c r="J269" s="37"/>
      <c r="K269" s="37"/>
    </row>
    <row r="270" spans="1:12" ht="15">
      <c r="A270" s="70" t="s">
        <v>417</v>
      </c>
      <c r="G270" s="37"/>
      <c r="H270" s="37"/>
      <c r="I270" s="37"/>
      <c r="J270" s="37"/>
      <c r="K270" s="37"/>
    </row>
    <row r="271" spans="1:12" ht="15">
      <c r="A271" s="70" t="s">
        <v>473</v>
      </c>
      <c r="G271" s="37"/>
      <c r="H271" s="37"/>
      <c r="I271" s="37"/>
      <c r="J271" s="37"/>
      <c r="K271" s="37"/>
    </row>
    <row r="272" spans="1:12" ht="15">
      <c r="A272" s="71"/>
      <c r="G272" s="37"/>
      <c r="H272" s="37"/>
      <c r="I272" s="37"/>
      <c r="J272" s="37"/>
      <c r="K272" s="37"/>
    </row>
    <row r="273" spans="1:12" ht="15">
      <c r="A273" s="71"/>
      <c r="G273" s="37"/>
      <c r="H273" s="37"/>
      <c r="I273" s="37"/>
      <c r="J273" s="37"/>
      <c r="K273" s="37"/>
    </row>
    <row r="274" spans="1:12" ht="15">
      <c r="A274" s="71"/>
      <c r="G274" s="37"/>
      <c r="H274" s="37"/>
      <c r="I274" s="37"/>
      <c r="J274" s="37"/>
      <c r="K274" s="37"/>
    </row>
    <row r="275" spans="1:12" ht="15">
      <c r="A275" s="71"/>
      <c r="G275" s="37"/>
      <c r="H275" s="37"/>
      <c r="I275" s="37"/>
      <c r="J275" s="37"/>
      <c r="K275" s="37"/>
      <c r="L275" s="47"/>
    </row>
    <row r="276" spans="1:12" ht="15">
      <c r="A276" s="71"/>
      <c r="G276" s="37"/>
      <c r="H276" s="37"/>
      <c r="I276" s="37"/>
      <c r="J276" s="37"/>
      <c r="K276" s="37"/>
    </row>
    <row r="277" spans="1:12" ht="15">
      <c r="A277" s="71"/>
      <c r="G277" s="37"/>
      <c r="H277" s="37"/>
      <c r="I277" s="37"/>
      <c r="J277" s="37"/>
      <c r="K277" s="37"/>
    </row>
    <row r="278" spans="1:12" ht="15">
      <c r="A278" s="71"/>
      <c r="G278" s="37"/>
      <c r="H278" s="37"/>
      <c r="I278" s="37"/>
      <c r="J278" s="37"/>
      <c r="K278" s="37"/>
    </row>
    <row r="279" spans="1:12" ht="15">
      <c r="A279" s="71"/>
      <c r="G279" s="37"/>
      <c r="H279" s="37"/>
      <c r="I279" s="37"/>
      <c r="J279" s="37"/>
      <c r="K279" s="37"/>
    </row>
    <row r="280" spans="1:12" ht="15">
      <c r="A280" s="71"/>
      <c r="G280" s="37"/>
      <c r="H280" s="37"/>
      <c r="I280" s="37"/>
      <c r="J280" s="37"/>
      <c r="K280" s="37"/>
      <c r="L280" s="47"/>
    </row>
    <row r="281" spans="1:12" ht="15">
      <c r="A281" s="71"/>
      <c r="G281" s="37"/>
      <c r="H281" s="37"/>
      <c r="I281" s="37"/>
      <c r="J281" s="37"/>
      <c r="K281" s="37"/>
    </row>
    <row r="282" spans="1:12" ht="15">
      <c r="A282" s="71"/>
      <c r="G282" s="37"/>
      <c r="H282" s="37"/>
      <c r="I282" s="37"/>
      <c r="J282" s="37"/>
      <c r="K282" s="37"/>
    </row>
    <row r="283" spans="1:12" ht="15">
      <c r="A283" s="71"/>
      <c r="G283" s="37"/>
      <c r="H283" s="37"/>
      <c r="I283" s="37"/>
      <c r="J283" s="37"/>
      <c r="K283" s="37"/>
      <c r="L283" s="46"/>
    </row>
    <row r="284" spans="1:12" ht="15">
      <c r="A284" s="71"/>
      <c r="G284" s="37"/>
      <c r="H284" s="37"/>
      <c r="I284" s="37"/>
      <c r="J284" s="37"/>
      <c r="K284" s="37"/>
    </row>
    <row r="285" spans="1:12" ht="15">
      <c r="A285" s="71"/>
      <c r="G285" s="37"/>
      <c r="H285" s="37"/>
      <c r="I285" s="37"/>
      <c r="J285" s="37"/>
      <c r="K285" s="37"/>
    </row>
    <row r="286" spans="1:12" ht="15">
      <c r="A286" s="71"/>
      <c r="G286" s="37"/>
      <c r="H286" s="37"/>
      <c r="I286" s="37"/>
      <c r="J286" s="37"/>
      <c r="K286" s="37"/>
    </row>
    <row r="287" spans="1:12" ht="15">
      <c r="A287" s="71"/>
      <c r="G287" s="37"/>
      <c r="H287" s="37"/>
      <c r="I287" s="37"/>
      <c r="J287" s="37"/>
      <c r="K287" s="37"/>
    </row>
    <row r="288" spans="1:12" ht="15">
      <c r="A288" s="71"/>
      <c r="G288" s="37"/>
      <c r="H288" s="37"/>
      <c r="I288" s="37"/>
      <c r="J288" s="37"/>
      <c r="K288" s="37"/>
    </row>
    <row r="289" spans="1:12" ht="15">
      <c r="A289" s="71"/>
      <c r="G289" s="37"/>
      <c r="H289" s="37"/>
      <c r="I289" s="37"/>
      <c r="J289" s="37"/>
      <c r="K289" s="37"/>
    </row>
    <row r="290" spans="1:12" ht="15">
      <c r="A290" s="71"/>
      <c r="G290" s="37"/>
      <c r="H290" s="37"/>
      <c r="I290" s="37"/>
      <c r="J290" s="37"/>
      <c r="K290" s="37"/>
    </row>
    <row r="291" spans="1:12" ht="15">
      <c r="A291" s="71"/>
      <c r="G291" s="37"/>
      <c r="H291" s="37"/>
      <c r="I291" s="37"/>
      <c r="J291" s="37"/>
      <c r="K291" s="37"/>
      <c r="L291" s="46"/>
    </row>
    <row r="292" spans="1:12" ht="15">
      <c r="A292" s="71"/>
      <c r="G292" s="37"/>
      <c r="H292" s="37"/>
      <c r="I292" s="37"/>
      <c r="J292" s="37"/>
      <c r="K292" s="37"/>
    </row>
    <row r="293" spans="1:12" ht="15">
      <c r="A293" s="71"/>
      <c r="G293" s="37"/>
      <c r="H293" s="37"/>
      <c r="I293" s="37"/>
      <c r="J293" s="37"/>
      <c r="K293" s="37"/>
    </row>
    <row r="294" spans="1:12" ht="15">
      <c r="A294" s="71"/>
      <c r="G294" s="37"/>
      <c r="H294" s="37"/>
      <c r="I294" s="37"/>
      <c r="J294" s="37"/>
      <c r="K294" s="37"/>
    </row>
    <row r="295" spans="1:12" ht="15">
      <c r="A295" s="71"/>
      <c r="G295" s="37"/>
      <c r="H295" s="37"/>
      <c r="I295" s="37"/>
      <c r="J295" s="37"/>
      <c r="K295" s="37"/>
    </row>
    <row r="296" spans="1:12" ht="15">
      <c r="A296" s="71"/>
      <c r="G296" s="37"/>
      <c r="H296" s="37"/>
      <c r="I296" s="37"/>
      <c r="J296" s="37"/>
      <c r="K296" s="37"/>
    </row>
    <row r="297" spans="1:12" ht="15">
      <c r="A297" s="71"/>
      <c r="G297" s="37"/>
      <c r="H297" s="37"/>
      <c r="I297" s="37"/>
      <c r="J297" s="37"/>
      <c r="K297" s="37"/>
    </row>
    <row r="298" spans="1:12" ht="15">
      <c r="A298" s="71"/>
      <c r="G298" s="37"/>
      <c r="H298" s="37"/>
      <c r="I298" s="37"/>
      <c r="J298" s="37"/>
      <c r="K298" s="37"/>
    </row>
    <row r="299" spans="1:12" ht="15">
      <c r="A299" s="71"/>
      <c r="G299" s="37"/>
      <c r="H299" s="37"/>
      <c r="I299" s="37"/>
      <c r="J299" s="37"/>
      <c r="K299" s="37"/>
    </row>
    <row r="300" spans="1:12" ht="15">
      <c r="A300" s="71"/>
      <c r="G300" s="37"/>
      <c r="H300" s="37"/>
      <c r="I300" s="37"/>
      <c r="J300" s="37"/>
      <c r="K300" s="37"/>
    </row>
    <row r="301" spans="1:12" ht="15">
      <c r="A301" s="71"/>
      <c r="G301" s="37"/>
      <c r="H301" s="37"/>
      <c r="I301" s="37"/>
      <c r="J301" s="37"/>
      <c r="K301" s="37"/>
    </row>
    <row r="302" spans="1:12" ht="15">
      <c r="A302" s="71"/>
      <c r="G302" s="37"/>
      <c r="H302" s="37"/>
      <c r="I302" s="37"/>
      <c r="J302" s="37"/>
      <c r="K302" s="37"/>
    </row>
    <row r="303" spans="1:12" ht="15">
      <c r="A303" s="71"/>
      <c r="G303" s="37"/>
      <c r="H303" s="37"/>
      <c r="I303" s="37"/>
      <c r="J303" s="37"/>
      <c r="K303" s="37"/>
      <c r="L303" s="46"/>
    </row>
    <row r="304" spans="1:12" ht="15">
      <c r="A304" s="71"/>
      <c r="G304" s="37"/>
      <c r="H304" s="37"/>
      <c r="I304" s="37"/>
      <c r="J304" s="37"/>
      <c r="K304" s="37"/>
    </row>
    <row r="305" spans="1:11" ht="15">
      <c r="A305" s="71"/>
      <c r="G305" s="37"/>
      <c r="H305" s="37"/>
      <c r="I305" s="37"/>
      <c r="J305" s="37"/>
      <c r="K305" s="37"/>
    </row>
    <row r="306" spans="1:11" ht="15">
      <c r="A306" s="71"/>
      <c r="G306" s="37"/>
      <c r="H306" s="37"/>
      <c r="I306" s="37"/>
      <c r="J306" s="37"/>
      <c r="K306" s="37"/>
    </row>
    <row r="307" spans="1:11" ht="15">
      <c r="A307" s="71"/>
      <c r="G307" s="37"/>
      <c r="H307" s="37"/>
      <c r="I307" s="37"/>
      <c r="J307" s="37"/>
      <c r="K307" s="37"/>
    </row>
    <row r="308" spans="1:11" ht="15">
      <c r="A308" s="71"/>
      <c r="G308" s="37"/>
      <c r="H308" s="37"/>
      <c r="I308" s="37"/>
      <c r="J308" s="37"/>
      <c r="K308" s="37"/>
    </row>
    <row r="309" spans="1:11" ht="15">
      <c r="A309" s="71"/>
      <c r="G309" s="37"/>
      <c r="H309" s="37"/>
      <c r="I309" s="37"/>
      <c r="J309" s="37"/>
      <c r="K309" s="37"/>
    </row>
    <row r="310" spans="1:11" ht="15">
      <c r="A310" s="71"/>
      <c r="G310" s="37"/>
      <c r="H310" s="37"/>
      <c r="I310" s="37"/>
      <c r="J310" s="37"/>
      <c r="K310" s="37"/>
    </row>
    <row r="311" spans="1:11" ht="15">
      <c r="A311" s="71"/>
      <c r="G311" s="37"/>
      <c r="H311" s="37"/>
      <c r="I311" s="37"/>
      <c r="J311" s="37"/>
      <c r="K311" s="37"/>
    </row>
    <row r="312" spans="1:11" ht="15">
      <c r="A312" s="71"/>
      <c r="G312" s="37"/>
      <c r="H312" s="37"/>
      <c r="I312" s="37"/>
      <c r="J312" s="37"/>
      <c r="K312" s="37"/>
    </row>
    <row r="313" spans="1:11" ht="15">
      <c r="A313" s="71"/>
      <c r="G313" s="37"/>
      <c r="H313" s="37"/>
      <c r="I313" s="37"/>
      <c r="J313" s="37"/>
      <c r="K313" s="37"/>
    </row>
    <row r="314" spans="1:11" ht="15">
      <c r="A314" s="71"/>
      <c r="G314" s="37"/>
      <c r="H314" s="37"/>
      <c r="I314" s="37"/>
      <c r="J314" s="37"/>
      <c r="K314" s="37"/>
    </row>
    <row r="315" spans="1:11" ht="15">
      <c r="A315" s="71"/>
      <c r="G315" s="37"/>
      <c r="H315" s="37"/>
      <c r="I315" s="37"/>
      <c r="J315" s="37"/>
      <c r="K315" s="37"/>
    </row>
    <row r="316" spans="1:11" ht="15">
      <c r="A316" s="71"/>
      <c r="G316" s="37"/>
      <c r="H316" s="37"/>
      <c r="I316" s="37"/>
      <c r="J316" s="37"/>
      <c r="K316" s="37"/>
    </row>
    <row r="317" spans="1:11" ht="15">
      <c r="A317" s="71"/>
      <c r="G317" s="37"/>
      <c r="H317" s="37"/>
      <c r="I317" s="37"/>
      <c r="J317" s="37"/>
      <c r="K317" s="37"/>
    </row>
    <row r="318" spans="1:11" ht="15">
      <c r="A318" s="71"/>
      <c r="G318" s="37"/>
      <c r="H318" s="37"/>
      <c r="I318" s="37"/>
      <c r="J318" s="37"/>
      <c r="K318" s="37"/>
    </row>
    <row r="319" spans="1:11" ht="15">
      <c r="A319" s="71"/>
      <c r="G319" s="37"/>
      <c r="H319" s="37"/>
      <c r="I319" s="37"/>
      <c r="J319" s="37"/>
      <c r="K319" s="37"/>
    </row>
    <row r="320" spans="1:11" ht="15">
      <c r="A320" s="71"/>
      <c r="G320" s="37"/>
      <c r="H320" s="37"/>
      <c r="I320" s="37"/>
      <c r="J320" s="37"/>
      <c r="K320" s="37"/>
    </row>
    <row r="321" spans="1:12" ht="15">
      <c r="A321" s="71"/>
      <c r="G321" s="37"/>
      <c r="H321" s="37"/>
      <c r="I321" s="37"/>
      <c r="J321" s="37"/>
      <c r="K321" s="37"/>
    </row>
    <row r="322" spans="1:12" ht="15">
      <c r="A322" s="71"/>
      <c r="G322" s="37"/>
      <c r="H322" s="37"/>
      <c r="I322" s="37"/>
      <c r="J322" s="37"/>
      <c r="K322" s="37"/>
    </row>
    <row r="323" spans="1:12" ht="15">
      <c r="A323" s="71"/>
      <c r="G323" s="37"/>
      <c r="H323" s="37"/>
      <c r="I323" s="37"/>
      <c r="J323" s="37"/>
      <c r="K323" s="37"/>
    </row>
    <row r="324" spans="1:12" ht="15">
      <c r="A324" s="71"/>
      <c r="G324" s="37"/>
      <c r="H324" s="37"/>
      <c r="I324" s="37"/>
      <c r="J324" s="37"/>
      <c r="K324" s="37"/>
    </row>
    <row r="325" spans="1:12" ht="15">
      <c r="A325" s="71"/>
      <c r="G325" s="37"/>
      <c r="H325" s="37"/>
      <c r="I325" s="37"/>
      <c r="J325" s="37"/>
      <c r="K325" s="37"/>
      <c r="L325" s="46"/>
    </row>
    <row r="326" spans="1:12" ht="15">
      <c r="A326" s="71"/>
      <c r="G326" s="37"/>
      <c r="H326" s="37"/>
      <c r="I326" s="37"/>
      <c r="J326" s="37"/>
      <c r="K326" s="37"/>
    </row>
    <row r="327" spans="1:12" ht="15">
      <c r="A327" s="71"/>
      <c r="G327" s="37"/>
      <c r="H327" s="37"/>
      <c r="I327" s="37"/>
      <c r="J327" s="37"/>
      <c r="K327" s="37"/>
    </row>
    <row r="328" spans="1:12" ht="15">
      <c r="A328" s="71"/>
      <c r="G328" s="37"/>
      <c r="H328" s="37"/>
      <c r="I328" s="37"/>
      <c r="J328" s="37"/>
      <c r="K328" s="37"/>
    </row>
    <row r="329" spans="1:12" ht="15">
      <c r="A329" s="71"/>
      <c r="G329" s="37"/>
      <c r="H329" s="37"/>
      <c r="I329" s="37"/>
      <c r="J329" s="37"/>
      <c r="K329" s="37"/>
    </row>
    <row r="330" spans="1:12" ht="15">
      <c r="A330" s="71"/>
      <c r="G330" s="37"/>
      <c r="H330" s="37"/>
      <c r="I330" s="37"/>
      <c r="J330" s="37"/>
      <c r="K330" s="37"/>
    </row>
    <row r="331" spans="1:12" ht="15">
      <c r="A331" s="71"/>
      <c r="G331" s="37"/>
      <c r="H331" s="37"/>
      <c r="I331" s="37"/>
      <c r="J331" s="37"/>
      <c r="K331" s="37"/>
    </row>
    <row r="332" spans="1:12" ht="15">
      <c r="A332" s="71"/>
      <c r="G332" s="37"/>
      <c r="H332" s="37"/>
      <c r="I332" s="37"/>
      <c r="J332" s="37"/>
      <c r="K332" s="37"/>
      <c r="L332" s="46"/>
    </row>
    <row r="333" spans="1:12" ht="15">
      <c r="A333" s="71"/>
      <c r="G333" s="37"/>
      <c r="H333" s="37"/>
      <c r="I333" s="37"/>
      <c r="J333" s="37"/>
      <c r="K333" s="37"/>
      <c r="L333" s="46"/>
    </row>
    <row r="334" spans="1:12" ht="15">
      <c r="A334" s="71"/>
      <c r="G334" s="37"/>
      <c r="H334" s="37"/>
      <c r="I334" s="37"/>
      <c r="J334" s="37"/>
      <c r="K334" s="37"/>
      <c r="L334" s="46"/>
    </row>
    <row r="335" spans="1:12" ht="15">
      <c r="A335" s="71"/>
      <c r="G335" s="37"/>
      <c r="H335" s="37"/>
      <c r="I335" s="37"/>
      <c r="J335" s="37"/>
      <c r="K335" s="37"/>
      <c r="L335" s="46"/>
    </row>
    <row r="336" spans="1:12" ht="15">
      <c r="A336" s="71"/>
      <c r="G336" s="37"/>
      <c r="H336" s="37"/>
      <c r="I336" s="37"/>
      <c r="J336" s="37"/>
      <c r="K336" s="37"/>
      <c r="L336" s="46"/>
    </row>
    <row r="337" spans="1:12" ht="15">
      <c r="A337" s="71"/>
      <c r="G337" s="37"/>
      <c r="H337" s="37"/>
      <c r="I337" s="37"/>
      <c r="J337" s="37"/>
      <c r="K337" s="37"/>
      <c r="L337" s="46"/>
    </row>
    <row r="338" spans="1:12" ht="15">
      <c r="A338" s="71"/>
      <c r="G338" s="37"/>
      <c r="H338" s="37"/>
      <c r="I338" s="37"/>
      <c r="J338" s="37"/>
      <c r="K338" s="37"/>
    </row>
    <row r="339" spans="1:12" ht="15">
      <c r="A339" s="71"/>
      <c r="G339" s="37"/>
      <c r="H339" s="37"/>
      <c r="I339" s="37"/>
      <c r="J339" s="37"/>
      <c r="K339" s="37"/>
    </row>
    <row r="340" spans="1:12" ht="15">
      <c r="A340" s="71"/>
      <c r="G340" s="37"/>
      <c r="H340" s="37"/>
      <c r="I340" s="37"/>
      <c r="J340" s="37"/>
      <c r="K340" s="37"/>
    </row>
    <row r="341" spans="1:12" ht="15">
      <c r="A341" s="71"/>
      <c r="G341" s="37"/>
      <c r="H341" s="37"/>
      <c r="I341" s="37"/>
      <c r="J341" s="37"/>
      <c r="K341" s="37"/>
    </row>
    <row r="342" spans="1:12" ht="15">
      <c r="A342" s="71"/>
      <c r="G342" s="37"/>
      <c r="H342" s="37"/>
      <c r="I342" s="37"/>
      <c r="J342" s="37"/>
      <c r="K342" s="37"/>
    </row>
    <row r="343" spans="1:12" ht="15">
      <c r="A343" s="71"/>
      <c r="G343" s="37"/>
      <c r="H343" s="37"/>
      <c r="I343" s="37"/>
      <c r="J343" s="37"/>
      <c r="K343" s="37"/>
    </row>
    <row r="344" spans="1:12" ht="15">
      <c r="A344" s="71"/>
      <c r="G344" s="37"/>
      <c r="H344" s="37"/>
      <c r="I344" s="37"/>
      <c r="J344" s="37"/>
      <c r="K344" s="37"/>
    </row>
    <row r="345" spans="1:12" ht="15">
      <c r="A345" s="71"/>
      <c r="G345" s="37"/>
      <c r="H345" s="37"/>
      <c r="I345" s="37"/>
      <c r="J345" s="37"/>
      <c r="K345" s="37"/>
      <c r="L345" s="47"/>
    </row>
    <row r="346" spans="1:12" ht="15">
      <c r="A346" s="71"/>
      <c r="G346" s="37"/>
      <c r="H346" s="37"/>
      <c r="I346" s="37"/>
      <c r="J346" s="37"/>
      <c r="K346" s="37"/>
    </row>
    <row r="347" spans="1:12" ht="15">
      <c r="A347" s="71"/>
      <c r="G347" s="37"/>
      <c r="H347" s="37"/>
      <c r="I347" s="37"/>
      <c r="J347" s="37"/>
      <c r="K347" s="37"/>
    </row>
    <row r="348" spans="1:12" ht="15">
      <c r="A348" s="71"/>
      <c r="G348" s="37"/>
      <c r="H348" s="37"/>
      <c r="I348" s="37"/>
      <c r="J348" s="37"/>
      <c r="K348" s="37"/>
    </row>
    <row r="349" spans="1:12" ht="15">
      <c r="A349" s="71"/>
      <c r="G349" s="37"/>
      <c r="H349" s="37"/>
      <c r="I349" s="37"/>
      <c r="J349" s="37"/>
      <c r="K349" s="37"/>
    </row>
    <row r="350" spans="1:12" ht="15">
      <c r="A350" s="71"/>
      <c r="G350" s="37"/>
      <c r="H350" s="37"/>
      <c r="I350" s="37"/>
      <c r="J350" s="37"/>
      <c r="K350" s="37"/>
      <c r="L350" s="47"/>
    </row>
    <row r="351" spans="1:12" ht="15">
      <c r="A351" s="71"/>
      <c r="G351" s="37"/>
      <c r="H351" s="37"/>
      <c r="I351" s="37"/>
      <c r="J351" s="37"/>
      <c r="K351" s="37"/>
    </row>
    <row r="352" spans="1:12" ht="15">
      <c r="A352" s="71"/>
      <c r="G352" s="37"/>
      <c r="H352" s="37"/>
      <c r="I352" s="37"/>
      <c r="J352" s="37"/>
      <c r="K352" s="37"/>
    </row>
    <row r="353" spans="1:12" ht="15">
      <c r="A353" s="71"/>
      <c r="G353" s="37"/>
      <c r="H353" s="37"/>
      <c r="I353" s="37"/>
      <c r="J353" s="37"/>
      <c r="K353" s="37"/>
      <c r="L353" s="46"/>
    </row>
    <row r="354" spans="1:12" ht="15">
      <c r="A354" s="71"/>
      <c r="G354" s="37"/>
      <c r="H354" s="37"/>
      <c r="I354" s="37"/>
      <c r="J354" s="37"/>
      <c r="K354" s="37"/>
    </row>
    <row r="355" spans="1:12" ht="15">
      <c r="A355" s="71"/>
      <c r="G355" s="37"/>
      <c r="H355" s="37"/>
      <c r="I355" s="37"/>
      <c r="J355" s="37"/>
      <c r="K355" s="37"/>
    </row>
    <row r="356" spans="1:12" ht="15">
      <c r="A356" s="71"/>
      <c r="G356" s="37"/>
      <c r="H356" s="37"/>
      <c r="I356" s="37"/>
      <c r="J356" s="37"/>
      <c r="K356" s="37"/>
    </row>
    <row r="357" spans="1:12" ht="15">
      <c r="A357" s="71"/>
      <c r="G357" s="37"/>
      <c r="H357" s="37"/>
      <c r="I357" s="37"/>
      <c r="J357" s="37"/>
      <c r="K357" s="37"/>
    </row>
    <row r="358" spans="1:12" ht="15">
      <c r="A358" s="71"/>
      <c r="G358" s="37"/>
      <c r="H358" s="37"/>
      <c r="I358" s="37"/>
      <c r="J358" s="37"/>
      <c r="K358" s="37"/>
    </row>
    <row r="359" spans="1:12" ht="15">
      <c r="A359" s="71"/>
      <c r="G359" s="37"/>
      <c r="H359" s="37"/>
      <c r="I359" s="37"/>
      <c r="J359" s="37"/>
      <c r="K359" s="37"/>
    </row>
    <row r="360" spans="1:12" ht="15">
      <c r="A360" s="71"/>
      <c r="G360" s="37"/>
      <c r="H360" s="37"/>
      <c r="I360" s="37"/>
      <c r="J360" s="37"/>
      <c r="K360" s="37"/>
    </row>
    <row r="361" spans="1:12" ht="15">
      <c r="A361" s="71"/>
      <c r="G361" s="37"/>
      <c r="H361" s="37"/>
      <c r="I361" s="37"/>
      <c r="J361" s="37"/>
      <c r="K361" s="37"/>
      <c r="L361" s="46"/>
    </row>
    <row r="362" spans="1:12" ht="15">
      <c r="A362" s="71"/>
      <c r="G362" s="37"/>
      <c r="H362" s="37"/>
      <c r="I362" s="37"/>
      <c r="J362" s="37"/>
      <c r="K362" s="37"/>
    </row>
    <row r="363" spans="1:12" ht="15">
      <c r="A363" s="71"/>
      <c r="G363" s="37"/>
      <c r="H363" s="37"/>
      <c r="I363" s="37"/>
      <c r="J363" s="37"/>
      <c r="K363" s="37"/>
    </row>
    <row r="364" spans="1:12" ht="15">
      <c r="A364" s="71"/>
      <c r="G364" s="37"/>
      <c r="H364" s="37"/>
      <c r="I364" s="37"/>
      <c r="J364" s="37"/>
      <c r="K364" s="37"/>
    </row>
    <row r="365" spans="1:12" ht="15">
      <c r="A365" s="71"/>
      <c r="G365" s="37"/>
      <c r="H365" s="37"/>
      <c r="I365" s="37"/>
      <c r="J365" s="37"/>
      <c r="K365" s="37"/>
    </row>
    <row r="366" spans="1:12" ht="15">
      <c r="A366" s="71"/>
      <c r="G366" s="37"/>
      <c r="H366" s="37"/>
      <c r="I366" s="37"/>
      <c r="J366" s="37"/>
      <c r="K366" s="37"/>
    </row>
    <row r="367" spans="1:12" ht="15">
      <c r="A367" s="71"/>
      <c r="G367" s="37"/>
      <c r="H367" s="37"/>
      <c r="I367" s="37"/>
      <c r="J367" s="37"/>
      <c r="K367" s="37"/>
    </row>
    <row r="368" spans="1:12" ht="15">
      <c r="A368" s="71"/>
      <c r="G368" s="37"/>
      <c r="H368" s="37"/>
      <c r="I368" s="37"/>
      <c r="J368" s="37"/>
      <c r="K368" s="37"/>
    </row>
    <row r="369" spans="1:12" ht="15">
      <c r="A369" s="71"/>
      <c r="G369" s="37"/>
      <c r="H369" s="37"/>
      <c r="I369" s="37"/>
      <c r="J369" s="37"/>
      <c r="K369" s="37"/>
    </row>
    <row r="370" spans="1:12" ht="15">
      <c r="A370" s="71"/>
      <c r="G370" s="37"/>
      <c r="H370" s="37"/>
      <c r="I370" s="37"/>
      <c r="J370" s="37"/>
      <c r="K370" s="37"/>
    </row>
    <row r="371" spans="1:12" ht="15">
      <c r="A371" s="71"/>
      <c r="G371" s="37"/>
      <c r="H371" s="37"/>
      <c r="I371" s="37"/>
      <c r="J371" s="37"/>
      <c r="K371" s="37"/>
    </row>
    <row r="372" spans="1:12" ht="15">
      <c r="A372" s="71"/>
      <c r="G372" s="37"/>
      <c r="H372" s="37"/>
      <c r="I372" s="37"/>
      <c r="J372" s="37"/>
      <c r="K372" s="37"/>
    </row>
    <row r="373" spans="1:12" ht="15">
      <c r="A373" s="71"/>
      <c r="G373" s="37"/>
      <c r="H373" s="37"/>
      <c r="I373" s="37"/>
      <c r="J373" s="37"/>
      <c r="K373" s="37"/>
      <c r="L373" s="46"/>
    </row>
    <row r="374" spans="1:12" ht="15">
      <c r="A374" s="71"/>
      <c r="G374" s="37"/>
      <c r="H374" s="37"/>
      <c r="I374" s="37"/>
      <c r="J374" s="37"/>
      <c r="K374" s="37"/>
    </row>
    <row r="375" spans="1:12" ht="15">
      <c r="A375" s="71"/>
      <c r="G375" s="37"/>
      <c r="H375" s="37"/>
      <c r="I375" s="37"/>
      <c r="J375" s="37"/>
      <c r="K375" s="37"/>
    </row>
    <row r="376" spans="1:12" ht="15">
      <c r="A376" s="71"/>
      <c r="G376" s="37"/>
      <c r="H376" s="37"/>
      <c r="I376" s="37"/>
      <c r="J376" s="37"/>
      <c r="K376" s="37"/>
    </row>
    <row r="377" spans="1:12" ht="15">
      <c r="A377" s="71"/>
      <c r="G377" s="37"/>
      <c r="H377" s="37"/>
      <c r="I377" s="37"/>
      <c r="J377" s="37"/>
      <c r="K377" s="37"/>
    </row>
    <row r="378" spans="1:12" ht="15">
      <c r="A378" s="71"/>
      <c r="G378" s="37"/>
      <c r="H378" s="37"/>
      <c r="I378" s="37"/>
      <c r="J378" s="37"/>
      <c r="K378" s="37"/>
    </row>
    <row r="379" spans="1:12" ht="15">
      <c r="A379" s="71"/>
      <c r="G379" s="37"/>
      <c r="H379" s="37"/>
      <c r="I379" s="37"/>
      <c r="J379" s="37"/>
      <c r="K379" s="37"/>
    </row>
    <row r="380" spans="1:12" ht="15">
      <c r="A380" s="71"/>
      <c r="G380" s="37"/>
      <c r="H380" s="37"/>
      <c r="I380" s="37"/>
      <c r="J380" s="37"/>
      <c r="K380" s="37"/>
    </row>
    <row r="381" spans="1:12" ht="15">
      <c r="A381" s="71"/>
      <c r="G381" s="37"/>
      <c r="H381" s="37"/>
      <c r="I381" s="37"/>
      <c r="J381" s="37"/>
      <c r="K381" s="37"/>
    </row>
    <row r="382" spans="1:12" ht="15">
      <c r="A382" s="71"/>
      <c r="G382" s="37"/>
      <c r="H382" s="37"/>
      <c r="I382" s="37"/>
      <c r="J382" s="37"/>
      <c r="K382" s="37"/>
    </row>
    <row r="383" spans="1:12" ht="15">
      <c r="A383" s="71"/>
      <c r="G383" s="37"/>
      <c r="H383" s="37"/>
      <c r="I383" s="37"/>
      <c r="J383" s="37"/>
      <c r="K383" s="37"/>
    </row>
    <row r="384" spans="1:12" ht="15">
      <c r="A384" s="71"/>
      <c r="G384" s="37"/>
      <c r="H384" s="37"/>
      <c r="I384" s="37"/>
      <c r="J384" s="37"/>
      <c r="K384" s="37"/>
    </row>
    <row r="385" spans="1:12" ht="15">
      <c r="A385" s="71"/>
      <c r="G385" s="37"/>
      <c r="H385" s="37"/>
      <c r="I385" s="37"/>
      <c r="J385" s="37"/>
      <c r="K385" s="37"/>
    </row>
    <row r="386" spans="1:12" ht="15">
      <c r="A386" s="71"/>
      <c r="G386" s="37"/>
      <c r="H386" s="37"/>
      <c r="I386" s="37"/>
      <c r="J386" s="37"/>
      <c r="K386" s="37"/>
    </row>
    <row r="387" spans="1:12" ht="15">
      <c r="A387" s="71"/>
      <c r="G387" s="37"/>
      <c r="H387" s="37"/>
      <c r="I387" s="37"/>
      <c r="J387" s="37"/>
      <c r="K387" s="37"/>
    </row>
    <row r="388" spans="1:12" ht="15">
      <c r="A388" s="71"/>
      <c r="G388" s="37"/>
      <c r="H388" s="37"/>
      <c r="I388" s="37"/>
      <c r="J388" s="37"/>
      <c r="K388" s="37"/>
    </row>
    <row r="389" spans="1:12" ht="15">
      <c r="A389" s="71"/>
      <c r="G389" s="37"/>
      <c r="H389" s="37"/>
      <c r="I389" s="37"/>
      <c r="J389" s="37"/>
      <c r="K389" s="37"/>
    </row>
    <row r="390" spans="1:12" ht="15">
      <c r="A390" s="71"/>
      <c r="G390" s="37"/>
      <c r="H390" s="37"/>
      <c r="I390" s="37"/>
      <c r="J390" s="37"/>
      <c r="K390" s="37"/>
    </row>
    <row r="391" spans="1:12" ht="15">
      <c r="A391" s="71"/>
      <c r="G391" s="37"/>
      <c r="H391" s="37"/>
      <c r="I391" s="37"/>
      <c r="J391" s="37"/>
      <c r="K391" s="37"/>
    </row>
    <row r="392" spans="1:12" ht="15">
      <c r="A392" s="71"/>
      <c r="G392" s="37"/>
      <c r="H392" s="37"/>
      <c r="I392" s="37"/>
      <c r="J392" s="37"/>
      <c r="K392" s="37"/>
    </row>
    <row r="393" spans="1:12" ht="15">
      <c r="A393" s="71"/>
      <c r="G393" s="37"/>
      <c r="H393" s="37"/>
      <c r="I393" s="37"/>
      <c r="J393" s="37"/>
      <c r="K393" s="37"/>
    </row>
    <row r="394" spans="1:12" ht="15">
      <c r="A394" s="71"/>
      <c r="G394" s="37"/>
      <c r="H394" s="37"/>
      <c r="I394" s="37"/>
      <c r="J394" s="37"/>
      <c r="K394" s="37"/>
    </row>
    <row r="395" spans="1:12" ht="15">
      <c r="A395" s="71"/>
      <c r="G395" s="37"/>
      <c r="H395" s="37"/>
      <c r="I395" s="37"/>
      <c r="J395" s="37"/>
      <c r="K395" s="37"/>
      <c r="L395" s="46"/>
    </row>
    <row r="396" spans="1:12" ht="15">
      <c r="A396" s="71"/>
      <c r="G396" s="37"/>
      <c r="H396" s="37"/>
      <c r="I396" s="37"/>
      <c r="J396" s="37"/>
      <c r="K396" s="37"/>
    </row>
    <row r="397" spans="1:12" ht="15">
      <c r="A397" s="71"/>
      <c r="G397" s="37"/>
      <c r="H397" s="37"/>
      <c r="I397" s="37"/>
      <c r="J397" s="37"/>
      <c r="K397" s="37"/>
    </row>
    <row r="398" spans="1:12" ht="15">
      <c r="A398" s="71"/>
      <c r="G398" s="37"/>
      <c r="H398" s="37"/>
      <c r="I398" s="37"/>
      <c r="J398" s="37"/>
      <c r="K398" s="37"/>
    </row>
    <row r="399" spans="1:12" ht="15">
      <c r="A399" s="71"/>
      <c r="G399" s="37"/>
      <c r="H399" s="37"/>
      <c r="I399" s="37"/>
      <c r="J399" s="37"/>
      <c r="K399" s="37"/>
    </row>
    <row r="400" spans="1:12" ht="15">
      <c r="A400" s="71"/>
      <c r="G400" s="37"/>
      <c r="H400" s="37"/>
      <c r="I400" s="37"/>
      <c r="J400" s="37"/>
      <c r="K400" s="37"/>
    </row>
    <row r="401" spans="1:12" ht="15">
      <c r="A401" s="71"/>
      <c r="G401" s="37"/>
      <c r="H401" s="37"/>
      <c r="I401" s="37"/>
      <c r="J401" s="37"/>
      <c r="K401" s="37"/>
    </row>
    <row r="402" spans="1:12" ht="15">
      <c r="A402" s="71"/>
      <c r="G402" s="37"/>
      <c r="H402" s="37"/>
      <c r="I402" s="37"/>
      <c r="J402" s="37"/>
      <c r="K402" s="37"/>
      <c r="L402" s="46"/>
    </row>
    <row r="403" spans="1:12" ht="15">
      <c r="A403" s="71"/>
      <c r="G403" s="37"/>
      <c r="H403" s="37"/>
      <c r="I403" s="37"/>
      <c r="J403" s="37"/>
      <c r="K403" s="37"/>
      <c r="L403" s="46"/>
    </row>
    <row r="404" spans="1:12" ht="15">
      <c r="A404" s="71"/>
      <c r="G404" s="37"/>
      <c r="H404" s="37"/>
      <c r="I404" s="37"/>
      <c r="J404" s="37"/>
      <c r="K404" s="37"/>
      <c r="L404" s="46"/>
    </row>
    <row r="405" spans="1:12" ht="15">
      <c r="A405" s="71"/>
      <c r="G405" s="37"/>
      <c r="H405" s="37"/>
      <c r="I405" s="37"/>
      <c r="J405" s="37"/>
      <c r="K405" s="37"/>
      <c r="L405" s="46"/>
    </row>
    <row r="406" spans="1:12" ht="15">
      <c r="A406" s="71"/>
      <c r="G406" s="37"/>
      <c r="H406" s="37"/>
      <c r="I406" s="37"/>
      <c r="J406" s="37"/>
      <c r="K406" s="37"/>
      <c r="L406" s="46"/>
    </row>
    <row r="407" spans="1:12" ht="15">
      <c r="A407" s="71"/>
      <c r="G407" s="37"/>
      <c r="H407" s="37"/>
      <c r="I407" s="37"/>
      <c r="J407" s="37"/>
      <c r="K407" s="37"/>
      <c r="L407" s="46"/>
    </row>
    <row r="408" spans="1:12" ht="15">
      <c r="A408" s="71"/>
      <c r="G408" s="37"/>
      <c r="H408" s="37"/>
      <c r="I408" s="37"/>
      <c r="J408" s="37"/>
      <c r="K408" s="37"/>
    </row>
    <row r="409" spans="1:12" ht="15">
      <c r="A409" s="71"/>
      <c r="G409" s="37"/>
      <c r="H409" s="37"/>
      <c r="I409" s="37"/>
      <c r="J409" s="37"/>
      <c r="K409" s="37"/>
    </row>
    <row r="410" spans="1:12" ht="15">
      <c r="A410" s="71"/>
      <c r="G410" s="37"/>
      <c r="H410" s="37"/>
      <c r="I410" s="37"/>
      <c r="J410" s="37"/>
      <c r="K410" s="37"/>
    </row>
    <row r="411" spans="1:12" ht="15">
      <c r="A411" s="71"/>
      <c r="G411" s="37"/>
      <c r="H411" s="37"/>
      <c r="I411" s="37"/>
      <c r="J411" s="37"/>
      <c r="K411" s="37"/>
    </row>
    <row r="412" spans="1:12" ht="15">
      <c r="A412" s="71"/>
      <c r="G412" s="37"/>
      <c r="H412" s="37"/>
      <c r="I412" s="37"/>
      <c r="J412" s="37"/>
      <c r="K412" s="37"/>
    </row>
    <row r="413" spans="1:12" ht="15">
      <c r="A413" s="71"/>
      <c r="G413" s="37"/>
      <c r="H413" s="37"/>
      <c r="I413" s="37"/>
      <c r="J413" s="37"/>
      <c r="K413" s="37"/>
    </row>
    <row r="414" spans="1:12" ht="15">
      <c r="A414" s="71"/>
      <c r="G414" s="37"/>
      <c r="H414" s="37"/>
      <c r="I414" s="37"/>
      <c r="J414" s="37"/>
      <c r="K414" s="37"/>
    </row>
    <row r="415" spans="1:12" ht="15">
      <c r="A415" s="71"/>
      <c r="G415" s="37"/>
      <c r="H415" s="37"/>
      <c r="I415" s="37"/>
      <c r="J415" s="37"/>
      <c r="K415" s="37"/>
      <c r="L415" s="47"/>
    </row>
    <row r="416" spans="1:12" ht="15">
      <c r="A416" s="71"/>
      <c r="G416" s="37"/>
      <c r="H416" s="37"/>
      <c r="I416" s="37"/>
      <c r="J416" s="37"/>
      <c r="K416" s="37"/>
    </row>
    <row r="417" spans="1:12" ht="15">
      <c r="A417" s="71"/>
      <c r="G417" s="37"/>
      <c r="H417" s="37"/>
      <c r="I417" s="37"/>
      <c r="J417" s="37"/>
      <c r="K417" s="37"/>
    </row>
    <row r="418" spans="1:12" ht="15">
      <c r="A418" s="71"/>
      <c r="G418" s="37"/>
      <c r="H418" s="37"/>
      <c r="I418" s="37"/>
      <c r="J418" s="37"/>
      <c r="K418" s="37"/>
    </row>
    <row r="419" spans="1:12" ht="15">
      <c r="A419" s="71"/>
      <c r="G419" s="37"/>
      <c r="H419" s="37"/>
      <c r="I419" s="37"/>
      <c r="J419" s="37"/>
      <c r="K419" s="37"/>
    </row>
    <row r="420" spans="1:12" ht="15">
      <c r="A420" s="71"/>
      <c r="G420" s="37"/>
      <c r="H420" s="37"/>
      <c r="I420" s="37"/>
      <c r="J420" s="37"/>
      <c r="K420" s="37"/>
      <c r="L420" s="47"/>
    </row>
    <row r="421" spans="1:12" ht="15">
      <c r="A421" s="71"/>
      <c r="G421" s="37"/>
      <c r="H421" s="37"/>
      <c r="I421" s="37"/>
      <c r="J421" s="37"/>
      <c r="K421" s="37"/>
    </row>
    <row r="422" spans="1:12" ht="15">
      <c r="A422" s="71"/>
      <c r="G422" s="37"/>
      <c r="H422" s="37"/>
      <c r="I422" s="37"/>
      <c r="J422" s="37"/>
      <c r="K422" s="37"/>
    </row>
    <row r="423" spans="1:12" ht="15">
      <c r="A423" s="71"/>
      <c r="G423" s="37"/>
      <c r="H423" s="37"/>
      <c r="I423" s="37"/>
      <c r="J423" s="37"/>
      <c r="K423" s="37"/>
      <c r="L423" s="46"/>
    </row>
    <row r="424" spans="1:12" ht="15">
      <c r="A424" s="71"/>
      <c r="G424" s="37"/>
      <c r="H424" s="37"/>
      <c r="I424" s="37"/>
      <c r="J424" s="37"/>
      <c r="K424" s="37"/>
    </row>
    <row r="425" spans="1:12" ht="15">
      <c r="A425" s="71"/>
      <c r="G425" s="37"/>
      <c r="H425" s="37"/>
      <c r="I425" s="37"/>
      <c r="J425" s="37"/>
      <c r="K425" s="37"/>
    </row>
    <row r="426" spans="1:12" ht="15">
      <c r="A426" s="71"/>
      <c r="G426" s="37"/>
      <c r="H426" s="37"/>
      <c r="I426" s="37"/>
      <c r="J426" s="37"/>
      <c r="K426" s="37"/>
    </row>
    <row r="427" spans="1:12" ht="15">
      <c r="A427" s="71"/>
      <c r="G427" s="37"/>
      <c r="H427" s="37"/>
      <c r="I427" s="37"/>
      <c r="J427" s="37"/>
      <c r="K427" s="37"/>
    </row>
    <row r="428" spans="1:12" ht="15">
      <c r="A428" s="71"/>
      <c r="G428" s="37"/>
      <c r="H428" s="37"/>
      <c r="I428" s="37"/>
      <c r="J428" s="37"/>
      <c r="K428" s="37"/>
    </row>
    <row r="429" spans="1:12" ht="15">
      <c r="A429" s="71"/>
      <c r="G429" s="37"/>
      <c r="H429" s="37"/>
      <c r="I429" s="37"/>
      <c r="J429" s="37"/>
      <c r="K429" s="37"/>
    </row>
    <row r="430" spans="1:12" ht="15">
      <c r="A430" s="71"/>
      <c r="G430" s="37"/>
      <c r="H430" s="37"/>
      <c r="I430" s="37"/>
      <c r="J430" s="37"/>
      <c r="K430" s="37"/>
    </row>
    <row r="431" spans="1:12" ht="15">
      <c r="A431" s="71"/>
      <c r="G431" s="37"/>
      <c r="H431" s="37"/>
      <c r="I431" s="37"/>
      <c r="J431" s="37"/>
      <c r="K431" s="37"/>
      <c r="L431" s="46"/>
    </row>
    <row r="432" spans="1:12" ht="15">
      <c r="A432" s="71"/>
      <c r="G432" s="37"/>
      <c r="H432" s="37"/>
      <c r="I432" s="37"/>
      <c r="J432" s="37"/>
      <c r="K432" s="37"/>
    </row>
    <row r="433" spans="1:12" ht="15">
      <c r="A433" s="71"/>
      <c r="G433" s="37"/>
      <c r="H433" s="37"/>
      <c r="I433" s="37"/>
      <c r="J433" s="37"/>
      <c r="K433" s="37"/>
    </row>
    <row r="434" spans="1:12" ht="15">
      <c r="A434" s="71"/>
      <c r="G434" s="37"/>
      <c r="H434" s="37"/>
      <c r="I434" s="37"/>
      <c r="J434" s="37"/>
      <c r="K434" s="37"/>
    </row>
    <row r="435" spans="1:12" ht="15">
      <c r="A435" s="71"/>
      <c r="G435" s="37"/>
      <c r="H435" s="37"/>
      <c r="I435" s="37"/>
      <c r="J435" s="37"/>
      <c r="K435" s="37"/>
    </row>
    <row r="436" spans="1:12" ht="15">
      <c r="A436" s="71"/>
      <c r="G436" s="37"/>
      <c r="H436" s="37"/>
      <c r="I436" s="37"/>
      <c r="J436" s="37"/>
      <c r="K436" s="37"/>
    </row>
    <row r="437" spans="1:12" ht="15">
      <c r="A437" s="71"/>
      <c r="G437" s="37"/>
      <c r="H437" s="37"/>
      <c r="I437" s="37"/>
      <c r="J437" s="37"/>
      <c r="K437" s="37"/>
    </row>
    <row r="438" spans="1:12" ht="15">
      <c r="A438" s="71"/>
      <c r="G438" s="37"/>
      <c r="H438" s="37"/>
      <c r="I438" s="37"/>
      <c r="J438" s="37"/>
      <c r="K438" s="37"/>
    </row>
    <row r="439" spans="1:12" ht="15">
      <c r="A439" s="71"/>
      <c r="G439" s="37"/>
      <c r="H439" s="37"/>
      <c r="I439" s="37"/>
      <c r="J439" s="37"/>
      <c r="K439" s="37"/>
    </row>
    <row r="440" spans="1:12" ht="15">
      <c r="A440" s="71"/>
      <c r="G440" s="37"/>
      <c r="H440" s="37"/>
      <c r="I440" s="37"/>
      <c r="J440" s="37"/>
      <c r="K440" s="37"/>
    </row>
    <row r="441" spans="1:12" ht="15">
      <c r="A441" s="71"/>
      <c r="G441" s="37"/>
      <c r="H441" s="37"/>
      <c r="I441" s="37"/>
      <c r="J441" s="37"/>
      <c r="K441" s="37"/>
    </row>
    <row r="442" spans="1:12" ht="15">
      <c r="A442" s="71"/>
      <c r="G442" s="37"/>
      <c r="H442" s="37"/>
      <c r="I442" s="37"/>
      <c r="J442" s="37"/>
      <c r="K442" s="37"/>
    </row>
    <row r="443" spans="1:12" ht="15">
      <c r="A443" s="71"/>
      <c r="G443" s="37"/>
      <c r="H443" s="37"/>
      <c r="I443" s="37"/>
      <c r="J443" s="37"/>
      <c r="K443" s="37"/>
      <c r="L443" s="46"/>
    </row>
    <row r="444" spans="1:12" ht="15">
      <c r="A444" s="71"/>
      <c r="G444" s="37"/>
      <c r="H444" s="37"/>
      <c r="I444" s="37"/>
      <c r="J444" s="37"/>
      <c r="K444" s="37"/>
    </row>
    <row r="445" spans="1:12" ht="15">
      <c r="A445" s="71"/>
      <c r="G445" s="37"/>
      <c r="H445" s="37"/>
      <c r="I445" s="37"/>
      <c r="J445" s="37"/>
      <c r="K445" s="37"/>
    </row>
    <row r="446" spans="1:12" ht="15">
      <c r="A446" s="71"/>
      <c r="G446" s="37"/>
      <c r="H446" s="37"/>
      <c r="I446" s="37"/>
      <c r="J446" s="37"/>
      <c r="K446" s="37"/>
    </row>
    <row r="447" spans="1:12" ht="15">
      <c r="A447" s="71"/>
      <c r="G447" s="37"/>
      <c r="H447" s="37"/>
      <c r="I447" s="37"/>
      <c r="J447" s="37"/>
      <c r="K447" s="37"/>
    </row>
    <row r="448" spans="1:12" ht="15">
      <c r="A448" s="71"/>
      <c r="G448" s="37"/>
      <c r="H448" s="37"/>
      <c r="I448" s="37"/>
      <c r="J448" s="37"/>
      <c r="K448" s="37"/>
    </row>
    <row r="449" spans="1:11" ht="15">
      <c r="A449" s="71"/>
      <c r="G449" s="37"/>
      <c r="H449" s="37"/>
      <c r="I449" s="37"/>
      <c r="J449" s="37"/>
      <c r="K449" s="37"/>
    </row>
    <row r="450" spans="1:11" ht="15">
      <c r="A450" s="71"/>
      <c r="G450" s="37"/>
      <c r="H450" s="37"/>
      <c r="I450" s="37"/>
      <c r="J450" s="37"/>
      <c r="K450" s="37"/>
    </row>
    <row r="451" spans="1:11" ht="15">
      <c r="A451" s="71"/>
      <c r="G451" s="37"/>
      <c r="H451" s="37"/>
      <c r="I451" s="37"/>
      <c r="J451" s="37"/>
      <c r="K451" s="37"/>
    </row>
    <row r="452" spans="1:11" ht="15">
      <c r="A452" s="71"/>
      <c r="G452" s="37"/>
      <c r="H452" s="37"/>
      <c r="I452" s="37"/>
      <c r="J452" s="37"/>
      <c r="K452" s="37"/>
    </row>
    <row r="453" spans="1:11" ht="15">
      <c r="A453" s="71"/>
      <c r="G453" s="37"/>
      <c r="H453" s="37"/>
      <c r="I453" s="37"/>
      <c r="J453" s="37"/>
      <c r="K453" s="37"/>
    </row>
    <row r="454" spans="1:11" ht="15">
      <c r="A454" s="71"/>
      <c r="G454" s="37"/>
      <c r="H454" s="37"/>
      <c r="I454" s="37"/>
      <c r="J454" s="37"/>
      <c r="K454" s="37"/>
    </row>
    <row r="455" spans="1:11" ht="15">
      <c r="A455" s="71"/>
      <c r="G455" s="37"/>
      <c r="H455" s="37"/>
      <c r="I455" s="37"/>
      <c r="J455" s="37"/>
      <c r="K455" s="37"/>
    </row>
    <row r="456" spans="1:11" ht="15">
      <c r="A456" s="71"/>
      <c r="G456" s="37"/>
      <c r="H456" s="37"/>
      <c r="I456" s="37"/>
      <c r="J456" s="37"/>
      <c r="K456" s="37"/>
    </row>
    <row r="457" spans="1:11" ht="15">
      <c r="A457" s="71"/>
      <c r="G457" s="37"/>
      <c r="H457" s="37"/>
      <c r="I457" s="37"/>
      <c r="J457" s="37"/>
      <c r="K457" s="37"/>
    </row>
    <row r="458" spans="1:11" ht="15">
      <c r="A458" s="71"/>
      <c r="G458" s="37"/>
      <c r="H458" s="37"/>
      <c r="I458" s="37"/>
      <c r="J458" s="37"/>
      <c r="K458" s="37"/>
    </row>
    <row r="459" spans="1:11" ht="15">
      <c r="A459" s="71"/>
      <c r="G459" s="37"/>
      <c r="H459" s="37"/>
      <c r="I459" s="37"/>
      <c r="J459" s="37"/>
      <c r="K459" s="37"/>
    </row>
    <row r="460" spans="1:11" ht="15">
      <c r="A460" s="71"/>
      <c r="G460" s="37"/>
      <c r="H460" s="37"/>
      <c r="I460" s="37"/>
      <c r="J460" s="37"/>
      <c r="K460" s="37"/>
    </row>
    <row r="461" spans="1:11" ht="15">
      <c r="A461" s="71"/>
      <c r="G461" s="37"/>
      <c r="H461" s="37"/>
      <c r="I461" s="37"/>
      <c r="J461" s="37"/>
      <c r="K461" s="37"/>
    </row>
    <row r="462" spans="1:11" ht="15">
      <c r="A462" s="71"/>
      <c r="G462" s="37"/>
      <c r="H462" s="37"/>
      <c r="I462" s="37"/>
      <c r="J462" s="37"/>
      <c r="K462" s="37"/>
    </row>
    <row r="463" spans="1:11" ht="15">
      <c r="A463" s="71"/>
      <c r="G463" s="37"/>
      <c r="H463" s="37"/>
      <c r="I463" s="37"/>
      <c r="J463" s="37"/>
      <c r="K463" s="37"/>
    </row>
    <row r="464" spans="1:11" ht="15">
      <c r="A464" s="71"/>
      <c r="G464" s="37"/>
      <c r="H464" s="37"/>
      <c r="I464" s="37"/>
      <c r="J464" s="37"/>
      <c r="K464" s="37"/>
    </row>
    <row r="465" spans="1:12" ht="15">
      <c r="A465" s="71"/>
      <c r="G465" s="37"/>
      <c r="H465" s="37"/>
      <c r="I465" s="37"/>
      <c r="J465" s="37"/>
      <c r="K465" s="37"/>
      <c r="L465" s="46"/>
    </row>
    <row r="466" spans="1:12" ht="15">
      <c r="A466" s="71"/>
      <c r="G466" s="37"/>
      <c r="H466" s="37"/>
      <c r="I466" s="37"/>
      <c r="J466" s="37"/>
      <c r="K466" s="37"/>
    </row>
    <row r="467" spans="1:12" ht="15">
      <c r="A467" s="71"/>
      <c r="G467" s="37"/>
      <c r="H467" s="37"/>
      <c r="I467" s="37"/>
      <c r="J467" s="37"/>
      <c r="K467" s="37"/>
    </row>
    <row r="468" spans="1:12" ht="15">
      <c r="A468" s="71"/>
      <c r="G468" s="37"/>
      <c r="H468" s="37"/>
      <c r="I468" s="37"/>
      <c r="J468" s="37"/>
      <c r="K468" s="37"/>
    </row>
    <row r="469" spans="1:12" ht="15">
      <c r="A469" s="71"/>
      <c r="G469" s="37"/>
      <c r="H469" s="37"/>
      <c r="I469" s="37"/>
      <c r="J469" s="37"/>
      <c r="K469" s="37"/>
    </row>
    <row r="470" spans="1:12" ht="15">
      <c r="A470" s="71"/>
      <c r="G470" s="37"/>
      <c r="H470" s="37"/>
      <c r="I470" s="37"/>
      <c r="J470" s="37"/>
      <c r="K470" s="37"/>
    </row>
    <row r="471" spans="1:12" ht="15">
      <c r="A471" s="71"/>
      <c r="G471" s="37"/>
      <c r="H471" s="37"/>
      <c r="I471" s="37"/>
      <c r="J471" s="37"/>
      <c r="K471" s="37"/>
    </row>
    <row r="472" spans="1:12" ht="15">
      <c r="A472" s="71"/>
      <c r="G472" s="37"/>
      <c r="H472" s="37"/>
      <c r="I472" s="37"/>
      <c r="J472" s="37"/>
      <c r="K472" s="37"/>
      <c r="L472" s="46"/>
    </row>
    <row r="473" spans="1:12" ht="15">
      <c r="A473" s="71"/>
      <c r="G473" s="37"/>
      <c r="H473" s="37"/>
      <c r="I473" s="37"/>
      <c r="J473" s="37"/>
      <c r="K473" s="37"/>
      <c r="L473" s="46"/>
    </row>
    <row r="474" spans="1:12" ht="15">
      <c r="A474" s="71"/>
      <c r="G474" s="37"/>
      <c r="H474" s="37"/>
      <c r="I474" s="37"/>
      <c r="J474" s="37"/>
      <c r="K474" s="37"/>
      <c r="L474" s="46"/>
    </row>
    <row r="475" spans="1:12" ht="15">
      <c r="A475" s="71"/>
      <c r="G475" s="37"/>
      <c r="H475" s="37"/>
      <c r="I475" s="37"/>
      <c r="J475" s="37"/>
      <c r="K475" s="37"/>
      <c r="L475" s="46"/>
    </row>
    <row r="476" spans="1:12" ht="15">
      <c r="A476" s="71"/>
      <c r="G476" s="37"/>
      <c r="H476" s="37"/>
      <c r="I476" s="37"/>
      <c r="J476" s="37"/>
      <c r="K476" s="37"/>
      <c r="L476" s="46"/>
    </row>
    <row r="477" spans="1:12" ht="15">
      <c r="A477" s="71"/>
      <c r="G477" s="37"/>
      <c r="H477" s="37"/>
      <c r="I477" s="37"/>
      <c r="J477" s="37"/>
      <c r="K477" s="37"/>
      <c r="L477" s="46"/>
    </row>
    <row r="478" spans="1:12" ht="15">
      <c r="A478" s="71"/>
      <c r="G478" s="37"/>
      <c r="H478" s="37"/>
      <c r="I478" s="37"/>
      <c r="J478" s="37"/>
      <c r="K478" s="37"/>
    </row>
    <row r="479" spans="1:12" ht="15">
      <c r="A479" s="71"/>
      <c r="G479" s="37"/>
      <c r="H479" s="37"/>
      <c r="I479" s="37"/>
      <c r="J479" s="37"/>
      <c r="K479" s="37"/>
    </row>
    <row r="480" spans="1:12" ht="15">
      <c r="A480" s="71"/>
      <c r="G480" s="37"/>
      <c r="H480" s="37"/>
      <c r="I480" s="37"/>
      <c r="J480" s="37"/>
      <c r="K480" s="37"/>
    </row>
    <row r="481" spans="1:12" ht="15">
      <c r="A481" s="71"/>
      <c r="G481" s="37"/>
      <c r="H481" s="37"/>
      <c r="I481" s="37"/>
      <c r="J481" s="37"/>
      <c r="K481" s="37"/>
    </row>
    <row r="482" spans="1:12" ht="15">
      <c r="A482" s="71"/>
      <c r="G482" s="37"/>
      <c r="H482" s="37"/>
      <c r="I482" s="37"/>
      <c r="J482" s="37"/>
      <c r="K482" s="37"/>
    </row>
    <row r="483" spans="1:12" ht="15">
      <c r="A483" s="71"/>
      <c r="G483" s="37"/>
      <c r="H483" s="37"/>
      <c r="I483" s="37"/>
      <c r="J483" s="37"/>
      <c r="K483" s="37"/>
    </row>
    <row r="484" spans="1:12" ht="15">
      <c r="A484" s="71"/>
      <c r="G484" s="37"/>
      <c r="H484" s="37"/>
      <c r="I484" s="37"/>
      <c r="J484" s="37"/>
      <c r="K484" s="37"/>
    </row>
    <row r="485" spans="1:12" ht="15">
      <c r="A485" s="71"/>
      <c r="G485" s="37"/>
      <c r="H485" s="37"/>
      <c r="I485" s="37"/>
      <c r="J485" s="37"/>
      <c r="K485" s="37"/>
      <c r="L485" s="47"/>
    </row>
    <row r="486" spans="1:12" ht="15">
      <c r="A486" s="71"/>
      <c r="G486" s="37"/>
      <c r="H486" s="37"/>
      <c r="I486" s="37"/>
      <c r="J486" s="37"/>
      <c r="K486" s="37"/>
    </row>
    <row r="487" spans="1:12" ht="15">
      <c r="A487" s="71"/>
      <c r="G487" s="37"/>
      <c r="H487" s="37"/>
      <c r="I487" s="37"/>
      <c r="J487" s="37"/>
      <c r="K487" s="37"/>
    </row>
    <row r="488" spans="1:12" ht="15">
      <c r="A488" s="71"/>
      <c r="G488" s="37"/>
      <c r="H488" s="37"/>
      <c r="I488" s="37"/>
      <c r="J488" s="37"/>
      <c r="K488" s="37"/>
    </row>
    <row r="489" spans="1:12" ht="15">
      <c r="A489" s="71"/>
      <c r="G489" s="37"/>
      <c r="H489" s="37"/>
      <c r="I489" s="37"/>
      <c r="J489" s="37"/>
      <c r="K489" s="37"/>
    </row>
    <row r="490" spans="1:12" ht="15">
      <c r="A490" s="71"/>
      <c r="G490" s="37"/>
      <c r="H490" s="37"/>
      <c r="I490" s="37"/>
      <c r="J490" s="37"/>
      <c r="K490" s="37"/>
      <c r="L490" s="47"/>
    </row>
    <row r="491" spans="1:12" ht="15">
      <c r="A491" s="71"/>
      <c r="G491" s="37"/>
      <c r="H491" s="37"/>
      <c r="I491" s="37"/>
      <c r="J491" s="37"/>
      <c r="K491" s="37"/>
    </row>
    <row r="492" spans="1:12" ht="15">
      <c r="A492" s="71"/>
      <c r="G492" s="37"/>
      <c r="H492" s="37"/>
      <c r="I492" s="37"/>
      <c r="J492" s="37"/>
      <c r="K492" s="37"/>
    </row>
    <row r="493" spans="1:12" ht="15">
      <c r="A493" s="71"/>
      <c r="G493" s="37"/>
      <c r="H493" s="37"/>
      <c r="I493" s="37"/>
      <c r="J493" s="37"/>
      <c r="K493" s="37"/>
      <c r="L493" s="46"/>
    </row>
    <row r="494" spans="1:12" ht="15">
      <c r="A494" s="71"/>
      <c r="G494" s="37"/>
      <c r="H494" s="37"/>
      <c r="I494" s="37"/>
      <c r="J494" s="37"/>
      <c r="K494" s="37"/>
    </row>
    <row r="495" spans="1:12" ht="15">
      <c r="A495" s="71"/>
      <c r="G495" s="37"/>
      <c r="H495" s="37"/>
      <c r="I495" s="37"/>
      <c r="J495" s="37"/>
      <c r="K495" s="37"/>
    </row>
    <row r="496" spans="1:12" ht="15">
      <c r="A496" s="71"/>
      <c r="G496" s="37"/>
      <c r="H496" s="37"/>
      <c r="I496" s="37"/>
      <c r="J496" s="37"/>
      <c r="K496" s="37"/>
    </row>
    <row r="497" spans="1:12" ht="15">
      <c r="A497" s="71"/>
      <c r="G497" s="37"/>
      <c r="H497" s="37"/>
      <c r="I497" s="37"/>
      <c r="J497" s="37"/>
      <c r="K497" s="37"/>
    </row>
    <row r="498" spans="1:12" ht="15">
      <c r="A498" s="71"/>
      <c r="G498" s="37"/>
      <c r="H498" s="37"/>
      <c r="I498" s="37"/>
      <c r="J498" s="37"/>
      <c r="K498" s="37"/>
    </row>
    <row r="499" spans="1:12" ht="15">
      <c r="A499" s="71"/>
      <c r="G499" s="37"/>
      <c r="H499" s="37"/>
      <c r="I499" s="37"/>
      <c r="J499" s="37"/>
      <c r="K499" s="37"/>
    </row>
    <row r="500" spans="1:12" ht="15">
      <c r="A500" s="71"/>
      <c r="G500" s="37"/>
      <c r="H500" s="37"/>
      <c r="I500" s="37"/>
      <c r="J500" s="37"/>
      <c r="K500" s="37"/>
    </row>
    <row r="501" spans="1:12" ht="15">
      <c r="A501" s="71"/>
      <c r="G501" s="37"/>
      <c r="H501" s="37"/>
      <c r="I501" s="37"/>
      <c r="J501" s="37"/>
      <c r="K501" s="37"/>
      <c r="L501" s="46"/>
    </row>
    <row r="502" spans="1:12" ht="15">
      <c r="A502" s="71"/>
      <c r="G502" s="37"/>
      <c r="H502" s="37"/>
      <c r="I502" s="37"/>
      <c r="J502" s="37"/>
      <c r="K502" s="37"/>
    </row>
    <row r="503" spans="1:12" ht="15">
      <c r="A503" s="71"/>
      <c r="G503" s="37"/>
      <c r="H503" s="37"/>
      <c r="I503" s="37"/>
      <c r="J503" s="37"/>
      <c r="K503" s="37"/>
    </row>
    <row r="504" spans="1:12" ht="15">
      <c r="A504" s="71"/>
      <c r="G504" s="37"/>
      <c r="H504" s="37"/>
      <c r="I504" s="37"/>
      <c r="J504" s="37"/>
      <c r="K504" s="37"/>
    </row>
    <row r="505" spans="1:12" ht="15">
      <c r="A505" s="71"/>
      <c r="G505" s="37"/>
      <c r="H505" s="37"/>
      <c r="I505" s="37"/>
      <c r="J505" s="37"/>
      <c r="K505" s="37"/>
    </row>
    <row r="506" spans="1:12" ht="15">
      <c r="A506" s="71"/>
      <c r="G506" s="37"/>
      <c r="H506" s="37"/>
      <c r="I506" s="37"/>
      <c r="J506" s="37"/>
      <c r="K506" s="37"/>
    </row>
    <row r="507" spans="1:12" ht="15">
      <c r="A507" s="71"/>
      <c r="G507" s="37"/>
      <c r="H507" s="37"/>
      <c r="I507" s="37"/>
      <c r="J507" s="37"/>
      <c r="K507" s="37"/>
    </row>
    <row r="508" spans="1:12" ht="15">
      <c r="A508" s="71"/>
      <c r="G508" s="37"/>
      <c r="H508" s="37"/>
      <c r="I508" s="37"/>
      <c r="J508" s="37"/>
      <c r="K508" s="37"/>
    </row>
    <row r="509" spans="1:12" ht="15">
      <c r="A509" s="71"/>
      <c r="G509" s="37"/>
      <c r="H509" s="37"/>
      <c r="I509" s="37"/>
      <c r="J509" s="37"/>
      <c r="K509" s="37"/>
    </row>
    <row r="510" spans="1:12" ht="15">
      <c r="A510" s="71"/>
      <c r="G510" s="37"/>
      <c r="H510" s="37"/>
      <c r="I510" s="37"/>
      <c r="J510" s="37"/>
      <c r="K510" s="37"/>
    </row>
    <row r="511" spans="1:12" ht="15">
      <c r="A511" s="71"/>
      <c r="G511" s="37"/>
      <c r="H511" s="37"/>
      <c r="I511" s="37"/>
      <c r="J511" s="37"/>
      <c r="K511" s="37"/>
    </row>
    <row r="512" spans="1:12" ht="15">
      <c r="A512" s="71"/>
      <c r="G512" s="37"/>
      <c r="H512" s="37"/>
      <c r="I512" s="37"/>
      <c r="J512" s="37"/>
      <c r="K512" s="37"/>
    </row>
    <row r="513" spans="1:12" ht="15">
      <c r="A513" s="71"/>
      <c r="G513" s="37"/>
      <c r="H513" s="37"/>
      <c r="I513" s="37"/>
      <c r="J513" s="37"/>
      <c r="K513" s="37"/>
      <c r="L513" s="46"/>
    </row>
    <row r="514" spans="1:12" ht="15">
      <c r="A514" s="71"/>
      <c r="G514" s="37"/>
      <c r="H514" s="37"/>
      <c r="I514" s="37"/>
      <c r="J514" s="37"/>
      <c r="K514" s="37"/>
    </row>
    <row r="515" spans="1:12" ht="15">
      <c r="A515" s="71"/>
      <c r="G515" s="37"/>
      <c r="H515" s="37"/>
      <c r="I515" s="37"/>
      <c r="J515" s="37"/>
      <c r="K515" s="37"/>
    </row>
    <row r="516" spans="1:12" ht="15">
      <c r="A516" s="71"/>
      <c r="G516" s="37"/>
      <c r="H516" s="37"/>
      <c r="I516" s="37"/>
      <c r="J516" s="37"/>
      <c r="K516" s="37"/>
    </row>
    <row r="517" spans="1:12" ht="15">
      <c r="A517" s="71"/>
      <c r="G517" s="37"/>
      <c r="H517" s="37"/>
      <c r="I517" s="37"/>
      <c r="J517" s="37"/>
      <c r="K517" s="37"/>
    </row>
    <row r="518" spans="1:12" ht="15">
      <c r="A518" s="71"/>
      <c r="G518" s="37"/>
      <c r="H518" s="37"/>
      <c r="I518" s="37"/>
      <c r="J518" s="37"/>
      <c r="K518" s="37"/>
    </row>
    <row r="519" spans="1:12" ht="15">
      <c r="A519" s="71"/>
      <c r="G519" s="37"/>
      <c r="H519" s="37"/>
      <c r="I519" s="37"/>
      <c r="J519" s="37"/>
      <c r="K519" s="37"/>
    </row>
    <row r="520" spans="1:12" ht="15">
      <c r="A520" s="71"/>
      <c r="G520" s="37"/>
      <c r="H520" s="37"/>
      <c r="I520" s="37"/>
      <c r="J520" s="37"/>
      <c r="K520" s="37"/>
    </row>
    <row r="521" spans="1:12" ht="15">
      <c r="A521" s="71"/>
      <c r="G521" s="37"/>
      <c r="H521" s="37"/>
      <c r="I521" s="37"/>
      <c r="J521" s="37"/>
      <c r="K521" s="37"/>
    </row>
    <row r="522" spans="1:12" ht="15">
      <c r="A522" s="71"/>
      <c r="G522" s="37"/>
      <c r="H522" s="37"/>
      <c r="I522" s="37"/>
      <c r="J522" s="37"/>
      <c r="K522" s="37"/>
    </row>
    <row r="523" spans="1:12" ht="15">
      <c r="A523" s="71"/>
      <c r="G523" s="37"/>
      <c r="H523" s="37"/>
      <c r="I523" s="37"/>
      <c r="J523" s="37"/>
      <c r="K523" s="37"/>
    </row>
    <row r="524" spans="1:12" ht="15">
      <c r="A524" s="71"/>
      <c r="G524" s="37"/>
      <c r="H524" s="37"/>
      <c r="I524" s="37"/>
      <c r="J524" s="37"/>
      <c r="K524" s="37"/>
    </row>
    <row r="525" spans="1:12" ht="15">
      <c r="A525" s="71"/>
      <c r="G525" s="37"/>
      <c r="H525" s="37"/>
      <c r="I525" s="37"/>
      <c r="J525" s="37"/>
      <c r="K525" s="37"/>
    </row>
    <row r="526" spans="1:12" ht="15">
      <c r="A526" s="71"/>
      <c r="G526" s="37"/>
      <c r="H526" s="37"/>
      <c r="I526" s="37"/>
      <c r="J526" s="37"/>
      <c r="K526" s="37"/>
    </row>
    <row r="527" spans="1:12" ht="15">
      <c r="A527" s="71"/>
      <c r="G527" s="37"/>
      <c r="H527" s="37"/>
      <c r="I527" s="37"/>
      <c r="J527" s="37"/>
      <c r="K527" s="37"/>
    </row>
    <row r="528" spans="1:12" ht="15">
      <c r="A528" s="71"/>
      <c r="G528" s="37"/>
      <c r="H528" s="37"/>
      <c r="I528" s="37"/>
      <c r="J528" s="37"/>
      <c r="K528" s="37"/>
    </row>
    <row r="529" spans="1:12" ht="15">
      <c r="A529" s="71"/>
      <c r="G529" s="37"/>
      <c r="H529" s="37"/>
      <c r="I529" s="37"/>
      <c r="J529" s="37"/>
      <c r="K529" s="37"/>
    </row>
    <row r="530" spans="1:12" ht="15">
      <c r="A530" s="71"/>
      <c r="G530" s="37"/>
      <c r="H530" s="37"/>
      <c r="I530" s="37"/>
      <c r="J530" s="37"/>
      <c r="K530" s="37"/>
    </row>
    <row r="531" spans="1:12" ht="15">
      <c r="A531" s="71"/>
      <c r="G531" s="37"/>
      <c r="H531" s="37"/>
      <c r="I531" s="37"/>
      <c r="J531" s="37"/>
      <c r="K531" s="37"/>
    </row>
    <row r="532" spans="1:12" ht="15">
      <c r="A532" s="71"/>
      <c r="G532" s="37"/>
      <c r="H532" s="37"/>
      <c r="I532" s="37"/>
      <c r="J532" s="37"/>
      <c r="K532" s="37"/>
    </row>
    <row r="533" spans="1:12" ht="15">
      <c r="A533" s="71"/>
      <c r="G533" s="37"/>
      <c r="H533" s="37"/>
      <c r="I533" s="37"/>
      <c r="J533" s="37"/>
      <c r="K533" s="37"/>
    </row>
    <row r="534" spans="1:12" ht="15">
      <c r="A534" s="71"/>
      <c r="G534" s="37"/>
      <c r="H534" s="37"/>
      <c r="I534" s="37"/>
      <c r="J534" s="37"/>
      <c r="K534" s="37"/>
    </row>
    <row r="535" spans="1:12" ht="15">
      <c r="A535" s="71"/>
      <c r="G535" s="37"/>
      <c r="H535" s="37"/>
      <c r="I535" s="37"/>
      <c r="J535" s="37"/>
      <c r="K535" s="37"/>
      <c r="L535" s="46"/>
    </row>
    <row r="536" spans="1:12" ht="15">
      <c r="A536" s="71"/>
      <c r="G536" s="37"/>
      <c r="H536" s="37"/>
      <c r="I536" s="37"/>
      <c r="J536" s="37"/>
      <c r="K536" s="37"/>
    </row>
    <row r="537" spans="1:12" ht="15">
      <c r="A537" s="71"/>
      <c r="G537" s="37"/>
      <c r="H537" s="37"/>
      <c r="I537" s="37"/>
      <c r="J537" s="37"/>
      <c r="K537" s="37"/>
    </row>
    <row r="538" spans="1:12" ht="15">
      <c r="A538" s="71"/>
      <c r="G538" s="37"/>
      <c r="H538" s="37"/>
      <c r="I538" s="37"/>
      <c r="J538" s="37"/>
      <c r="K538" s="37"/>
    </row>
    <row r="539" spans="1:12" ht="15">
      <c r="A539" s="71"/>
      <c r="G539" s="37"/>
      <c r="H539" s="37"/>
      <c r="I539" s="37"/>
      <c r="J539" s="37"/>
      <c r="K539" s="37"/>
    </row>
    <row r="540" spans="1:12" ht="15">
      <c r="A540" s="71"/>
      <c r="G540" s="37"/>
      <c r="H540" s="37"/>
      <c r="I540" s="37"/>
      <c r="J540" s="37"/>
      <c r="K540" s="37"/>
    </row>
    <row r="541" spans="1:12" ht="15">
      <c r="A541" s="71"/>
      <c r="G541" s="37"/>
      <c r="H541" s="37"/>
      <c r="I541" s="37"/>
      <c r="J541" s="37"/>
      <c r="K541" s="37"/>
    </row>
    <row r="542" spans="1:12" ht="15">
      <c r="A542" s="71"/>
      <c r="G542" s="37"/>
      <c r="H542" s="37"/>
      <c r="I542" s="37"/>
      <c r="J542" s="37"/>
      <c r="K542" s="37"/>
      <c r="L542" s="46"/>
    </row>
    <row r="543" spans="1:12" ht="15">
      <c r="A543" s="71"/>
      <c r="G543" s="37"/>
      <c r="H543" s="37"/>
      <c r="I543" s="37"/>
      <c r="J543" s="37"/>
      <c r="K543" s="37"/>
      <c r="L543" s="46"/>
    </row>
    <row r="544" spans="1:12" ht="15">
      <c r="A544" s="71"/>
      <c r="G544" s="37"/>
      <c r="H544" s="37"/>
      <c r="I544" s="37"/>
      <c r="J544" s="37"/>
      <c r="K544" s="37"/>
      <c r="L544" s="46"/>
    </row>
    <row r="545" spans="1:12" ht="15">
      <c r="A545" s="71"/>
      <c r="G545" s="37"/>
      <c r="H545" s="37"/>
      <c r="I545" s="37"/>
      <c r="J545" s="37"/>
      <c r="K545" s="37"/>
      <c r="L545" s="46"/>
    </row>
    <row r="546" spans="1:12" ht="15">
      <c r="A546" s="71"/>
      <c r="G546" s="37"/>
      <c r="H546" s="37"/>
      <c r="I546" s="37"/>
      <c r="J546" s="37"/>
      <c r="K546" s="37"/>
      <c r="L546" s="46"/>
    </row>
    <row r="547" spans="1:12" ht="15">
      <c r="A547" s="71"/>
      <c r="G547" s="37"/>
      <c r="H547" s="37"/>
      <c r="I547" s="37"/>
      <c r="J547" s="37"/>
      <c r="K547" s="37"/>
      <c r="L547" s="46"/>
    </row>
    <row r="548" spans="1:12" ht="15">
      <c r="A548" s="71"/>
      <c r="G548" s="37"/>
      <c r="H548" s="37"/>
      <c r="I548" s="37"/>
      <c r="J548" s="37"/>
      <c r="K548" s="37"/>
    </row>
    <row r="549" spans="1:12" ht="15">
      <c r="A549" s="71"/>
      <c r="G549" s="37"/>
      <c r="H549" s="37"/>
      <c r="I549" s="37"/>
      <c r="J549" s="37"/>
      <c r="K549" s="37"/>
    </row>
    <row r="550" spans="1:12" ht="15">
      <c r="A550" s="71"/>
      <c r="G550" s="37"/>
      <c r="H550" s="37"/>
      <c r="I550" s="37"/>
      <c r="J550" s="37"/>
      <c r="K550" s="37"/>
    </row>
    <row r="551" spans="1:12" ht="15">
      <c r="A551" s="71"/>
      <c r="G551" s="37"/>
      <c r="H551" s="37"/>
      <c r="I551" s="37"/>
      <c r="J551" s="37"/>
      <c r="K551" s="37"/>
    </row>
    <row r="552" spans="1:12" ht="15">
      <c r="A552" s="71"/>
      <c r="G552" s="37"/>
      <c r="H552" s="37"/>
      <c r="I552" s="37"/>
      <c r="J552" s="37"/>
      <c r="K552" s="37"/>
    </row>
    <row r="553" spans="1:12" ht="15">
      <c r="A553" s="71"/>
      <c r="G553" s="37"/>
      <c r="H553" s="37"/>
      <c r="I553" s="37"/>
      <c r="J553" s="37"/>
      <c r="K553" s="37"/>
    </row>
    <row r="554" spans="1:12" ht="15">
      <c r="A554" s="71"/>
      <c r="G554" s="37"/>
      <c r="H554" s="37"/>
      <c r="I554" s="37"/>
      <c r="J554" s="37"/>
      <c r="K554" s="37"/>
    </row>
    <row r="555" spans="1:12" ht="15">
      <c r="A555" s="71"/>
      <c r="G555" s="37"/>
      <c r="H555" s="37"/>
      <c r="I555" s="37"/>
      <c r="J555" s="37"/>
      <c r="K555" s="37"/>
      <c r="L555" s="47"/>
    </row>
    <row r="556" spans="1:12" ht="15">
      <c r="A556" s="71"/>
      <c r="G556" s="37"/>
      <c r="H556" s="37"/>
      <c r="I556" s="37"/>
      <c r="J556" s="37"/>
      <c r="K556" s="37"/>
    </row>
    <row r="557" spans="1:12" ht="15">
      <c r="A557" s="71"/>
      <c r="G557" s="37"/>
      <c r="H557" s="37"/>
      <c r="I557" s="37"/>
      <c r="J557" s="37"/>
      <c r="K557" s="37"/>
    </row>
    <row r="558" spans="1:12" ht="15">
      <c r="A558" s="71"/>
      <c r="G558" s="37"/>
      <c r="H558" s="37"/>
      <c r="I558" s="37"/>
      <c r="J558" s="37"/>
      <c r="K558" s="37"/>
    </row>
    <row r="559" spans="1:12" ht="15">
      <c r="A559" s="71"/>
      <c r="G559" s="37"/>
      <c r="H559" s="37"/>
      <c r="I559" s="37"/>
      <c r="J559" s="37"/>
      <c r="K559" s="37"/>
    </row>
    <row r="560" spans="1:12" ht="15">
      <c r="A560" s="71"/>
      <c r="G560" s="37"/>
      <c r="H560" s="37"/>
      <c r="I560" s="37"/>
      <c r="J560" s="37"/>
      <c r="K560" s="37"/>
      <c r="L560" s="47"/>
    </row>
    <row r="561" spans="1:12" ht="15">
      <c r="A561" s="71"/>
      <c r="G561" s="37"/>
      <c r="H561" s="37"/>
      <c r="I561" s="37"/>
      <c r="J561" s="37"/>
      <c r="K561" s="37"/>
    </row>
    <row r="562" spans="1:12" ht="15">
      <c r="A562" s="71"/>
      <c r="G562" s="37"/>
      <c r="H562" s="37"/>
      <c r="I562" s="37"/>
      <c r="J562" s="37"/>
      <c r="K562" s="37"/>
    </row>
    <row r="563" spans="1:12" ht="15">
      <c r="A563" s="71"/>
      <c r="G563" s="37"/>
      <c r="H563" s="37"/>
      <c r="I563" s="37"/>
      <c r="J563" s="37"/>
      <c r="K563" s="37"/>
      <c r="L563" s="46"/>
    </row>
    <row r="564" spans="1:12" ht="15">
      <c r="A564" s="71"/>
      <c r="G564" s="37"/>
      <c r="H564" s="37"/>
      <c r="I564" s="37"/>
      <c r="J564" s="37"/>
      <c r="K564" s="37"/>
    </row>
    <row r="565" spans="1:12" ht="15">
      <c r="A565" s="71"/>
      <c r="G565" s="37"/>
      <c r="H565" s="37"/>
      <c r="I565" s="37"/>
      <c r="J565" s="37"/>
      <c r="K565" s="37"/>
    </row>
    <row r="566" spans="1:12" ht="15">
      <c r="A566" s="71"/>
      <c r="G566" s="37"/>
      <c r="H566" s="37"/>
      <c r="I566" s="37"/>
      <c r="J566" s="37"/>
      <c r="K566" s="37"/>
    </row>
    <row r="567" spans="1:12" ht="15">
      <c r="A567" s="71"/>
      <c r="G567" s="37"/>
      <c r="H567" s="37"/>
      <c r="I567" s="37"/>
      <c r="J567" s="37"/>
      <c r="K567" s="37"/>
    </row>
    <row r="568" spans="1:12" ht="15">
      <c r="A568" s="71"/>
      <c r="G568" s="37"/>
      <c r="H568" s="37"/>
      <c r="I568" s="37"/>
      <c r="J568" s="37"/>
      <c r="K568" s="37"/>
    </row>
    <row r="569" spans="1:12" ht="15">
      <c r="A569" s="71"/>
      <c r="G569" s="37"/>
      <c r="H569" s="37"/>
      <c r="I569" s="37"/>
      <c r="J569" s="37"/>
      <c r="K569" s="37"/>
    </row>
    <row r="570" spans="1:12" ht="15">
      <c r="A570" s="71"/>
      <c r="G570" s="37"/>
      <c r="H570" s="37"/>
      <c r="I570" s="37"/>
      <c r="J570" s="37"/>
      <c r="K570" s="37"/>
    </row>
    <row r="571" spans="1:12" ht="15">
      <c r="A571" s="71"/>
      <c r="G571" s="37"/>
      <c r="H571" s="37"/>
      <c r="I571" s="37"/>
      <c r="J571" s="37"/>
      <c r="K571" s="37"/>
      <c r="L571" s="46"/>
    </row>
    <row r="572" spans="1:12" ht="15">
      <c r="A572" s="71"/>
      <c r="G572" s="37"/>
      <c r="H572" s="37"/>
      <c r="I572" s="37"/>
      <c r="J572" s="37"/>
      <c r="K572" s="37"/>
    </row>
    <row r="573" spans="1:12" ht="15">
      <c r="A573" s="71"/>
      <c r="G573" s="37"/>
      <c r="H573" s="37"/>
      <c r="I573" s="37"/>
      <c r="J573" s="37"/>
      <c r="K573" s="37"/>
    </row>
    <row r="574" spans="1:12" ht="15">
      <c r="A574" s="71"/>
      <c r="G574" s="37"/>
      <c r="H574" s="37"/>
      <c r="I574" s="37"/>
      <c r="J574" s="37"/>
      <c r="K574" s="37"/>
    </row>
    <row r="575" spans="1:12" ht="15">
      <c r="A575" s="71"/>
      <c r="G575" s="37"/>
      <c r="H575" s="37"/>
      <c r="I575" s="37"/>
      <c r="J575" s="37"/>
      <c r="K575" s="37"/>
    </row>
    <row r="576" spans="1:12" ht="15">
      <c r="A576" s="71"/>
      <c r="G576" s="37"/>
      <c r="H576" s="37"/>
      <c r="I576" s="37"/>
      <c r="J576" s="37"/>
      <c r="K576" s="37"/>
    </row>
    <row r="577" spans="1:12" ht="15">
      <c r="A577" s="71"/>
      <c r="G577" s="37"/>
      <c r="H577" s="37"/>
      <c r="I577" s="37"/>
      <c r="J577" s="37"/>
      <c r="K577" s="37"/>
    </row>
    <row r="578" spans="1:12" ht="15">
      <c r="A578" s="71"/>
      <c r="G578" s="37"/>
      <c r="H578" s="37"/>
      <c r="I578" s="37"/>
      <c r="J578" s="37"/>
      <c r="K578" s="37"/>
    </row>
    <row r="579" spans="1:12" ht="15">
      <c r="A579" s="71"/>
      <c r="G579" s="37"/>
      <c r="H579" s="37"/>
      <c r="I579" s="37"/>
      <c r="J579" s="37"/>
      <c r="K579" s="37"/>
    </row>
    <row r="580" spans="1:12" ht="15">
      <c r="A580" s="71"/>
      <c r="G580" s="37"/>
      <c r="H580" s="37"/>
      <c r="I580" s="37"/>
      <c r="J580" s="37"/>
      <c r="K580" s="37"/>
    </row>
    <row r="581" spans="1:12" ht="15">
      <c r="A581" s="71"/>
      <c r="G581" s="37"/>
      <c r="H581" s="37"/>
      <c r="I581" s="37"/>
      <c r="J581" s="37"/>
      <c r="K581" s="37"/>
    </row>
    <row r="582" spans="1:12" ht="15">
      <c r="A582" s="71"/>
      <c r="G582" s="37"/>
      <c r="H582" s="37"/>
      <c r="I582" s="37"/>
      <c r="J582" s="37"/>
      <c r="K582" s="37"/>
    </row>
    <row r="583" spans="1:12" ht="15">
      <c r="A583" s="71"/>
      <c r="G583" s="37"/>
      <c r="H583" s="37"/>
      <c r="I583" s="37"/>
      <c r="J583" s="37"/>
      <c r="K583" s="37"/>
      <c r="L583" s="46"/>
    </row>
    <row r="584" spans="1:12" ht="15">
      <c r="A584" s="71"/>
      <c r="G584" s="37"/>
      <c r="H584" s="37"/>
      <c r="I584" s="37"/>
      <c r="J584" s="37"/>
      <c r="K584" s="37"/>
    </row>
    <row r="585" spans="1:12" ht="15">
      <c r="A585" s="71"/>
      <c r="G585" s="37"/>
      <c r="H585" s="37"/>
      <c r="I585" s="37"/>
      <c r="J585" s="37"/>
      <c r="K585" s="37"/>
    </row>
    <row r="586" spans="1:12" ht="15">
      <c r="A586" s="71"/>
      <c r="G586" s="37"/>
      <c r="H586" s="37"/>
      <c r="I586" s="37"/>
      <c r="J586" s="37"/>
      <c r="K586" s="37"/>
    </row>
    <row r="587" spans="1:12" ht="15">
      <c r="A587" s="71"/>
      <c r="G587" s="37"/>
      <c r="H587" s="37"/>
      <c r="I587" s="37"/>
      <c r="J587" s="37"/>
      <c r="K587" s="37"/>
    </row>
    <row r="588" spans="1:12" ht="15">
      <c r="A588" s="71"/>
      <c r="G588" s="37"/>
      <c r="H588" s="37"/>
      <c r="I588" s="37"/>
      <c r="J588" s="37"/>
      <c r="K588" s="37"/>
    </row>
    <row r="589" spans="1:12" ht="15">
      <c r="A589" s="71"/>
      <c r="G589" s="37"/>
      <c r="H589" s="37"/>
      <c r="I589" s="37"/>
      <c r="J589" s="37"/>
      <c r="K589" s="37"/>
    </row>
    <row r="590" spans="1:12" ht="15">
      <c r="A590" s="71"/>
      <c r="G590" s="37"/>
      <c r="H590" s="37"/>
      <c r="I590" s="37"/>
      <c r="J590" s="37"/>
      <c r="K590" s="37"/>
    </row>
    <row r="591" spans="1:12" ht="15">
      <c r="A591" s="71"/>
      <c r="G591" s="37"/>
      <c r="H591" s="37"/>
      <c r="I591" s="37"/>
      <c r="J591" s="37"/>
      <c r="K591" s="37"/>
    </row>
    <row r="592" spans="1:12" ht="15">
      <c r="A592" s="71"/>
      <c r="G592" s="37"/>
      <c r="H592" s="37"/>
      <c r="I592" s="37"/>
      <c r="J592" s="37"/>
      <c r="K592" s="37"/>
    </row>
    <row r="593" spans="1:12" ht="15">
      <c r="A593" s="71"/>
      <c r="G593" s="37"/>
      <c r="H593" s="37"/>
      <c r="I593" s="37"/>
      <c r="J593" s="37"/>
      <c r="K593" s="37"/>
    </row>
    <row r="594" spans="1:12" ht="15">
      <c r="A594" s="71"/>
      <c r="G594" s="37"/>
      <c r="H594" s="37"/>
      <c r="I594" s="37"/>
      <c r="J594" s="37"/>
      <c r="K594" s="37"/>
    </row>
    <row r="595" spans="1:12" ht="15">
      <c r="A595" s="71"/>
      <c r="G595" s="37"/>
      <c r="H595" s="37"/>
      <c r="I595" s="37"/>
      <c r="J595" s="37"/>
      <c r="K595" s="37"/>
    </row>
    <row r="596" spans="1:12" ht="15">
      <c r="A596" s="71"/>
      <c r="G596" s="37"/>
      <c r="H596" s="37"/>
      <c r="I596" s="37"/>
      <c r="J596" s="37"/>
      <c r="K596" s="37"/>
    </row>
    <row r="597" spans="1:12" ht="15">
      <c r="A597" s="71"/>
      <c r="G597" s="37"/>
      <c r="H597" s="37"/>
      <c r="I597" s="37"/>
      <c r="J597" s="37"/>
      <c r="K597" s="37"/>
    </row>
    <row r="598" spans="1:12" ht="15">
      <c r="A598" s="71"/>
      <c r="G598" s="37"/>
      <c r="H598" s="37"/>
      <c r="I598" s="37"/>
      <c r="J598" s="37"/>
      <c r="K598" s="37"/>
    </row>
    <row r="599" spans="1:12" ht="15">
      <c r="A599" s="71"/>
      <c r="G599" s="37"/>
      <c r="H599" s="37"/>
      <c r="I599" s="37"/>
      <c r="J599" s="37"/>
      <c r="K599" s="37"/>
    </row>
    <row r="600" spans="1:12" ht="15">
      <c r="A600" s="71"/>
      <c r="G600" s="37"/>
      <c r="H600" s="37"/>
      <c r="I600" s="37"/>
      <c r="J600" s="37"/>
      <c r="K600" s="37"/>
    </row>
    <row r="601" spans="1:12" ht="15">
      <c r="A601" s="71"/>
      <c r="G601" s="37"/>
      <c r="H601" s="37"/>
      <c r="I601" s="37"/>
      <c r="J601" s="37"/>
      <c r="K601" s="37"/>
    </row>
    <row r="602" spans="1:12" ht="15">
      <c r="A602" s="71"/>
      <c r="G602" s="37"/>
      <c r="H602" s="37"/>
      <c r="I602" s="37"/>
      <c r="J602" s="37"/>
      <c r="K602" s="37"/>
    </row>
    <row r="603" spans="1:12" ht="15">
      <c r="A603" s="71"/>
      <c r="G603" s="37"/>
      <c r="H603" s="37"/>
      <c r="I603" s="37"/>
      <c r="J603" s="37"/>
      <c r="K603" s="37"/>
    </row>
    <row r="604" spans="1:12" ht="15">
      <c r="A604" s="71"/>
      <c r="G604" s="37"/>
      <c r="H604" s="37"/>
      <c r="I604" s="37"/>
      <c r="J604" s="37"/>
      <c r="K604" s="37"/>
    </row>
    <row r="605" spans="1:12" ht="15">
      <c r="A605" s="71"/>
      <c r="G605" s="37"/>
      <c r="H605" s="37"/>
      <c r="I605" s="37"/>
      <c r="J605" s="37"/>
      <c r="K605" s="37"/>
      <c r="L605" s="46"/>
    </row>
    <row r="606" spans="1:12" ht="15">
      <c r="A606" s="71"/>
      <c r="G606" s="37"/>
      <c r="H606" s="37"/>
      <c r="I606" s="37"/>
      <c r="J606" s="37"/>
      <c r="K606" s="37"/>
    </row>
    <row r="607" spans="1:12" ht="15">
      <c r="A607" s="71"/>
      <c r="G607" s="37"/>
      <c r="H607" s="37"/>
      <c r="I607" s="37"/>
      <c r="J607" s="37"/>
      <c r="K607" s="37"/>
    </row>
    <row r="608" spans="1:12" ht="15">
      <c r="A608" s="71"/>
      <c r="G608" s="37"/>
      <c r="H608" s="37"/>
      <c r="I608" s="37"/>
      <c r="J608" s="37"/>
      <c r="K608" s="37"/>
    </row>
    <row r="609" spans="1:12" ht="15">
      <c r="A609" s="71"/>
      <c r="G609" s="37"/>
      <c r="H609" s="37"/>
      <c r="I609" s="37"/>
      <c r="J609" s="37"/>
      <c r="K609" s="37"/>
    </row>
    <row r="610" spans="1:12" ht="15">
      <c r="A610" s="71"/>
      <c r="G610" s="37"/>
      <c r="H610" s="37"/>
      <c r="I610" s="37"/>
      <c r="J610" s="37"/>
      <c r="K610" s="37"/>
    </row>
    <row r="611" spans="1:12" ht="15">
      <c r="A611" s="71"/>
      <c r="G611" s="37"/>
      <c r="H611" s="37"/>
      <c r="I611" s="37"/>
      <c r="J611" s="37"/>
      <c r="K611" s="37"/>
    </row>
    <row r="612" spans="1:12" ht="15">
      <c r="A612" s="71"/>
      <c r="G612" s="37"/>
      <c r="H612" s="37"/>
      <c r="I612" s="37"/>
      <c r="J612" s="37"/>
      <c r="K612" s="37"/>
      <c r="L612" s="46"/>
    </row>
    <row r="613" spans="1:12" ht="15">
      <c r="A613" s="71"/>
      <c r="G613" s="37"/>
      <c r="H613" s="37"/>
      <c r="I613" s="37"/>
      <c r="J613" s="37"/>
      <c r="K613" s="37"/>
      <c r="L613" s="46"/>
    </row>
    <row r="614" spans="1:12" ht="15">
      <c r="A614" s="71"/>
      <c r="G614" s="37"/>
      <c r="H614" s="37"/>
      <c r="I614" s="37"/>
      <c r="J614" s="37"/>
      <c r="K614" s="37"/>
      <c r="L614" s="46"/>
    </row>
    <row r="615" spans="1:12" ht="15">
      <c r="A615" s="71"/>
      <c r="G615" s="37"/>
      <c r="H615" s="37"/>
      <c r="I615" s="37"/>
      <c r="J615" s="37"/>
      <c r="K615" s="37"/>
      <c r="L615" s="46"/>
    </row>
    <row r="616" spans="1:12" ht="15">
      <c r="A616" s="71"/>
      <c r="G616" s="37"/>
      <c r="H616" s="37"/>
      <c r="I616" s="37"/>
      <c r="J616" s="37"/>
      <c r="K616" s="37"/>
      <c r="L616" s="46"/>
    </row>
    <row r="617" spans="1:12" ht="15">
      <c r="A617" s="71"/>
      <c r="G617" s="37"/>
      <c r="H617" s="37"/>
      <c r="I617" s="37"/>
      <c r="J617" s="37"/>
      <c r="K617" s="37"/>
      <c r="L617" s="46"/>
    </row>
    <row r="618" spans="1:12" ht="15">
      <c r="A618" s="71"/>
      <c r="G618" s="37"/>
      <c r="H618" s="37"/>
      <c r="I618" s="37"/>
      <c r="J618" s="37"/>
      <c r="K618" s="37"/>
    </row>
    <row r="619" spans="1:12" ht="15">
      <c r="A619" s="71"/>
      <c r="G619" s="37"/>
      <c r="H619" s="37"/>
      <c r="I619" s="37"/>
      <c r="J619" s="37"/>
      <c r="K619" s="37"/>
    </row>
    <row r="620" spans="1:12" ht="15">
      <c r="A620" s="71"/>
      <c r="G620" s="37"/>
      <c r="H620" s="37"/>
      <c r="I620" s="37"/>
      <c r="J620" s="37"/>
      <c r="K620" s="37"/>
    </row>
    <row r="621" spans="1:12" ht="15">
      <c r="A621" s="71"/>
      <c r="G621" s="37"/>
      <c r="H621" s="37"/>
      <c r="I621" s="37"/>
      <c r="J621" s="37"/>
      <c r="K621" s="37"/>
    </row>
    <row r="622" spans="1:12" ht="15">
      <c r="A622" s="71"/>
      <c r="G622" s="37"/>
      <c r="H622" s="37"/>
      <c r="I622" s="37"/>
      <c r="J622" s="37"/>
      <c r="K622" s="37"/>
    </row>
    <row r="623" spans="1:12" ht="15">
      <c r="A623" s="71"/>
      <c r="G623" s="37"/>
      <c r="H623" s="37"/>
      <c r="I623" s="37"/>
      <c r="J623" s="37"/>
      <c r="K623" s="37"/>
    </row>
    <row r="624" spans="1:12" ht="15">
      <c r="A624" s="71"/>
      <c r="G624" s="37"/>
      <c r="H624" s="37"/>
      <c r="I624" s="37"/>
      <c r="J624" s="37"/>
      <c r="K624" s="37"/>
    </row>
    <row r="625" spans="1:12" ht="15">
      <c r="A625" s="71"/>
      <c r="G625" s="37"/>
      <c r="H625" s="37"/>
      <c r="I625" s="37"/>
      <c r="J625" s="37"/>
      <c r="K625" s="37"/>
      <c r="L625" s="47"/>
    </row>
    <row r="626" spans="1:12" ht="15">
      <c r="A626" s="71"/>
      <c r="G626" s="37"/>
      <c r="H626" s="37"/>
      <c r="I626" s="37"/>
      <c r="J626" s="37"/>
      <c r="K626" s="37"/>
    </row>
    <row r="627" spans="1:12" ht="15">
      <c r="A627" s="71"/>
      <c r="G627" s="37"/>
      <c r="H627" s="37"/>
      <c r="I627" s="37"/>
      <c r="J627" s="37"/>
      <c r="K627" s="37"/>
    </row>
    <row r="628" spans="1:12" ht="15">
      <c r="A628" s="71"/>
      <c r="G628" s="37"/>
      <c r="H628" s="37"/>
      <c r="I628" s="37"/>
      <c r="J628" s="37"/>
      <c r="K628" s="37"/>
    </row>
    <row r="629" spans="1:12" ht="15">
      <c r="A629" s="71"/>
      <c r="G629" s="37"/>
      <c r="H629" s="37"/>
      <c r="I629" s="37"/>
      <c r="J629" s="37"/>
      <c r="K629" s="37"/>
    </row>
    <row r="630" spans="1:12" ht="15">
      <c r="A630" s="71"/>
      <c r="G630" s="37"/>
      <c r="H630" s="37"/>
      <c r="I630" s="37"/>
      <c r="J630" s="37"/>
      <c r="K630" s="37"/>
      <c r="L630" s="47"/>
    </row>
    <row r="631" spans="1:12" ht="15">
      <c r="A631" s="71"/>
      <c r="G631" s="37"/>
      <c r="H631" s="37"/>
      <c r="I631" s="37"/>
      <c r="J631" s="37"/>
      <c r="K631" s="37"/>
    </row>
    <row r="632" spans="1:12" ht="15">
      <c r="A632" s="71"/>
      <c r="G632" s="37"/>
      <c r="H632" s="37"/>
      <c r="I632" s="37"/>
      <c r="J632" s="37"/>
      <c r="K632" s="37"/>
    </row>
    <row r="633" spans="1:12" ht="15">
      <c r="A633" s="71"/>
      <c r="G633" s="37"/>
      <c r="H633" s="37"/>
      <c r="I633" s="37"/>
      <c r="J633" s="37"/>
      <c r="K633" s="37"/>
      <c r="L633" s="46"/>
    </row>
    <row r="634" spans="1:12" ht="15">
      <c r="A634" s="71"/>
      <c r="G634" s="37"/>
      <c r="H634" s="37"/>
      <c r="I634" s="37"/>
      <c r="J634" s="37"/>
      <c r="K634" s="37"/>
    </row>
    <row r="635" spans="1:12" ht="15">
      <c r="A635" s="71"/>
      <c r="G635" s="37"/>
      <c r="H635" s="37"/>
      <c r="I635" s="37"/>
      <c r="J635" s="37"/>
      <c r="K635" s="37"/>
    </row>
    <row r="636" spans="1:12" ht="15">
      <c r="A636" s="71"/>
      <c r="G636" s="37"/>
      <c r="H636" s="37"/>
      <c r="I636" s="37"/>
      <c r="J636" s="37"/>
      <c r="K636" s="37"/>
    </row>
    <row r="637" spans="1:12" ht="15">
      <c r="A637" s="71"/>
      <c r="G637" s="37"/>
      <c r="H637" s="37"/>
      <c r="I637" s="37"/>
      <c r="J637" s="37"/>
      <c r="K637" s="37"/>
    </row>
    <row r="638" spans="1:12" ht="15">
      <c r="A638" s="71"/>
      <c r="G638" s="37"/>
      <c r="H638" s="37"/>
      <c r="I638" s="37"/>
      <c r="J638" s="37"/>
      <c r="K638" s="37"/>
    </row>
    <row r="639" spans="1:12" ht="15">
      <c r="A639" s="71"/>
      <c r="G639" s="37"/>
      <c r="H639" s="37"/>
      <c r="I639" s="37"/>
      <c r="J639" s="37"/>
      <c r="K639" s="37"/>
    </row>
    <row r="640" spans="1:12" ht="15">
      <c r="A640" s="71"/>
      <c r="G640" s="37"/>
      <c r="H640" s="37"/>
      <c r="I640" s="37"/>
      <c r="J640" s="37"/>
      <c r="K640" s="37"/>
    </row>
    <row r="641" spans="1:12" ht="15">
      <c r="A641" s="71"/>
      <c r="G641" s="37"/>
      <c r="H641" s="37"/>
      <c r="I641" s="37"/>
      <c r="J641" s="37"/>
      <c r="K641" s="37"/>
      <c r="L641" s="46"/>
    </row>
    <row r="642" spans="1:12" ht="15">
      <c r="A642" s="71"/>
      <c r="G642" s="37"/>
      <c r="H642" s="37"/>
      <c r="I642" s="37"/>
      <c r="J642" s="37"/>
      <c r="K642" s="37"/>
    </row>
    <row r="643" spans="1:12" ht="15">
      <c r="A643" s="71"/>
      <c r="G643" s="37"/>
      <c r="H643" s="37"/>
      <c r="I643" s="37"/>
      <c r="J643" s="37"/>
      <c r="K643" s="37"/>
    </row>
    <row r="644" spans="1:12" ht="15">
      <c r="A644" s="71"/>
      <c r="G644" s="37"/>
      <c r="H644" s="37"/>
      <c r="I644" s="37"/>
      <c r="J644" s="37"/>
      <c r="K644" s="37"/>
    </row>
    <row r="645" spans="1:12" ht="15">
      <c r="A645" s="71"/>
      <c r="G645" s="37"/>
      <c r="H645" s="37"/>
      <c r="I645" s="37"/>
      <c r="J645" s="37"/>
      <c r="K645" s="37"/>
    </row>
    <row r="646" spans="1:12" ht="15">
      <c r="A646" s="71"/>
      <c r="G646" s="37"/>
      <c r="H646" s="37"/>
      <c r="I646" s="37"/>
      <c r="J646" s="37"/>
      <c r="K646" s="37"/>
    </row>
    <row r="647" spans="1:12" ht="15">
      <c r="A647" s="71"/>
      <c r="G647" s="37"/>
      <c r="H647" s="37"/>
      <c r="I647" s="37"/>
      <c r="J647" s="37"/>
      <c r="K647" s="37"/>
    </row>
    <row r="648" spans="1:12" ht="15">
      <c r="A648" s="71"/>
      <c r="G648" s="37"/>
      <c r="H648" s="37"/>
      <c r="I648" s="37"/>
      <c r="J648" s="37"/>
      <c r="K648" s="37"/>
    </row>
    <row r="649" spans="1:12" ht="15">
      <c r="A649" s="71"/>
      <c r="G649" s="37"/>
      <c r="H649" s="37"/>
      <c r="I649" s="37"/>
      <c r="J649" s="37"/>
      <c r="K649" s="37"/>
    </row>
    <row r="650" spans="1:12" ht="15">
      <c r="A650" s="71"/>
      <c r="G650" s="37"/>
      <c r="H650" s="37"/>
      <c r="I650" s="37"/>
      <c r="J650" s="37"/>
      <c r="K650" s="37"/>
    </row>
    <row r="651" spans="1:12" ht="15">
      <c r="A651" s="71"/>
      <c r="G651" s="37"/>
      <c r="H651" s="37"/>
      <c r="I651" s="37"/>
      <c r="J651" s="37"/>
      <c r="K651" s="37"/>
    </row>
    <row r="652" spans="1:12" ht="15">
      <c r="A652" s="71"/>
      <c r="G652" s="37"/>
      <c r="H652" s="37"/>
      <c r="I652" s="37"/>
      <c r="J652" s="37"/>
      <c r="K652" s="37"/>
    </row>
    <row r="653" spans="1:12" ht="15">
      <c r="A653" s="71"/>
      <c r="G653" s="37"/>
      <c r="H653" s="37"/>
      <c r="I653" s="37"/>
      <c r="J653" s="37"/>
      <c r="K653" s="37"/>
      <c r="L653" s="46"/>
    </row>
    <row r="654" spans="1:12" ht="15">
      <c r="A654" s="71"/>
      <c r="G654" s="37"/>
      <c r="H654" s="37"/>
      <c r="I654" s="37"/>
      <c r="J654" s="37"/>
      <c r="K654" s="37"/>
    </row>
    <row r="655" spans="1:12" ht="15">
      <c r="A655" s="71"/>
      <c r="G655" s="37"/>
      <c r="H655" s="37"/>
      <c r="I655" s="37"/>
      <c r="J655" s="37"/>
      <c r="K655" s="37"/>
    </row>
    <row r="656" spans="1:12" ht="15">
      <c r="A656" s="71"/>
      <c r="G656" s="37"/>
      <c r="H656" s="37"/>
      <c r="I656" s="37"/>
      <c r="J656" s="37"/>
      <c r="K656" s="37"/>
    </row>
    <row r="657" spans="1:11" ht="15">
      <c r="A657" s="71"/>
      <c r="G657" s="37"/>
      <c r="H657" s="37"/>
      <c r="I657" s="37"/>
      <c r="J657" s="37"/>
      <c r="K657" s="37"/>
    </row>
    <row r="658" spans="1:11" ht="15">
      <c r="A658" s="71"/>
      <c r="G658" s="37"/>
      <c r="H658" s="37"/>
      <c r="I658" s="37"/>
      <c r="J658" s="37"/>
      <c r="K658" s="37"/>
    </row>
    <row r="659" spans="1:11" ht="15">
      <c r="A659" s="71"/>
      <c r="G659" s="37"/>
      <c r="H659" s="37"/>
      <c r="I659" s="37"/>
      <c r="J659" s="37"/>
      <c r="K659" s="37"/>
    </row>
    <row r="660" spans="1:11" ht="15">
      <c r="A660" s="71"/>
      <c r="G660" s="37"/>
      <c r="H660" s="37"/>
      <c r="I660" s="37"/>
      <c r="J660" s="37"/>
      <c r="K660" s="37"/>
    </row>
    <row r="661" spans="1:11" ht="15">
      <c r="A661" s="71"/>
      <c r="G661" s="37"/>
      <c r="H661" s="37"/>
      <c r="I661" s="37"/>
      <c r="J661" s="37"/>
      <c r="K661" s="37"/>
    </row>
    <row r="662" spans="1:11" ht="15">
      <c r="A662" s="71"/>
      <c r="G662" s="37"/>
      <c r="H662" s="37"/>
      <c r="I662" s="37"/>
      <c r="J662" s="37"/>
      <c r="K662" s="37"/>
    </row>
    <row r="663" spans="1:11" ht="15">
      <c r="A663" s="71"/>
      <c r="G663" s="37"/>
      <c r="H663" s="37"/>
      <c r="I663" s="37"/>
      <c r="J663" s="37"/>
      <c r="K663" s="37"/>
    </row>
    <row r="664" spans="1:11" ht="15">
      <c r="A664" s="71"/>
      <c r="G664" s="37"/>
      <c r="H664" s="37"/>
      <c r="I664" s="37"/>
      <c r="J664" s="37"/>
      <c r="K664" s="37"/>
    </row>
    <row r="665" spans="1:11" ht="15">
      <c r="A665" s="71"/>
      <c r="G665" s="37"/>
      <c r="H665" s="37"/>
      <c r="I665" s="37"/>
      <c r="J665" s="37"/>
      <c r="K665" s="37"/>
    </row>
    <row r="666" spans="1:11" ht="15">
      <c r="A666" s="71"/>
      <c r="G666" s="37"/>
      <c r="H666" s="37"/>
      <c r="I666" s="37"/>
      <c r="J666" s="37"/>
      <c r="K666" s="37"/>
    </row>
    <row r="667" spans="1:11" ht="15">
      <c r="A667" s="71"/>
      <c r="G667" s="37"/>
      <c r="H667" s="37"/>
      <c r="I667" s="37"/>
      <c r="J667" s="37"/>
      <c r="K667" s="37"/>
    </row>
    <row r="668" spans="1:11" ht="15">
      <c r="A668" s="71"/>
      <c r="G668" s="37"/>
      <c r="H668" s="37"/>
      <c r="I668" s="37"/>
      <c r="J668" s="37"/>
      <c r="K668" s="37"/>
    </row>
    <row r="669" spans="1:11" ht="15">
      <c r="A669" s="71"/>
      <c r="G669" s="37"/>
      <c r="H669" s="37"/>
      <c r="I669" s="37"/>
      <c r="J669" s="37"/>
      <c r="K669" s="37"/>
    </row>
    <row r="670" spans="1:11" ht="15">
      <c r="A670" s="71"/>
      <c r="G670" s="37"/>
      <c r="H670" s="37"/>
      <c r="I670" s="37"/>
      <c r="J670" s="37"/>
      <c r="K670" s="37"/>
    </row>
    <row r="671" spans="1:11" ht="15">
      <c r="A671" s="71"/>
      <c r="G671" s="37"/>
      <c r="H671" s="37"/>
      <c r="I671" s="37"/>
      <c r="J671" s="37"/>
      <c r="K671" s="37"/>
    </row>
    <row r="672" spans="1:11" ht="15">
      <c r="A672" s="71"/>
      <c r="G672" s="37"/>
      <c r="H672" s="37"/>
      <c r="I672" s="37"/>
      <c r="J672" s="37"/>
      <c r="K672" s="37"/>
    </row>
    <row r="673" spans="1:12" ht="15">
      <c r="A673" s="71"/>
      <c r="G673" s="37"/>
      <c r="H673" s="37"/>
      <c r="I673" s="37"/>
      <c r="J673" s="37"/>
      <c r="K673" s="37"/>
    </row>
    <row r="674" spans="1:12" ht="15">
      <c r="A674" s="71"/>
      <c r="G674" s="37"/>
      <c r="H674" s="37"/>
      <c r="I674" s="37"/>
      <c r="J674" s="37"/>
      <c r="K674" s="37"/>
    </row>
    <row r="675" spans="1:12" ht="15">
      <c r="A675" s="71"/>
      <c r="G675" s="37"/>
      <c r="H675" s="37"/>
      <c r="I675" s="37"/>
      <c r="J675" s="37"/>
      <c r="K675" s="37"/>
      <c r="L675" s="46"/>
    </row>
    <row r="676" spans="1:12" ht="15">
      <c r="A676" s="71"/>
      <c r="G676" s="37"/>
      <c r="H676" s="37"/>
      <c r="I676" s="37"/>
      <c r="J676" s="37"/>
      <c r="K676" s="37"/>
    </row>
    <row r="677" spans="1:12" ht="15">
      <c r="A677" s="71"/>
      <c r="G677" s="37"/>
      <c r="H677" s="37"/>
      <c r="I677" s="37"/>
      <c r="J677" s="37"/>
      <c r="K677" s="37"/>
    </row>
    <row r="678" spans="1:12" ht="15">
      <c r="A678" s="71"/>
      <c r="G678" s="37"/>
      <c r="H678" s="37"/>
      <c r="I678" s="37"/>
      <c r="J678" s="37"/>
      <c r="K678" s="37"/>
    </row>
    <row r="679" spans="1:12" ht="15">
      <c r="A679" s="71"/>
      <c r="G679" s="37"/>
      <c r="H679" s="37"/>
      <c r="I679" s="37"/>
      <c r="J679" s="37"/>
      <c r="K679" s="37"/>
    </row>
    <row r="680" spans="1:12" ht="15">
      <c r="A680" s="71"/>
      <c r="G680" s="37"/>
      <c r="H680" s="37"/>
      <c r="I680" s="37"/>
      <c r="J680" s="37"/>
      <c r="K680" s="37"/>
    </row>
    <row r="681" spans="1:12" ht="15">
      <c r="A681" s="71"/>
      <c r="G681" s="37"/>
      <c r="H681" s="37"/>
      <c r="I681" s="37"/>
      <c r="J681" s="37"/>
      <c r="K681" s="37"/>
    </row>
    <row r="682" spans="1:12" ht="15">
      <c r="A682" s="71"/>
      <c r="G682" s="37"/>
      <c r="H682" s="37"/>
      <c r="I682" s="37"/>
      <c r="J682" s="37"/>
      <c r="K682" s="37"/>
      <c r="L682" s="46"/>
    </row>
    <row r="683" spans="1:12" ht="15">
      <c r="A683" s="71"/>
      <c r="G683" s="37"/>
      <c r="H683" s="37"/>
      <c r="I683" s="37"/>
      <c r="J683" s="37"/>
      <c r="K683" s="37"/>
      <c r="L683" s="46"/>
    </row>
    <row r="684" spans="1:12" ht="15">
      <c r="A684" s="71"/>
      <c r="G684" s="37"/>
      <c r="H684" s="37"/>
      <c r="I684" s="37"/>
      <c r="J684" s="37"/>
      <c r="K684" s="37"/>
      <c r="L684" s="46"/>
    </row>
    <row r="685" spans="1:12" ht="15">
      <c r="A685" s="71"/>
      <c r="G685" s="37"/>
      <c r="H685" s="37"/>
      <c r="I685" s="37"/>
      <c r="J685" s="37"/>
      <c r="K685" s="37"/>
      <c r="L685" s="46"/>
    </row>
    <row r="686" spans="1:12" ht="15">
      <c r="A686" s="71"/>
      <c r="G686" s="37"/>
      <c r="H686" s="37"/>
      <c r="I686" s="37"/>
      <c r="J686" s="37"/>
      <c r="K686" s="37"/>
      <c r="L686" s="46"/>
    </row>
    <row r="687" spans="1:12" ht="15">
      <c r="A687" s="71"/>
      <c r="G687" s="37"/>
      <c r="H687" s="37"/>
      <c r="I687" s="37"/>
      <c r="J687" s="37"/>
      <c r="K687" s="37"/>
      <c r="L687" s="46"/>
    </row>
    <row r="688" spans="1:12" ht="15">
      <c r="A688" s="71"/>
      <c r="G688" s="37"/>
      <c r="H688" s="37"/>
      <c r="I688" s="37"/>
      <c r="J688" s="37"/>
      <c r="K688" s="37"/>
    </row>
    <row r="689" spans="1:12" ht="15">
      <c r="A689" s="71"/>
      <c r="G689" s="37"/>
      <c r="H689" s="37"/>
      <c r="I689" s="37"/>
      <c r="J689" s="37"/>
      <c r="K689" s="37"/>
    </row>
    <row r="690" spans="1:12" ht="15">
      <c r="A690" s="71"/>
      <c r="G690" s="37"/>
      <c r="H690" s="37"/>
      <c r="I690" s="37"/>
      <c r="J690" s="37"/>
      <c r="K690" s="37"/>
    </row>
    <row r="691" spans="1:12" ht="15">
      <c r="A691" s="71"/>
      <c r="G691" s="37"/>
      <c r="H691" s="37"/>
      <c r="I691" s="37"/>
      <c r="J691" s="37"/>
      <c r="K691" s="37"/>
    </row>
    <row r="692" spans="1:12" ht="15">
      <c r="A692" s="71"/>
      <c r="G692" s="37"/>
      <c r="H692" s="37"/>
      <c r="I692" s="37"/>
      <c r="J692" s="37"/>
      <c r="K692" s="37"/>
    </row>
    <row r="693" spans="1:12" ht="15">
      <c r="A693" s="71"/>
      <c r="G693" s="37"/>
      <c r="H693" s="37"/>
      <c r="I693" s="37"/>
      <c r="J693" s="37"/>
      <c r="K693" s="37"/>
    </row>
    <row r="694" spans="1:12" ht="15">
      <c r="A694" s="71"/>
      <c r="G694" s="37"/>
      <c r="H694" s="37"/>
      <c r="I694" s="37"/>
      <c r="J694" s="37"/>
      <c r="K694" s="37"/>
    </row>
    <row r="695" spans="1:12" ht="15">
      <c r="A695" s="71"/>
      <c r="G695" s="37"/>
      <c r="H695" s="37"/>
      <c r="I695" s="37"/>
      <c r="J695" s="37"/>
      <c r="K695" s="37"/>
      <c r="L695" s="47"/>
    </row>
    <row r="696" spans="1:12" ht="15">
      <c r="A696" s="71"/>
      <c r="G696" s="37"/>
      <c r="H696" s="37"/>
      <c r="I696" s="37"/>
      <c r="J696" s="37"/>
      <c r="K696" s="37"/>
    </row>
    <row r="697" spans="1:12" ht="15">
      <c r="A697" s="71"/>
      <c r="G697" s="37"/>
      <c r="H697" s="37"/>
      <c r="I697" s="37"/>
      <c r="J697" s="37"/>
      <c r="K697" s="37"/>
    </row>
    <row r="698" spans="1:12" ht="15">
      <c r="A698" s="71"/>
      <c r="G698" s="37"/>
      <c r="H698" s="37"/>
      <c r="I698" s="37"/>
      <c r="J698" s="37"/>
      <c r="K698" s="37"/>
    </row>
    <row r="699" spans="1:12" ht="15">
      <c r="A699" s="71"/>
      <c r="G699" s="37"/>
      <c r="H699" s="37"/>
      <c r="I699" s="37"/>
      <c r="J699" s="37"/>
      <c r="K699" s="37"/>
    </row>
    <row r="700" spans="1:12" ht="15">
      <c r="A700" s="71"/>
      <c r="G700" s="37"/>
      <c r="H700" s="37"/>
      <c r="I700" s="37"/>
      <c r="J700" s="37"/>
      <c r="K700" s="37"/>
      <c r="L700" s="47"/>
    </row>
    <row r="701" spans="1:12" ht="15">
      <c r="A701" s="71"/>
      <c r="G701" s="37"/>
      <c r="H701" s="37"/>
      <c r="I701" s="37"/>
      <c r="J701" s="37"/>
      <c r="K701" s="37"/>
    </row>
    <row r="702" spans="1:12" ht="15">
      <c r="A702" s="71"/>
      <c r="G702" s="37"/>
      <c r="H702" s="37"/>
      <c r="I702" s="37"/>
      <c r="J702" s="37"/>
      <c r="K702" s="37"/>
    </row>
    <row r="703" spans="1:12" ht="15">
      <c r="A703" s="71"/>
      <c r="G703" s="37"/>
      <c r="H703" s="37"/>
      <c r="I703" s="37"/>
      <c r="J703" s="37"/>
      <c r="K703" s="37"/>
      <c r="L703" s="46"/>
    </row>
    <row r="704" spans="1:12" ht="15">
      <c r="A704" s="71"/>
      <c r="G704" s="37"/>
      <c r="H704" s="37"/>
      <c r="I704" s="37"/>
      <c r="J704" s="37"/>
      <c r="K704" s="37"/>
    </row>
    <row r="705" spans="1:12" ht="15">
      <c r="A705" s="71"/>
      <c r="G705" s="37"/>
      <c r="H705" s="37"/>
      <c r="I705" s="37"/>
      <c r="J705" s="37"/>
      <c r="K705" s="37"/>
    </row>
    <row r="706" spans="1:12" ht="15">
      <c r="A706" s="71"/>
      <c r="G706" s="37"/>
      <c r="H706" s="37"/>
      <c r="I706" s="37"/>
      <c r="J706" s="37"/>
      <c r="K706" s="37"/>
    </row>
    <row r="707" spans="1:12" ht="15">
      <c r="A707" s="71"/>
      <c r="G707" s="37"/>
      <c r="H707" s="37"/>
      <c r="I707" s="37"/>
      <c r="J707" s="37"/>
      <c r="K707" s="37"/>
    </row>
    <row r="708" spans="1:12" ht="15">
      <c r="A708" s="71"/>
      <c r="G708" s="37"/>
      <c r="H708" s="37"/>
      <c r="I708" s="37"/>
      <c r="J708" s="37"/>
      <c r="K708" s="37"/>
    </row>
    <row r="709" spans="1:12" ht="15">
      <c r="A709" s="71"/>
      <c r="G709" s="37"/>
      <c r="H709" s="37"/>
      <c r="I709" s="37"/>
      <c r="J709" s="37"/>
      <c r="K709" s="37"/>
    </row>
    <row r="710" spans="1:12" ht="15">
      <c r="A710" s="71"/>
      <c r="G710" s="37"/>
      <c r="H710" s="37"/>
      <c r="I710" s="37"/>
      <c r="J710" s="37"/>
      <c r="K710" s="37"/>
    </row>
    <row r="711" spans="1:12" ht="15">
      <c r="A711" s="71"/>
      <c r="G711" s="37"/>
      <c r="H711" s="37"/>
      <c r="I711" s="37"/>
      <c r="J711" s="37"/>
      <c r="K711" s="37"/>
      <c r="L711" s="46"/>
    </row>
    <row r="712" spans="1:12" ht="15">
      <c r="A712" s="71"/>
      <c r="G712" s="37"/>
      <c r="H712" s="37"/>
      <c r="I712" s="37"/>
      <c r="J712" s="37"/>
      <c r="K712" s="37"/>
    </row>
    <row r="713" spans="1:12" ht="15">
      <c r="A713" s="71"/>
      <c r="G713" s="37"/>
      <c r="H713" s="37"/>
      <c r="I713" s="37"/>
      <c r="J713" s="37"/>
      <c r="K713" s="37"/>
    </row>
    <row r="714" spans="1:12" ht="15">
      <c r="A714" s="71"/>
      <c r="G714" s="37"/>
      <c r="H714" s="37"/>
      <c r="I714" s="37"/>
      <c r="J714" s="37"/>
      <c r="K714" s="37"/>
    </row>
    <row r="715" spans="1:12" ht="15">
      <c r="A715" s="71"/>
      <c r="G715" s="37"/>
      <c r="H715" s="37"/>
      <c r="I715" s="37"/>
      <c r="J715" s="37"/>
      <c r="K715" s="37"/>
    </row>
    <row r="716" spans="1:12" ht="15">
      <c r="A716" s="71"/>
      <c r="G716" s="37"/>
      <c r="H716" s="37"/>
      <c r="I716" s="37"/>
      <c r="J716" s="37"/>
      <c r="K716" s="37"/>
    </row>
    <row r="717" spans="1:12" ht="15">
      <c r="A717" s="71"/>
      <c r="G717" s="37"/>
      <c r="H717" s="37"/>
      <c r="I717" s="37"/>
      <c r="J717" s="37"/>
      <c r="K717" s="37"/>
    </row>
    <row r="718" spans="1:12" ht="15">
      <c r="A718" s="71"/>
      <c r="G718" s="37"/>
      <c r="H718" s="37"/>
      <c r="I718" s="37"/>
      <c r="J718" s="37"/>
      <c r="K718" s="37"/>
    </row>
    <row r="719" spans="1:12" ht="15">
      <c r="A719" s="71"/>
      <c r="G719" s="37"/>
      <c r="H719" s="37"/>
      <c r="I719" s="37"/>
      <c r="J719" s="37"/>
      <c r="K719" s="37"/>
    </row>
    <row r="720" spans="1:12" ht="15">
      <c r="A720" s="71"/>
      <c r="G720" s="37"/>
      <c r="H720" s="37"/>
      <c r="I720" s="37"/>
      <c r="J720" s="37"/>
      <c r="K720" s="37"/>
    </row>
    <row r="721" spans="1:12" ht="15">
      <c r="A721" s="71"/>
      <c r="G721" s="37"/>
      <c r="H721" s="37"/>
      <c r="I721" s="37"/>
      <c r="J721" s="37"/>
      <c r="K721" s="37"/>
    </row>
    <row r="722" spans="1:12" ht="15">
      <c r="A722" s="71"/>
      <c r="G722" s="37"/>
      <c r="H722" s="37"/>
      <c r="I722" s="37"/>
      <c r="J722" s="37"/>
      <c r="K722" s="37"/>
    </row>
    <row r="723" spans="1:12" ht="15">
      <c r="A723" s="71"/>
      <c r="G723" s="37"/>
      <c r="H723" s="37"/>
      <c r="I723" s="37"/>
      <c r="J723" s="37"/>
      <c r="K723" s="37"/>
      <c r="L723" s="46"/>
    </row>
    <row r="724" spans="1:12" ht="15">
      <c r="A724" s="71"/>
      <c r="G724" s="37"/>
      <c r="H724" s="37"/>
      <c r="I724" s="37"/>
      <c r="J724" s="37"/>
      <c r="K724" s="37"/>
    </row>
    <row r="725" spans="1:12" ht="15">
      <c r="A725" s="71"/>
      <c r="G725" s="37"/>
      <c r="H725" s="37"/>
      <c r="I725" s="37"/>
      <c r="J725" s="37"/>
      <c r="K725" s="37"/>
    </row>
    <row r="726" spans="1:12" ht="15">
      <c r="A726" s="71"/>
      <c r="G726" s="37"/>
      <c r="H726" s="37"/>
      <c r="I726" s="37"/>
      <c r="J726" s="37"/>
      <c r="K726" s="37"/>
    </row>
    <row r="727" spans="1:12" ht="15">
      <c r="A727" s="71"/>
      <c r="G727" s="37"/>
      <c r="H727" s="37"/>
      <c r="I727" s="37"/>
      <c r="J727" s="37"/>
      <c r="K727" s="37"/>
    </row>
    <row r="728" spans="1:12" ht="15">
      <c r="A728" s="71"/>
      <c r="G728" s="37"/>
      <c r="H728" s="37"/>
      <c r="I728" s="37"/>
      <c r="J728" s="37"/>
      <c r="K728" s="37"/>
    </row>
    <row r="729" spans="1:12" ht="15">
      <c r="A729" s="71"/>
      <c r="G729" s="37"/>
      <c r="H729" s="37"/>
      <c r="I729" s="37"/>
      <c r="J729" s="37"/>
      <c r="K729" s="37"/>
    </row>
    <row r="730" spans="1:12" ht="15">
      <c r="A730" s="71"/>
      <c r="G730" s="37"/>
      <c r="H730" s="37"/>
      <c r="I730" s="37"/>
      <c r="J730" s="37"/>
      <c r="K730" s="37"/>
    </row>
    <row r="731" spans="1:12" ht="15">
      <c r="A731" s="71"/>
      <c r="G731" s="37"/>
      <c r="H731" s="37"/>
      <c r="I731" s="37"/>
      <c r="J731" s="37"/>
      <c r="K731" s="37"/>
    </row>
    <row r="732" spans="1:12" ht="15">
      <c r="A732" s="71"/>
      <c r="G732" s="37"/>
      <c r="H732" s="37"/>
      <c r="I732" s="37"/>
      <c r="J732" s="37"/>
      <c r="K732" s="37"/>
    </row>
    <row r="733" spans="1:12" ht="15">
      <c r="A733" s="71"/>
      <c r="G733" s="37"/>
      <c r="H733" s="37"/>
      <c r="I733" s="37"/>
      <c r="J733" s="37"/>
      <c r="K733" s="37"/>
    </row>
    <row r="734" spans="1:12" ht="15">
      <c r="A734" s="71"/>
      <c r="G734" s="37"/>
      <c r="H734" s="37"/>
      <c r="I734" s="37"/>
      <c r="J734" s="37"/>
      <c r="K734" s="37"/>
    </row>
    <row r="735" spans="1:12" ht="15">
      <c r="A735" s="71"/>
      <c r="G735" s="37"/>
      <c r="H735" s="37"/>
      <c r="I735" s="37"/>
      <c r="J735" s="37"/>
      <c r="K735" s="37"/>
    </row>
    <row r="736" spans="1:12" ht="15">
      <c r="A736" s="71"/>
      <c r="G736" s="37"/>
      <c r="H736" s="37"/>
      <c r="I736" s="37"/>
      <c r="J736" s="37"/>
      <c r="K736" s="37"/>
    </row>
    <row r="737" spans="1:12" ht="15">
      <c r="A737" s="71"/>
      <c r="G737" s="37"/>
      <c r="H737" s="37"/>
      <c r="I737" s="37"/>
      <c r="J737" s="37"/>
      <c r="K737" s="37"/>
    </row>
    <row r="738" spans="1:12" ht="15">
      <c r="A738" s="71"/>
      <c r="G738" s="37"/>
      <c r="H738" s="37"/>
      <c r="I738" s="37"/>
      <c r="J738" s="37"/>
      <c r="K738" s="37"/>
    </row>
    <row r="739" spans="1:12" ht="15">
      <c r="A739" s="71"/>
      <c r="G739" s="37"/>
      <c r="H739" s="37"/>
      <c r="I739" s="37"/>
      <c r="J739" s="37"/>
      <c r="K739" s="37"/>
    </row>
    <row r="740" spans="1:12" ht="15">
      <c r="A740" s="71"/>
      <c r="G740" s="37"/>
      <c r="H740" s="37"/>
      <c r="I740" s="37"/>
      <c r="J740" s="37"/>
      <c r="K740" s="37"/>
    </row>
    <row r="741" spans="1:12" ht="15">
      <c r="A741" s="71"/>
      <c r="G741" s="37"/>
      <c r="H741" s="37"/>
      <c r="I741" s="37"/>
      <c r="J741" s="37"/>
      <c r="K741" s="37"/>
    </row>
    <row r="742" spans="1:12" ht="15">
      <c r="A742" s="71"/>
      <c r="G742" s="37"/>
      <c r="H742" s="37"/>
      <c r="I742" s="37"/>
      <c r="J742" s="37"/>
      <c r="K742" s="37"/>
    </row>
    <row r="743" spans="1:12" ht="15">
      <c r="A743" s="71"/>
      <c r="G743" s="37"/>
      <c r="H743" s="37"/>
      <c r="I743" s="37"/>
      <c r="J743" s="37"/>
      <c r="K743" s="37"/>
    </row>
    <row r="744" spans="1:12" ht="15">
      <c r="A744" s="71"/>
      <c r="G744" s="37"/>
      <c r="H744" s="37"/>
      <c r="I744" s="37"/>
      <c r="J744" s="37"/>
      <c r="K744" s="37"/>
    </row>
    <row r="745" spans="1:12" ht="15">
      <c r="A745" s="71"/>
      <c r="G745" s="37"/>
      <c r="H745" s="37"/>
      <c r="I745" s="37"/>
      <c r="J745" s="37"/>
      <c r="K745" s="37"/>
      <c r="L745" s="46"/>
    </row>
    <row r="746" spans="1:12" ht="15">
      <c r="A746" s="71"/>
      <c r="G746" s="37"/>
      <c r="H746" s="37"/>
      <c r="I746" s="37"/>
      <c r="J746" s="37"/>
      <c r="K746" s="37"/>
    </row>
    <row r="747" spans="1:12" ht="15">
      <c r="A747" s="71"/>
      <c r="G747" s="37"/>
      <c r="H747" s="37"/>
      <c r="I747" s="37"/>
      <c r="J747" s="37"/>
      <c r="K747" s="37"/>
    </row>
    <row r="748" spans="1:12" ht="15">
      <c r="A748" s="71"/>
      <c r="G748" s="37"/>
      <c r="H748" s="37"/>
      <c r="I748" s="37"/>
      <c r="J748" s="37"/>
      <c r="K748" s="37"/>
    </row>
    <row r="749" spans="1:12" ht="15">
      <c r="A749" s="71"/>
      <c r="G749" s="37"/>
      <c r="H749" s="37"/>
      <c r="I749" s="37"/>
      <c r="J749" s="37"/>
      <c r="K749" s="37"/>
    </row>
    <row r="750" spans="1:12" ht="15">
      <c r="A750" s="71"/>
      <c r="G750" s="37"/>
      <c r="H750" s="37"/>
      <c r="I750" s="37"/>
      <c r="J750" s="37"/>
      <c r="K750" s="37"/>
    </row>
    <row r="751" spans="1:12" ht="15">
      <c r="A751" s="71"/>
      <c r="G751" s="37"/>
      <c r="H751" s="37"/>
      <c r="I751" s="37"/>
      <c r="J751" s="37"/>
      <c r="K751" s="37"/>
    </row>
    <row r="752" spans="1:12" ht="15">
      <c r="A752" s="71"/>
      <c r="G752" s="37"/>
      <c r="H752" s="37"/>
      <c r="I752" s="37"/>
      <c r="J752" s="37"/>
      <c r="K752" s="37"/>
      <c r="L752" s="46"/>
    </row>
    <row r="753" spans="1:12" ht="15">
      <c r="A753" s="71"/>
      <c r="G753" s="37"/>
      <c r="H753" s="37"/>
      <c r="I753" s="37"/>
      <c r="J753" s="37"/>
      <c r="K753" s="37"/>
      <c r="L753" s="46"/>
    </row>
    <row r="754" spans="1:12" ht="15">
      <c r="A754" s="71"/>
      <c r="G754" s="37"/>
      <c r="H754" s="37"/>
      <c r="I754" s="37"/>
      <c r="J754" s="37"/>
      <c r="K754" s="37"/>
      <c r="L754" s="46"/>
    </row>
    <row r="755" spans="1:12" ht="15">
      <c r="A755" s="71"/>
      <c r="G755" s="37"/>
      <c r="H755" s="37"/>
      <c r="I755" s="37"/>
      <c r="J755" s="37"/>
      <c r="K755" s="37"/>
      <c r="L755" s="46"/>
    </row>
    <row r="756" spans="1:12" ht="15">
      <c r="A756" s="71"/>
      <c r="G756" s="37"/>
      <c r="H756" s="37"/>
      <c r="I756" s="37"/>
      <c r="J756" s="37"/>
      <c r="K756" s="37"/>
      <c r="L756" s="46"/>
    </row>
    <row r="757" spans="1:12" ht="15">
      <c r="A757" s="71"/>
      <c r="G757" s="37"/>
      <c r="H757" s="37"/>
      <c r="I757" s="37"/>
      <c r="J757" s="37"/>
      <c r="K757" s="37"/>
      <c r="L757" s="46"/>
    </row>
    <row r="758" spans="1:12" ht="15">
      <c r="A758" s="71"/>
      <c r="G758" s="37"/>
      <c r="H758" s="37"/>
      <c r="I758" s="37"/>
      <c r="J758" s="37"/>
      <c r="K758" s="37"/>
    </row>
    <row r="759" spans="1:12" ht="15">
      <c r="A759" s="71"/>
      <c r="G759" s="37"/>
      <c r="H759" s="37"/>
      <c r="I759" s="37"/>
      <c r="J759" s="37"/>
      <c r="K759" s="37"/>
    </row>
    <row r="760" spans="1:12" ht="15">
      <c r="A760" s="71"/>
      <c r="G760" s="37"/>
      <c r="H760" s="37"/>
      <c r="I760" s="37"/>
      <c r="J760" s="37"/>
      <c r="K760" s="37"/>
    </row>
    <row r="761" spans="1:12" ht="15">
      <c r="A761" s="71"/>
      <c r="G761" s="37"/>
      <c r="H761" s="37"/>
      <c r="I761" s="37"/>
      <c r="J761" s="37"/>
      <c r="K761" s="37"/>
    </row>
    <row r="762" spans="1:12" ht="15">
      <c r="A762" s="71"/>
      <c r="G762" s="37"/>
      <c r="H762" s="37"/>
      <c r="I762" s="37"/>
      <c r="J762" s="37"/>
      <c r="K762" s="37"/>
    </row>
    <row r="763" spans="1:12" ht="15">
      <c r="A763" s="71"/>
      <c r="G763" s="37"/>
      <c r="H763" s="37"/>
      <c r="I763" s="37"/>
      <c r="J763" s="37"/>
      <c r="K763" s="37"/>
    </row>
    <row r="764" spans="1:12" ht="15">
      <c r="A764" s="71"/>
      <c r="G764" s="37"/>
      <c r="H764" s="37"/>
      <c r="I764" s="37"/>
      <c r="J764" s="37"/>
      <c r="K764" s="37"/>
    </row>
    <row r="765" spans="1:12" ht="15">
      <c r="A765" s="71"/>
      <c r="G765" s="37"/>
      <c r="H765" s="37"/>
      <c r="I765" s="37"/>
      <c r="J765" s="37"/>
      <c r="K765" s="37"/>
      <c r="L765" s="47"/>
    </row>
    <row r="766" spans="1:12" ht="15">
      <c r="A766" s="71"/>
      <c r="G766" s="37"/>
      <c r="H766" s="37"/>
      <c r="I766" s="37"/>
      <c r="J766" s="37"/>
      <c r="K766" s="37"/>
    </row>
    <row r="767" spans="1:12" ht="15">
      <c r="A767" s="71"/>
      <c r="G767" s="37"/>
      <c r="H767" s="37"/>
      <c r="I767" s="37"/>
      <c r="J767" s="37"/>
      <c r="K767" s="37"/>
    </row>
    <row r="768" spans="1:12" ht="15">
      <c r="A768" s="71"/>
      <c r="G768" s="37"/>
      <c r="H768" s="37"/>
      <c r="I768" s="37"/>
      <c r="J768" s="37"/>
      <c r="K768" s="37"/>
    </row>
    <row r="769" spans="1:12" ht="15">
      <c r="A769" s="71"/>
      <c r="G769" s="37"/>
      <c r="H769" s="37"/>
      <c r="I769" s="37"/>
      <c r="J769" s="37"/>
      <c r="K769" s="37"/>
    </row>
    <row r="770" spans="1:12" ht="15">
      <c r="A770" s="71"/>
      <c r="G770" s="37"/>
      <c r="H770" s="37"/>
      <c r="I770" s="37"/>
      <c r="J770" s="37"/>
      <c r="K770" s="37"/>
      <c r="L770" s="47"/>
    </row>
    <row r="771" spans="1:12" ht="15">
      <c r="A771" s="71"/>
      <c r="G771" s="37"/>
      <c r="H771" s="37"/>
      <c r="I771" s="37"/>
      <c r="J771" s="37"/>
      <c r="K771" s="37"/>
    </row>
    <row r="772" spans="1:12" ht="15">
      <c r="A772" s="71"/>
      <c r="G772" s="37"/>
      <c r="H772" s="37"/>
      <c r="I772" s="37"/>
      <c r="J772" s="37"/>
      <c r="K772" s="37"/>
    </row>
    <row r="773" spans="1:12" ht="15">
      <c r="A773" s="71"/>
      <c r="G773" s="37"/>
      <c r="H773" s="37"/>
      <c r="I773" s="37"/>
      <c r="J773" s="37"/>
      <c r="K773" s="37"/>
      <c r="L773" s="46"/>
    </row>
    <row r="774" spans="1:12" ht="15">
      <c r="A774" s="71"/>
      <c r="G774" s="37"/>
      <c r="H774" s="37"/>
      <c r="I774" s="37"/>
      <c r="J774" s="37"/>
      <c r="K774" s="37"/>
    </row>
    <row r="775" spans="1:12" ht="15">
      <c r="A775" s="71"/>
      <c r="G775" s="37"/>
      <c r="H775" s="37"/>
      <c r="I775" s="37"/>
      <c r="J775" s="37"/>
      <c r="K775" s="37"/>
    </row>
    <row r="776" spans="1:12" ht="15">
      <c r="A776" s="71"/>
      <c r="G776" s="37"/>
      <c r="H776" s="37"/>
      <c r="I776" s="37"/>
      <c r="J776" s="37"/>
      <c r="K776" s="37"/>
    </row>
    <row r="777" spans="1:12" ht="15">
      <c r="A777" s="71"/>
      <c r="G777" s="37"/>
      <c r="H777" s="37"/>
      <c r="I777" s="37"/>
      <c r="J777" s="37"/>
      <c r="K777" s="37"/>
    </row>
    <row r="778" spans="1:12" ht="15">
      <c r="A778" s="71"/>
      <c r="G778" s="37"/>
      <c r="H778" s="37"/>
      <c r="I778" s="37"/>
      <c r="J778" s="37"/>
      <c r="K778" s="37"/>
    </row>
    <row r="779" spans="1:12" ht="15">
      <c r="A779" s="71"/>
      <c r="G779" s="37"/>
      <c r="H779" s="37"/>
      <c r="I779" s="37"/>
      <c r="J779" s="37"/>
      <c r="K779" s="37"/>
    </row>
    <row r="780" spans="1:12" ht="15">
      <c r="A780" s="71"/>
      <c r="G780" s="37"/>
      <c r="H780" s="37"/>
      <c r="I780" s="37"/>
      <c r="J780" s="37"/>
      <c r="K780" s="37"/>
    </row>
    <row r="781" spans="1:12" ht="15">
      <c r="A781" s="71"/>
      <c r="G781" s="37"/>
      <c r="H781" s="37"/>
      <c r="I781" s="37"/>
      <c r="J781" s="37"/>
      <c r="K781" s="37"/>
      <c r="L781" s="46"/>
    </row>
    <row r="782" spans="1:12" ht="15">
      <c r="A782" s="71"/>
      <c r="G782" s="37"/>
      <c r="H782" s="37"/>
      <c r="I782" s="37"/>
      <c r="J782" s="37"/>
      <c r="K782" s="37"/>
    </row>
    <row r="783" spans="1:12" ht="15">
      <c r="A783" s="71"/>
      <c r="G783" s="37"/>
      <c r="H783" s="37"/>
      <c r="I783" s="37"/>
      <c r="J783" s="37"/>
      <c r="K783" s="37"/>
    </row>
    <row r="784" spans="1:12" ht="15">
      <c r="A784" s="71"/>
      <c r="G784" s="37"/>
      <c r="H784" s="37"/>
      <c r="I784" s="37"/>
      <c r="J784" s="37"/>
      <c r="K784" s="37"/>
    </row>
    <row r="785" spans="1:12" ht="15">
      <c r="A785" s="71"/>
      <c r="G785" s="37"/>
      <c r="H785" s="37"/>
      <c r="I785" s="37"/>
      <c r="J785" s="37"/>
      <c r="K785" s="37"/>
    </row>
    <row r="786" spans="1:12" ht="15">
      <c r="A786" s="71"/>
      <c r="G786" s="37"/>
      <c r="H786" s="37"/>
      <c r="I786" s="37"/>
      <c r="J786" s="37"/>
      <c r="K786" s="37"/>
    </row>
    <row r="787" spans="1:12" ht="15">
      <c r="A787" s="71"/>
      <c r="G787" s="37"/>
      <c r="H787" s="37"/>
      <c r="I787" s="37"/>
      <c r="J787" s="37"/>
      <c r="K787" s="37"/>
    </row>
    <row r="788" spans="1:12" ht="15">
      <c r="A788" s="71"/>
      <c r="G788" s="37"/>
      <c r="H788" s="37"/>
      <c r="I788" s="37"/>
      <c r="J788" s="37"/>
      <c r="K788" s="37"/>
    </row>
    <row r="789" spans="1:12" ht="15">
      <c r="A789" s="71"/>
      <c r="G789" s="37"/>
      <c r="H789" s="37"/>
      <c r="I789" s="37"/>
      <c r="J789" s="37"/>
      <c r="K789" s="37"/>
    </row>
    <row r="790" spans="1:12" ht="15">
      <c r="A790" s="71"/>
      <c r="G790" s="37"/>
      <c r="H790" s="37"/>
      <c r="I790" s="37"/>
      <c r="J790" s="37"/>
      <c r="K790" s="37"/>
    </row>
    <row r="791" spans="1:12" ht="15">
      <c r="A791" s="71"/>
      <c r="G791" s="37"/>
      <c r="H791" s="37"/>
      <c r="I791" s="37"/>
      <c r="J791" s="37"/>
      <c r="K791" s="37"/>
    </row>
    <row r="792" spans="1:12" ht="15">
      <c r="A792" s="71"/>
      <c r="G792" s="37"/>
      <c r="H792" s="37"/>
      <c r="I792" s="37"/>
      <c r="J792" s="37"/>
      <c r="K792" s="37"/>
    </row>
    <row r="793" spans="1:12" ht="15">
      <c r="A793" s="71"/>
      <c r="G793" s="37"/>
      <c r="H793" s="37"/>
      <c r="I793" s="37"/>
      <c r="J793" s="37"/>
      <c r="K793" s="37"/>
      <c r="L793" s="46"/>
    </row>
    <row r="794" spans="1:12" ht="15">
      <c r="A794" s="71"/>
      <c r="G794" s="37"/>
      <c r="H794" s="37"/>
      <c r="I794" s="37"/>
      <c r="J794" s="37"/>
      <c r="K794" s="37"/>
    </row>
    <row r="795" spans="1:12" ht="15">
      <c r="A795" s="71"/>
      <c r="G795" s="37"/>
      <c r="H795" s="37"/>
      <c r="I795" s="37"/>
      <c r="J795" s="37"/>
      <c r="K795" s="37"/>
    </row>
    <row r="796" spans="1:12" ht="15">
      <c r="A796" s="71"/>
      <c r="G796" s="37"/>
      <c r="H796" s="37"/>
      <c r="I796" s="37"/>
      <c r="J796" s="37"/>
      <c r="K796" s="37"/>
    </row>
    <row r="797" spans="1:12" ht="15">
      <c r="A797" s="71"/>
      <c r="G797" s="37"/>
      <c r="H797" s="37"/>
      <c r="I797" s="37"/>
      <c r="J797" s="37"/>
      <c r="K797" s="37"/>
    </row>
    <row r="798" spans="1:12" ht="15">
      <c r="A798" s="71"/>
      <c r="G798" s="37"/>
      <c r="H798" s="37"/>
      <c r="I798" s="37"/>
      <c r="J798" s="37"/>
      <c r="K798" s="37"/>
    </row>
    <row r="799" spans="1:12" ht="15">
      <c r="A799" s="71"/>
      <c r="G799" s="37"/>
      <c r="H799" s="37"/>
      <c r="I799" s="37"/>
      <c r="J799" s="37"/>
      <c r="K799" s="37"/>
    </row>
    <row r="800" spans="1:12" ht="15">
      <c r="A800" s="71"/>
      <c r="G800" s="37"/>
      <c r="H800" s="37"/>
      <c r="I800" s="37"/>
      <c r="J800" s="37"/>
      <c r="K800" s="37"/>
    </row>
    <row r="801" spans="1:12" ht="15">
      <c r="A801" s="71"/>
      <c r="G801" s="37"/>
      <c r="H801" s="37"/>
      <c r="I801" s="37"/>
      <c r="J801" s="37"/>
      <c r="K801" s="37"/>
    </row>
    <row r="802" spans="1:12" ht="15">
      <c r="A802" s="71"/>
      <c r="G802" s="37"/>
      <c r="H802" s="37"/>
      <c r="I802" s="37"/>
      <c r="J802" s="37"/>
      <c r="K802" s="37"/>
    </row>
    <row r="803" spans="1:12" ht="15">
      <c r="A803" s="71"/>
      <c r="G803" s="37"/>
      <c r="H803" s="37"/>
      <c r="I803" s="37"/>
      <c r="J803" s="37"/>
      <c r="K803" s="37"/>
    </row>
    <row r="804" spans="1:12" ht="15">
      <c r="A804" s="71"/>
      <c r="G804" s="37"/>
      <c r="H804" s="37"/>
      <c r="I804" s="37"/>
      <c r="J804" s="37"/>
      <c r="K804" s="37"/>
    </row>
    <row r="805" spans="1:12" ht="15">
      <c r="A805" s="71"/>
      <c r="G805" s="37"/>
      <c r="H805" s="37"/>
      <c r="I805" s="37"/>
      <c r="J805" s="37"/>
      <c r="K805" s="37"/>
    </row>
    <row r="806" spans="1:12" ht="15">
      <c r="A806" s="71"/>
      <c r="G806" s="37"/>
      <c r="H806" s="37"/>
      <c r="I806" s="37"/>
      <c r="J806" s="37"/>
      <c r="K806" s="37"/>
    </row>
    <row r="807" spans="1:12" ht="15">
      <c r="A807" s="71"/>
      <c r="G807" s="37"/>
      <c r="H807" s="37"/>
      <c r="I807" s="37"/>
      <c r="J807" s="37"/>
      <c r="K807" s="37"/>
    </row>
    <row r="808" spans="1:12" ht="15">
      <c r="A808" s="71"/>
      <c r="G808" s="37"/>
      <c r="H808" s="37"/>
      <c r="I808" s="37"/>
      <c r="J808" s="37"/>
      <c r="K808" s="37"/>
    </row>
    <row r="809" spans="1:12" ht="15">
      <c r="A809" s="71"/>
      <c r="G809" s="37"/>
      <c r="H809" s="37"/>
      <c r="I809" s="37"/>
      <c r="J809" s="37"/>
      <c r="K809" s="37"/>
    </row>
    <row r="810" spans="1:12" ht="15">
      <c r="A810" s="71"/>
      <c r="G810" s="37"/>
      <c r="H810" s="37"/>
      <c r="I810" s="37"/>
      <c r="J810" s="37"/>
      <c r="K810" s="37"/>
    </row>
    <row r="811" spans="1:12" ht="15">
      <c r="A811" s="71"/>
      <c r="G811" s="37"/>
      <c r="H811" s="37"/>
      <c r="I811" s="37"/>
      <c r="J811" s="37"/>
      <c r="K811" s="37"/>
    </row>
    <row r="812" spans="1:12" ht="15">
      <c r="A812" s="71"/>
      <c r="G812" s="37"/>
      <c r="H812" s="37"/>
      <c r="I812" s="37"/>
      <c r="J812" s="37"/>
      <c r="K812" s="37"/>
    </row>
    <row r="813" spans="1:12" ht="15">
      <c r="A813" s="71"/>
      <c r="G813" s="37"/>
      <c r="H813" s="37"/>
      <c r="I813" s="37"/>
      <c r="J813" s="37"/>
      <c r="K813" s="37"/>
    </row>
    <row r="814" spans="1:12" ht="15">
      <c r="A814" s="71"/>
      <c r="G814" s="37"/>
      <c r="H814" s="37"/>
      <c r="I814" s="37"/>
      <c r="J814" s="37"/>
      <c r="K814" s="37"/>
    </row>
    <row r="815" spans="1:12" ht="15">
      <c r="A815" s="71"/>
      <c r="G815" s="37"/>
      <c r="H815" s="37"/>
      <c r="I815" s="37"/>
      <c r="J815" s="37"/>
      <c r="K815" s="37"/>
      <c r="L815" s="46"/>
    </row>
    <row r="816" spans="1:12" ht="15">
      <c r="A816" s="71"/>
      <c r="G816" s="37"/>
      <c r="H816" s="37"/>
      <c r="I816" s="37"/>
      <c r="J816" s="37"/>
      <c r="K816" s="37"/>
    </row>
    <row r="817" spans="1:12" ht="15">
      <c r="A817" s="71"/>
      <c r="G817" s="37"/>
      <c r="H817" s="37"/>
      <c r="I817" s="37"/>
      <c r="J817" s="37"/>
      <c r="K817" s="37"/>
    </row>
    <row r="818" spans="1:12" ht="15">
      <c r="A818" s="71"/>
      <c r="G818" s="37"/>
      <c r="H818" s="37"/>
      <c r="I818" s="37"/>
      <c r="J818" s="37"/>
      <c r="K818" s="37"/>
    </row>
    <row r="819" spans="1:12" ht="15">
      <c r="A819" s="71"/>
      <c r="G819" s="37"/>
      <c r="H819" s="37"/>
      <c r="I819" s="37"/>
      <c r="J819" s="37"/>
      <c r="K819" s="37"/>
    </row>
    <row r="820" spans="1:12" ht="15">
      <c r="A820" s="71"/>
      <c r="G820" s="37"/>
      <c r="H820" s="37"/>
      <c r="I820" s="37"/>
      <c r="J820" s="37"/>
      <c r="K820" s="37"/>
    </row>
    <row r="821" spans="1:12" ht="15">
      <c r="A821" s="71"/>
      <c r="G821" s="37"/>
      <c r="H821" s="37"/>
      <c r="I821" s="37"/>
      <c r="J821" s="37"/>
      <c r="K821" s="37"/>
    </row>
    <row r="822" spans="1:12" ht="15">
      <c r="A822" s="71"/>
      <c r="G822" s="37"/>
      <c r="H822" s="37"/>
      <c r="I822" s="37"/>
      <c r="J822" s="37"/>
      <c r="K822" s="37"/>
      <c r="L822" s="46"/>
    </row>
    <row r="823" spans="1:12" ht="15">
      <c r="A823" s="71"/>
      <c r="G823" s="37"/>
      <c r="H823" s="37"/>
      <c r="I823" s="37"/>
      <c r="J823" s="37"/>
      <c r="K823" s="37"/>
      <c r="L823" s="46"/>
    </row>
    <row r="824" spans="1:12" ht="15">
      <c r="A824" s="71"/>
      <c r="G824" s="37"/>
      <c r="H824" s="37"/>
      <c r="I824" s="37"/>
      <c r="J824" s="37"/>
      <c r="K824" s="37"/>
      <c r="L824" s="46"/>
    </row>
    <row r="825" spans="1:12" ht="15">
      <c r="A825" s="71"/>
      <c r="G825" s="37"/>
      <c r="H825" s="37"/>
      <c r="I825" s="37"/>
      <c r="J825" s="37"/>
      <c r="K825" s="37"/>
      <c r="L825" s="46"/>
    </row>
    <row r="826" spans="1:12" ht="15">
      <c r="A826" s="71"/>
      <c r="G826" s="37"/>
      <c r="H826" s="37"/>
      <c r="I826" s="37"/>
      <c r="J826" s="37"/>
      <c r="K826" s="37"/>
      <c r="L826" s="46"/>
    </row>
    <row r="827" spans="1:12" ht="15">
      <c r="A827" s="71"/>
      <c r="G827" s="37"/>
      <c r="H827" s="37"/>
      <c r="I827" s="37"/>
      <c r="J827" s="37"/>
      <c r="K827" s="37"/>
      <c r="L827" s="46"/>
    </row>
    <row r="828" spans="1:12" ht="15">
      <c r="A828" s="71"/>
      <c r="G828" s="37"/>
      <c r="H828" s="37"/>
      <c r="I828" s="37"/>
      <c r="J828" s="37"/>
      <c r="K828" s="37"/>
    </row>
    <row r="829" spans="1:12" ht="15">
      <c r="A829" s="71"/>
      <c r="G829" s="37"/>
      <c r="H829" s="37"/>
      <c r="I829" s="37"/>
      <c r="J829" s="37"/>
      <c r="K829" s="37"/>
    </row>
    <row r="830" spans="1:12" ht="15">
      <c r="A830" s="71"/>
      <c r="G830" s="37"/>
      <c r="H830" s="37"/>
      <c r="I830" s="37"/>
      <c r="J830" s="37"/>
      <c r="K830" s="37"/>
    </row>
    <row r="831" spans="1:12" ht="15">
      <c r="A831" s="71"/>
      <c r="G831" s="37"/>
      <c r="H831" s="37"/>
      <c r="I831" s="37"/>
      <c r="J831" s="37"/>
      <c r="K831" s="37"/>
    </row>
    <row r="832" spans="1:12" ht="15">
      <c r="A832" s="71"/>
      <c r="G832" s="37"/>
      <c r="H832" s="37"/>
      <c r="I832" s="37"/>
      <c r="J832" s="37"/>
      <c r="K832" s="37"/>
    </row>
    <row r="833" spans="1:12" ht="15">
      <c r="A833" s="71"/>
      <c r="G833" s="37"/>
      <c r="H833" s="37"/>
      <c r="I833" s="37"/>
      <c r="J833" s="37"/>
      <c r="K833" s="37"/>
    </row>
    <row r="834" spans="1:12" ht="15">
      <c r="A834" s="71"/>
      <c r="G834" s="37"/>
      <c r="H834" s="37"/>
      <c r="I834" s="37"/>
      <c r="J834" s="37"/>
      <c r="K834" s="37"/>
    </row>
    <row r="835" spans="1:12" ht="15">
      <c r="A835" s="71"/>
      <c r="G835" s="37"/>
      <c r="H835" s="37"/>
      <c r="I835" s="37"/>
      <c r="J835" s="37"/>
      <c r="K835" s="37"/>
      <c r="L835" s="47"/>
    </row>
    <row r="836" spans="1:12" ht="15">
      <c r="A836" s="71"/>
      <c r="G836" s="37"/>
      <c r="H836" s="37"/>
      <c r="I836" s="37"/>
      <c r="J836" s="37"/>
      <c r="K836" s="37"/>
    </row>
    <row r="837" spans="1:12" ht="15">
      <c r="A837" s="71"/>
      <c r="G837" s="37"/>
      <c r="H837" s="37"/>
      <c r="I837" s="37"/>
      <c r="J837" s="37"/>
      <c r="K837" s="37"/>
    </row>
    <row r="838" spans="1:12" ht="15">
      <c r="A838" s="71"/>
      <c r="G838" s="37"/>
      <c r="H838" s="37"/>
      <c r="I838" s="37"/>
      <c r="J838" s="37"/>
      <c r="K838" s="37"/>
    </row>
    <row r="839" spans="1:12" ht="15">
      <c r="A839" s="71"/>
      <c r="G839" s="37"/>
      <c r="H839" s="37"/>
      <c r="I839" s="37"/>
      <c r="J839" s="37"/>
      <c r="K839" s="37"/>
    </row>
    <row r="840" spans="1:12" ht="15">
      <c r="A840" s="71"/>
      <c r="G840" s="37"/>
      <c r="H840" s="37"/>
      <c r="I840" s="37"/>
      <c r="J840" s="37"/>
      <c r="K840" s="37"/>
      <c r="L840" s="47"/>
    </row>
    <row r="841" spans="1:12" ht="15">
      <c r="A841" s="71"/>
      <c r="G841" s="37"/>
      <c r="H841" s="37"/>
      <c r="I841" s="37"/>
      <c r="J841" s="37"/>
      <c r="K841" s="37"/>
    </row>
    <row r="842" spans="1:12" ht="15">
      <c r="A842" s="71"/>
      <c r="G842" s="37"/>
      <c r="H842" s="37"/>
      <c r="I842" s="37"/>
      <c r="J842" s="37"/>
      <c r="K842" s="37"/>
    </row>
    <row r="843" spans="1:12" ht="15">
      <c r="A843" s="71"/>
      <c r="G843" s="37"/>
      <c r="H843" s="37"/>
      <c r="I843" s="37"/>
      <c r="J843" s="37"/>
      <c r="K843" s="37"/>
      <c r="L843" s="46"/>
    </row>
    <row r="844" spans="1:12" ht="15">
      <c r="A844" s="71"/>
      <c r="G844" s="37"/>
      <c r="H844" s="37"/>
      <c r="I844" s="37"/>
      <c r="J844" s="37"/>
      <c r="K844" s="37"/>
    </row>
    <row r="845" spans="1:12" ht="15">
      <c r="A845" s="71"/>
      <c r="G845" s="37"/>
      <c r="H845" s="37"/>
      <c r="I845" s="37"/>
      <c r="J845" s="37"/>
      <c r="K845" s="37"/>
    </row>
    <row r="846" spans="1:12" ht="15">
      <c r="A846" s="71"/>
      <c r="G846" s="37"/>
      <c r="H846" s="37"/>
      <c r="I846" s="37"/>
      <c r="J846" s="37"/>
      <c r="K846" s="37"/>
    </row>
    <row r="847" spans="1:12" ht="15">
      <c r="A847" s="71"/>
      <c r="G847" s="37"/>
      <c r="H847" s="37"/>
      <c r="I847" s="37"/>
      <c r="J847" s="37"/>
      <c r="K847" s="37"/>
    </row>
    <row r="848" spans="1:12" ht="15">
      <c r="A848" s="71"/>
      <c r="G848" s="37"/>
      <c r="H848" s="37"/>
      <c r="I848" s="37"/>
      <c r="J848" s="37"/>
      <c r="K848" s="37"/>
    </row>
    <row r="849" spans="1:12" ht="15">
      <c r="A849" s="71"/>
      <c r="G849" s="37"/>
      <c r="H849" s="37"/>
      <c r="I849" s="37"/>
      <c r="J849" s="37"/>
      <c r="K849" s="37"/>
    </row>
    <row r="850" spans="1:12" ht="15">
      <c r="A850" s="71"/>
      <c r="G850" s="37"/>
      <c r="H850" s="37"/>
      <c r="I850" s="37"/>
      <c r="J850" s="37"/>
      <c r="K850" s="37"/>
    </row>
    <row r="851" spans="1:12" ht="15">
      <c r="A851" s="71"/>
      <c r="G851" s="37"/>
      <c r="H851" s="37"/>
      <c r="I851" s="37"/>
      <c r="J851" s="37"/>
      <c r="K851" s="37"/>
      <c r="L851" s="46"/>
    </row>
    <row r="852" spans="1:12" ht="15">
      <c r="A852" s="71"/>
      <c r="G852" s="37"/>
      <c r="H852" s="37"/>
      <c r="I852" s="37"/>
      <c r="J852" s="37"/>
      <c r="K852" s="37"/>
    </row>
    <row r="853" spans="1:12" ht="15">
      <c r="A853" s="71"/>
      <c r="G853" s="37"/>
      <c r="H853" s="37"/>
      <c r="I853" s="37"/>
      <c r="J853" s="37"/>
      <c r="K853" s="37"/>
    </row>
    <row r="854" spans="1:12" ht="15">
      <c r="A854" s="71"/>
      <c r="G854" s="37"/>
      <c r="H854" s="37"/>
      <c r="I854" s="37"/>
      <c r="J854" s="37"/>
      <c r="K854" s="37"/>
    </row>
    <row r="855" spans="1:12" ht="15">
      <c r="A855" s="71"/>
      <c r="G855" s="37"/>
      <c r="H855" s="37"/>
      <c r="I855" s="37"/>
      <c r="J855" s="37"/>
      <c r="K855" s="37"/>
    </row>
    <row r="856" spans="1:12" ht="15">
      <c r="A856" s="71"/>
      <c r="G856" s="37"/>
      <c r="H856" s="37"/>
      <c r="I856" s="37"/>
      <c r="J856" s="37"/>
      <c r="K856" s="37"/>
    </row>
    <row r="857" spans="1:12" ht="15">
      <c r="A857" s="71"/>
      <c r="G857" s="37"/>
      <c r="H857" s="37"/>
      <c r="I857" s="37"/>
      <c r="J857" s="37"/>
      <c r="K857" s="37"/>
    </row>
    <row r="858" spans="1:12" ht="15">
      <c r="A858" s="71"/>
      <c r="G858" s="37"/>
      <c r="H858" s="37"/>
      <c r="I858" s="37"/>
      <c r="J858" s="37"/>
      <c r="K858" s="37"/>
    </row>
    <row r="859" spans="1:12" ht="15">
      <c r="A859" s="71"/>
      <c r="G859" s="37"/>
      <c r="H859" s="37"/>
      <c r="I859" s="37"/>
      <c r="J859" s="37"/>
      <c r="K859" s="37"/>
    </row>
    <row r="860" spans="1:12" ht="15">
      <c r="A860" s="71"/>
      <c r="G860" s="37"/>
      <c r="H860" s="37"/>
      <c r="I860" s="37"/>
      <c r="J860" s="37"/>
      <c r="K860" s="37"/>
    </row>
    <row r="861" spans="1:12" ht="15">
      <c r="A861" s="71"/>
      <c r="G861" s="37"/>
      <c r="H861" s="37"/>
      <c r="I861" s="37"/>
      <c r="J861" s="37"/>
      <c r="K861" s="37"/>
    </row>
    <row r="862" spans="1:12" ht="15">
      <c r="A862" s="71"/>
      <c r="G862" s="37"/>
      <c r="H862" s="37"/>
      <c r="I862" s="37"/>
      <c r="J862" s="37"/>
      <c r="K862" s="37"/>
    </row>
    <row r="863" spans="1:12" ht="15">
      <c r="A863" s="71"/>
      <c r="G863" s="37"/>
      <c r="H863" s="37"/>
      <c r="I863" s="37"/>
      <c r="J863" s="37"/>
      <c r="K863" s="37"/>
      <c r="L863" s="46"/>
    </row>
    <row r="864" spans="1:12" ht="15">
      <c r="A864" s="71"/>
      <c r="G864" s="37"/>
      <c r="H864" s="37"/>
      <c r="I864" s="37"/>
      <c r="J864" s="37"/>
      <c r="K864" s="37"/>
    </row>
    <row r="865" spans="1:11" ht="15">
      <c r="A865" s="71"/>
      <c r="G865" s="37"/>
      <c r="H865" s="37"/>
      <c r="I865" s="37"/>
      <c r="J865" s="37"/>
      <c r="K865" s="37"/>
    </row>
    <row r="866" spans="1:11" ht="15">
      <c r="A866" s="71"/>
      <c r="G866" s="37"/>
      <c r="H866" s="37"/>
      <c r="I866" s="37"/>
      <c r="J866" s="37"/>
      <c r="K866" s="37"/>
    </row>
    <row r="867" spans="1:11" ht="15">
      <c r="A867" s="71"/>
      <c r="G867" s="37"/>
      <c r="H867" s="37"/>
      <c r="I867" s="37"/>
      <c r="J867" s="37"/>
      <c r="K867" s="37"/>
    </row>
    <row r="868" spans="1:11" ht="15">
      <c r="A868" s="71"/>
      <c r="G868" s="37"/>
      <c r="H868" s="37"/>
      <c r="I868" s="37"/>
      <c r="J868" s="37"/>
      <c r="K868" s="37"/>
    </row>
    <row r="869" spans="1:11" ht="15">
      <c r="A869" s="71"/>
      <c r="G869" s="37"/>
      <c r="H869" s="37"/>
      <c r="I869" s="37"/>
      <c r="J869" s="37"/>
      <c r="K869" s="37"/>
    </row>
    <row r="870" spans="1:11" ht="15">
      <c r="A870" s="71"/>
      <c r="G870" s="37"/>
      <c r="H870" s="37"/>
      <c r="I870" s="37"/>
      <c r="J870" s="37"/>
      <c r="K870" s="37"/>
    </row>
    <row r="871" spans="1:11" ht="15">
      <c r="A871" s="71"/>
      <c r="G871" s="37"/>
      <c r="H871" s="37"/>
      <c r="I871" s="37"/>
      <c r="J871" s="37"/>
      <c r="K871" s="37"/>
    </row>
    <row r="872" spans="1:11" ht="15">
      <c r="A872" s="71"/>
      <c r="G872" s="37"/>
      <c r="H872" s="37"/>
      <c r="I872" s="37"/>
      <c r="J872" s="37"/>
      <c r="K872" s="37"/>
    </row>
    <row r="873" spans="1:11" ht="15">
      <c r="A873" s="71"/>
      <c r="G873" s="37"/>
      <c r="H873" s="37"/>
      <c r="I873" s="37"/>
      <c r="J873" s="37"/>
      <c r="K873" s="37"/>
    </row>
    <row r="874" spans="1:11" ht="15">
      <c r="A874" s="71"/>
      <c r="G874" s="37"/>
      <c r="H874" s="37"/>
      <c r="I874" s="37"/>
      <c r="J874" s="37"/>
      <c r="K874" s="37"/>
    </row>
    <row r="875" spans="1:11" ht="15">
      <c r="A875" s="71"/>
      <c r="G875" s="37"/>
      <c r="H875" s="37"/>
      <c r="I875" s="37"/>
      <c r="J875" s="37"/>
      <c r="K875" s="37"/>
    </row>
    <row r="876" spans="1:11" ht="15">
      <c r="A876" s="71"/>
      <c r="G876" s="37"/>
      <c r="H876" s="37"/>
      <c r="I876" s="37"/>
      <c r="J876" s="37"/>
      <c r="K876" s="37"/>
    </row>
    <row r="877" spans="1:11" ht="15">
      <c r="A877" s="71"/>
      <c r="G877" s="37"/>
      <c r="H877" s="37"/>
      <c r="I877" s="37"/>
      <c r="J877" s="37"/>
      <c r="K877" s="37"/>
    </row>
    <row r="878" spans="1:11" ht="15">
      <c r="A878" s="71"/>
      <c r="G878" s="37"/>
      <c r="H878" s="37"/>
      <c r="I878" s="37"/>
      <c r="J878" s="37"/>
      <c r="K878" s="37"/>
    </row>
    <row r="879" spans="1:11" ht="15">
      <c r="A879" s="71"/>
      <c r="G879" s="37"/>
      <c r="H879" s="37"/>
      <c r="I879" s="37"/>
      <c r="J879" s="37"/>
      <c r="K879" s="37"/>
    </row>
    <row r="880" spans="1:11" ht="15">
      <c r="A880" s="71"/>
      <c r="G880" s="37"/>
      <c r="H880" s="37"/>
      <c r="I880" s="37"/>
      <c r="J880" s="37"/>
      <c r="K880" s="37"/>
    </row>
    <row r="881" spans="1:12" ht="15">
      <c r="A881" s="71"/>
      <c r="G881" s="37"/>
      <c r="H881" s="37"/>
      <c r="I881" s="37"/>
      <c r="J881" s="37"/>
      <c r="K881" s="37"/>
    </row>
    <row r="882" spans="1:12" ht="15">
      <c r="A882" s="71"/>
      <c r="G882" s="37"/>
      <c r="H882" s="37"/>
      <c r="I882" s="37"/>
      <c r="J882" s="37"/>
      <c r="K882" s="37"/>
    </row>
    <row r="883" spans="1:12" ht="15">
      <c r="A883" s="71"/>
      <c r="G883" s="37"/>
      <c r="H883" s="37"/>
      <c r="I883" s="37"/>
      <c r="J883" s="37"/>
      <c r="K883" s="37"/>
    </row>
    <row r="884" spans="1:12" ht="15">
      <c r="A884" s="71"/>
      <c r="G884" s="37"/>
      <c r="H884" s="37"/>
      <c r="I884" s="37"/>
      <c r="J884" s="37"/>
      <c r="K884" s="37"/>
    </row>
    <row r="885" spans="1:12" ht="15">
      <c r="A885" s="71"/>
      <c r="G885" s="37"/>
      <c r="H885" s="37"/>
      <c r="I885" s="37"/>
      <c r="J885" s="37"/>
      <c r="K885" s="37"/>
      <c r="L885" s="46"/>
    </row>
    <row r="886" spans="1:12" ht="15">
      <c r="A886" s="71"/>
      <c r="G886" s="37"/>
      <c r="H886" s="37"/>
      <c r="I886" s="37"/>
      <c r="J886" s="37"/>
      <c r="K886" s="37"/>
    </row>
    <row r="887" spans="1:12" ht="15">
      <c r="A887" s="71"/>
      <c r="G887" s="37"/>
      <c r="H887" s="37"/>
      <c r="I887" s="37"/>
      <c r="J887" s="37"/>
      <c r="K887" s="37"/>
    </row>
    <row r="888" spans="1:12" ht="15">
      <c r="A888" s="71"/>
      <c r="G888" s="37"/>
      <c r="H888" s="37"/>
      <c r="I888" s="37"/>
      <c r="J888" s="37"/>
      <c r="K888" s="37"/>
    </row>
    <row r="889" spans="1:12" ht="15">
      <c r="A889" s="71"/>
      <c r="G889" s="37"/>
      <c r="H889" s="37"/>
      <c r="I889" s="37"/>
      <c r="J889" s="37"/>
      <c r="K889" s="37"/>
    </row>
    <row r="890" spans="1:12" ht="15">
      <c r="A890" s="71"/>
      <c r="G890" s="37"/>
      <c r="H890" s="37"/>
      <c r="I890" s="37"/>
      <c r="J890" s="37"/>
      <c r="K890" s="37"/>
    </row>
    <row r="891" spans="1:12" ht="15">
      <c r="A891" s="71"/>
      <c r="G891" s="37"/>
      <c r="H891" s="37"/>
      <c r="I891" s="37"/>
      <c r="J891" s="37"/>
      <c r="K891" s="37"/>
    </row>
    <row r="892" spans="1:12" ht="15">
      <c r="A892" s="71"/>
      <c r="G892" s="37"/>
      <c r="H892" s="37"/>
      <c r="I892" s="37"/>
      <c r="J892" s="37"/>
      <c r="K892" s="37"/>
      <c r="L892" s="46"/>
    </row>
    <row r="893" spans="1:12" ht="15">
      <c r="A893" s="71"/>
      <c r="G893" s="37"/>
      <c r="H893" s="37"/>
      <c r="I893" s="37"/>
      <c r="J893" s="37"/>
      <c r="K893" s="37"/>
      <c r="L893" s="46"/>
    </row>
    <row r="894" spans="1:12" ht="15">
      <c r="A894" s="71"/>
      <c r="G894" s="37"/>
      <c r="H894" s="37"/>
      <c r="I894" s="37"/>
      <c r="J894" s="37"/>
      <c r="K894" s="37"/>
      <c r="L894" s="46"/>
    </row>
    <row r="895" spans="1:12" ht="15">
      <c r="A895" s="71"/>
      <c r="G895" s="37"/>
      <c r="H895" s="37"/>
      <c r="I895" s="37"/>
      <c r="J895" s="37"/>
      <c r="K895" s="37"/>
      <c r="L895" s="46"/>
    </row>
    <row r="896" spans="1:12" ht="15">
      <c r="A896" s="71"/>
      <c r="G896" s="37"/>
      <c r="H896" s="37"/>
      <c r="I896" s="37"/>
      <c r="J896" s="37"/>
      <c r="K896" s="37"/>
      <c r="L896" s="46"/>
    </row>
    <row r="897" spans="1:12" ht="15">
      <c r="A897" s="71"/>
      <c r="G897" s="37"/>
      <c r="H897" s="37"/>
      <c r="I897" s="37"/>
      <c r="J897" s="37"/>
      <c r="K897" s="37"/>
      <c r="L897" s="46"/>
    </row>
    <row r="898" spans="1:12" ht="15">
      <c r="A898" s="71"/>
      <c r="G898" s="37"/>
      <c r="H898" s="37"/>
      <c r="I898" s="37"/>
      <c r="J898" s="37"/>
      <c r="K898" s="37"/>
    </row>
    <row r="899" spans="1:12" ht="15">
      <c r="A899" s="71"/>
      <c r="G899" s="37"/>
      <c r="H899" s="37"/>
      <c r="I899" s="37"/>
      <c r="J899" s="37"/>
      <c r="K899" s="37"/>
    </row>
    <row r="900" spans="1:12" ht="15">
      <c r="A900" s="71"/>
      <c r="G900" s="37"/>
      <c r="H900" s="37"/>
      <c r="I900" s="37"/>
      <c r="J900" s="37"/>
      <c r="K900" s="37"/>
    </row>
    <row r="901" spans="1:12" ht="15">
      <c r="A901" s="71"/>
      <c r="G901" s="37"/>
      <c r="H901" s="37"/>
      <c r="I901" s="37"/>
      <c r="J901" s="37"/>
      <c r="K901" s="37"/>
    </row>
    <row r="902" spans="1:12" ht="15">
      <c r="A902" s="71"/>
      <c r="G902" s="37"/>
      <c r="H902" s="37"/>
      <c r="I902" s="37"/>
      <c r="J902" s="37"/>
      <c r="K902" s="37"/>
    </row>
    <row r="903" spans="1:12" ht="15">
      <c r="A903" s="71"/>
      <c r="G903" s="37"/>
      <c r="H903" s="37"/>
      <c r="I903" s="37"/>
      <c r="J903" s="37"/>
      <c r="K903" s="37"/>
    </row>
    <row r="904" spans="1:12" ht="15">
      <c r="A904" s="71"/>
      <c r="G904" s="37"/>
      <c r="H904" s="37"/>
      <c r="I904" s="37"/>
      <c r="J904" s="37"/>
      <c r="K904" s="37"/>
    </row>
    <row r="905" spans="1:12" ht="15">
      <c r="A905" s="71"/>
      <c r="G905" s="37"/>
      <c r="H905" s="37"/>
      <c r="I905" s="37"/>
      <c r="J905" s="37"/>
      <c r="K905" s="37"/>
      <c r="L905" s="47"/>
    </row>
    <row r="906" spans="1:12" ht="15">
      <c r="A906" s="71"/>
      <c r="G906" s="37"/>
      <c r="H906" s="37"/>
      <c r="I906" s="37"/>
      <c r="J906" s="37"/>
      <c r="K906" s="37"/>
    </row>
    <row r="907" spans="1:12" ht="15">
      <c r="A907" s="71"/>
      <c r="G907" s="37"/>
      <c r="H907" s="37"/>
      <c r="I907" s="37"/>
      <c r="J907" s="37"/>
      <c r="K907" s="37"/>
    </row>
    <row r="908" spans="1:12" ht="15">
      <c r="A908" s="71"/>
      <c r="G908" s="37"/>
      <c r="H908" s="37"/>
      <c r="I908" s="37"/>
      <c r="J908" s="37"/>
      <c r="K908" s="37"/>
    </row>
    <row r="909" spans="1:12" ht="15">
      <c r="A909" s="71"/>
      <c r="G909" s="37"/>
      <c r="H909" s="37"/>
      <c r="I909" s="37"/>
      <c r="J909" s="37"/>
      <c r="K909" s="37"/>
    </row>
    <row r="910" spans="1:12" ht="15">
      <c r="A910" s="71"/>
      <c r="G910" s="37"/>
      <c r="H910" s="37"/>
      <c r="I910" s="37"/>
      <c r="J910" s="37"/>
      <c r="K910" s="37"/>
      <c r="L910" s="47"/>
    </row>
    <row r="911" spans="1:12" ht="15">
      <c r="A911" s="71"/>
      <c r="G911" s="37"/>
      <c r="H911" s="37"/>
      <c r="I911" s="37"/>
      <c r="J911" s="37"/>
      <c r="K911" s="37"/>
    </row>
    <row r="912" spans="1:12" ht="15">
      <c r="A912" s="71"/>
      <c r="G912" s="37"/>
      <c r="H912" s="37"/>
      <c r="I912" s="37"/>
      <c r="J912" s="37"/>
      <c r="K912" s="37"/>
    </row>
    <row r="913" spans="1:12" ht="15">
      <c r="A913" s="71"/>
      <c r="G913" s="37"/>
      <c r="H913" s="37"/>
      <c r="I913" s="37"/>
      <c r="J913" s="37"/>
      <c r="K913" s="37"/>
      <c r="L913" s="46"/>
    </row>
    <row r="914" spans="1:12" ht="15">
      <c r="A914" s="71"/>
      <c r="G914" s="37"/>
      <c r="H914" s="37"/>
      <c r="I914" s="37"/>
      <c r="J914" s="37"/>
      <c r="K914" s="37"/>
    </row>
    <row r="915" spans="1:12" ht="15">
      <c r="A915" s="71"/>
      <c r="G915" s="37"/>
      <c r="H915" s="37"/>
      <c r="I915" s="37"/>
      <c r="J915" s="37"/>
      <c r="K915" s="37"/>
    </row>
    <row r="916" spans="1:12" ht="15">
      <c r="A916" s="71"/>
      <c r="G916" s="37"/>
      <c r="H916" s="37"/>
      <c r="I916" s="37"/>
      <c r="J916" s="37"/>
      <c r="K916" s="37"/>
    </row>
    <row r="917" spans="1:12" ht="15">
      <c r="A917" s="71"/>
      <c r="G917" s="37"/>
      <c r="H917" s="37"/>
      <c r="I917" s="37"/>
      <c r="J917" s="37"/>
      <c r="K917" s="37"/>
    </row>
    <row r="918" spans="1:12" ht="15">
      <c r="A918" s="71"/>
      <c r="G918" s="37"/>
      <c r="H918" s="37"/>
      <c r="I918" s="37"/>
      <c r="J918" s="37"/>
      <c r="K918" s="37"/>
    </row>
    <row r="919" spans="1:12" ht="15">
      <c r="A919" s="71"/>
      <c r="G919" s="37"/>
      <c r="H919" s="37"/>
      <c r="I919" s="37"/>
      <c r="J919" s="37"/>
      <c r="K919" s="37"/>
    </row>
    <row r="920" spans="1:12" ht="15">
      <c r="A920" s="71"/>
      <c r="G920" s="37"/>
      <c r="H920" s="37"/>
      <c r="I920" s="37"/>
      <c r="J920" s="37"/>
      <c r="K920" s="37"/>
    </row>
    <row r="921" spans="1:12" ht="15">
      <c r="A921" s="71"/>
      <c r="G921" s="37"/>
      <c r="H921" s="37"/>
      <c r="I921" s="37"/>
      <c r="J921" s="37"/>
      <c r="K921" s="37"/>
      <c r="L921" s="46"/>
    </row>
    <row r="922" spans="1:12" ht="15">
      <c r="A922" s="71"/>
      <c r="G922" s="37"/>
      <c r="H922" s="37"/>
      <c r="I922" s="37"/>
      <c r="J922" s="37"/>
      <c r="K922" s="37"/>
    </row>
    <row r="923" spans="1:12" ht="15">
      <c r="A923" s="71"/>
      <c r="G923" s="37"/>
      <c r="H923" s="37"/>
      <c r="I923" s="37"/>
      <c r="J923" s="37"/>
      <c r="K923" s="37"/>
    </row>
    <row r="924" spans="1:12" ht="15">
      <c r="A924" s="71"/>
      <c r="G924" s="37"/>
      <c r="H924" s="37"/>
      <c r="I924" s="37"/>
      <c r="J924" s="37"/>
      <c r="K924" s="37"/>
    </row>
    <row r="925" spans="1:12" ht="15">
      <c r="A925" s="71"/>
      <c r="G925" s="37"/>
      <c r="H925" s="37"/>
      <c r="I925" s="37"/>
      <c r="J925" s="37"/>
      <c r="K925" s="37"/>
    </row>
    <row r="926" spans="1:12" ht="15">
      <c r="A926" s="71"/>
      <c r="G926" s="37"/>
      <c r="H926" s="37"/>
      <c r="I926" s="37"/>
      <c r="J926" s="37"/>
      <c r="K926" s="37"/>
    </row>
    <row r="927" spans="1:12" ht="15">
      <c r="A927" s="71"/>
      <c r="G927" s="37"/>
      <c r="H927" s="37"/>
      <c r="I927" s="37"/>
      <c r="J927" s="37"/>
      <c r="K927" s="37"/>
    </row>
    <row r="928" spans="1:12" ht="15">
      <c r="A928" s="71"/>
      <c r="G928" s="37"/>
      <c r="H928" s="37"/>
      <c r="I928" s="37"/>
      <c r="J928" s="37"/>
      <c r="K928" s="37"/>
    </row>
    <row r="929" spans="1:12" ht="15">
      <c r="A929" s="71"/>
      <c r="G929" s="37"/>
      <c r="H929" s="37"/>
      <c r="I929" s="37"/>
      <c r="J929" s="37"/>
      <c r="K929" s="37"/>
    </row>
    <row r="930" spans="1:12" ht="15">
      <c r="A930" s="71"/>
      <c r="G930" s="37"/>
      <c r="H930" s="37"/>
      <c r="I930" s="37"/>
      <c r="J930" s="37"/>
      <c r="K930" s="37"/>
    </row>
    <row r="931" spans="1:12" ht="15">
      <c r="A931" s="71"/>
      <c r="G931" s="37"/>
      <c r="H931" s="37"/>
      <c r="I931" s="37"/>
      <c r="J931" s="37"/>
      <c r="K931" s="37"/>
    </row>
    <row r="932" spans="1:12" ht="15">
      <c r="A932" s="71"/>
      <c r="G932" s="37"/>
      <c r="H932" s="37"/>
      <c r="I932" s="37"/>
      <c r="J932" s="37"/>
      <c r="K932" s="37"/>
    </row>
    <row r="933" spans="1:12" ht="15">
      <c r="A933" s="71"/>
      <c r="G933" s="37"/>
      <c r="H933" s="37"/>
      <c r="I933" s="37"/>
      <c r="J933" s="37"/>
      <c r="K933" s="37"/>
      <c r="L933" s="46"/>
    </row>
    <row r="934" spans="1:12" ht="15">
      <c r="A934" s="71"/>
      <c r="G934" s="37"/>
      <c r="H934" s="37"/>
      <c r="I934" s="37"/>
      <c r="J934" s="37"/>
      <c r="K934" s="37"/>
    </row>
    <row r="935" spans="1:12" ht="15">
      <c r="A935" s="71"/>
      <c r="G935" s="37"/>
      <c r="H935" s="37"/>
      <c r="I935" s="37"/>
      <c r="J935" s="37"/>
      <c r="K935" s="37"/>
    </row>
    <row r="936" spans="1:12" ht="15">
      <c r="A936" s="71"/>
      <c r="G936" s="37"/>
      <c r="H936" s="37"/>
      <c r="I936" s="37"/>
      <c r="J936" s="37"/>
      <c r="K936" s="37"/>
    </row>
    <row r="937" spans="1:12" ht="15">
      <c r="A937" s="71"/>
      <c r="G937" s="37"/>
      <c r="H937" s="37"/>
      <c r="I937" s="37"/>
      <c r="J937" s="37"/>
      <c r="K937" s="37"/>
    </row>
    <row r="938" spans="1:12" ht="15">
      <c r="A938" s="71"/>
      <c r="G938" s="37"/>
      <c r="H938" s="37"/>
      <c r="I938" s="37"/>
      <c r="J938" s="37"/>
      <c r="K938" s="37"/>
    </row>
    <row r="939" spans="1:12" ht="15">
      <c r="A939" s="71"/>
      <c r="G939" s="37"/>
      <c r="H939" s="37"/>
      <c r="I939" s="37"/>
      <c r="J939" s="37"/>
      <c r="K939" s="37"/>
    </row>
    <row r="940" spans="1:12" ht="15">
      <c r="A940" s="71"/>
      <c r="G940" s="37"/>
      <c r="H940" s="37"/>
      <c r="I940" s="37"/>
      <c r="J940" s="37"/>
      <c r="K940" s="37"/>
    </row>
    <row r="941" spans="1:12" ht="15">
      <c r="A941" s="71"/>
      <c r="G941" s="37"/>
      <c r="H941" s="37"/>
      <c r="I941" s="37"/>
      <c r="J941" s="37"/>
      <c r="K941" s="37"/>
    </row>
    <row r="942" spans="1:12" ht="15">
      <c r="A942" s="71"/>
      <c r="G942" s="37"/>
      <c r="H942" s="37"/>
      <c r="I942" s="37"/>
      <c r="J942" s="37"/>
      <c r="K942" s="37"/>
    </row>
    <row r="943" spans="1:12" ht="15">
      <c r="A943" s="71"/>
      <c r="G943" s="37"/>
      <c r="H943" s="37"/>
      <c r="I943" s="37"/>
      <c r="J943" s="37"/>
      <c r="K943" s="37"/>
    </row>
    <row r="944" spans="1:12" ht="15">
      <c r="A944" s="71"/>
      <c r="G944" s="37"/>
      <c r="H944" s="37"/>
      <c r="I944" s="37"/>
      <c r="J944" s="37"/>
      <c r="K944" s="37"/>
    </row>
    <row r="945" spans="1:12" ht="15">
      <c r="A945" s="71"/>
      <c r="G945" s="37"/>
      <c r="H945" s="37"/>
      <c r="I945" s="37"/>
      <c r="J945" s="37"/>
      <c r="K945" s="37"/>
    </row>
    <row r="946" spans="1:12" ht="15">
      <c r="A946" s="71"/>
      <c r="G946" s="37"/>
      <c r="H946" s="37"/>
      <c r="I946" s="37"/>
      <c r="J946" s="37"/>
      <c r="K946" s="37"/>
    </row>
    <row r="947" spans="1:12" ht="15">
      <c r="A947" s="71"/>
      <c r="G947" s="37"/>
      <c r="H947" s="37"/>
      <c r="I947" s="37"/>
      <c r="J947" s="37"/>
      <c r="K947" s="37"/>
    </row>
    <row r="948" spans="1:12" ht="15">
      <c r="A948" s="71"/>
      <c r="G948" s="37"/>
      <c r="H948" s="37"/>
      <c r="I948" s="37"/>
      <c r="J948" s="37"/>
      <c r="K948" s="37"/>
    </row>
    <row r="949" spans="1:12" ht="15">
      <c r="A949" s="71"/>
      <c r="G949" s="37"/>
      <c r="H949" s="37"/>
      <c r="I949" s="37"/>
      <c r="J949" s="37"/>
      <c r="K949" s="37"/>
    </row>
    <row r="950" spans="1:12" ht="15">
      <c r="A950" s="71"/>
      <c r="G950" s="37"/>
      <c r="H950" s="37"/>
      <c r="I950" s="37"/>
      <c r="J950" s="37"/>
      <c r="K950" s="37"/>
    </row>
    <row r="951" spans="1:12" ht="15">
      <c r="A951" s="71"/>
      <c r="G951" s="37"/>
      <c r="H951" s="37"/>
      <c r="I951" s="37"/>
      <c r="J951" s="37"/>
      <c r="K951" s="37"/>
    </row>
    <row r="952" spans="1:12" ht="15">
      <c r="A952" s="71"/>
      <c r="G952" s="37"/>
      <c r="H952" s="37"/>
      <c r="I952" s="37"/>
      <c r="J952" s="37"/>
      <c r="K952" s="37"/>
    </row>
    <row r="953" spans="1:12" ht="15">
      <c r="A953" s="71"/>
      <c r="G953" s="37"/>
      <c r="H953" s="37"/>
      <c r="I953" s="37"/>
      <c r="J953" s="37"/>
      <c r="K953" s="37"/>
    </row>
    <row r="954" spans="1:12" ht="15">
      <c r="A954" s="71"/>
      <c r="G954" s="37"/>
      <c r="H954" s="37"/>
      <c r="I954" s="37"/>
      <c r="J954" s="37"/>
      <c r="K954" s="37"/>
    </row>
    <row r="955" spans="1:12" ht="15">
      <c r="A955" s="71"/>
      <c r="G955" s="37"/>
      <c r="H955" s="37"/>
      <c r="I955" s="37"/>
      <c r="J955" s="37"/>
      <c r="K955" s="37"/>
      <c r="L955" s="46"/>
    </row>
    <row r="956" spans="1:12" ht="15">
      <c r="A956" s="71"/>
      <c r="G956" s="37"/>
      <c r="H956" s="37"/>
      <c r="I956" s="37"/>
      <c r="J956" s="37"/>
      <c r="K956" s="37"/>
    </row>
    <row r="957" spans="1:12" ht="15">
      <c r="A957" s="71"/>
      <c r="G957" s="37"/>
      <c r="H957" s="37"/>
      <c r="I957" s="37"/>
      <c r="J957" s="37"/>
      <c r="K957" s="37"/>
    </row>
    <row r="958" spans="1:12" ht="15">
      <c r="A958" s="71"/>
      <c r="G958" s="37"/>
      <c r="H958" s="37"/>
      <c r="I958" s="37"/>
      <c r="J958" s="37"/>
      <c r="K958" s="37"/>
    </row>
    <row r="959" spans="1:12" ht="15">
      <c r="A959" s="71"/>
      <c r="G959" s="37"/>
      <c r="H959" s="37"/>
      <c r="I959" s="37"/>
      <c r="J959" s="37"/>
      <c r="K959" s="37"/>
    </row>
    <row r="960" spans="1:12" ht="15">
      <c r="A960" s="71"/>
      <c r="G960" s="37"/>
      <c r="H960" s="37"/>
      <c r="I960" s="37"/>
      <c r="J960" s="37"/>
      <c r="K960" s="37"/>
    </row>
    <row r="961" spans="1:12" ht="15">
      <c r="A961" s="71"/>
      <c r="G961" s="37"/>
      <c r="H961" s="37"/>
      <c r="I961" s="37"/>
      <c r="J961" s="37"/>
      <c r="K961" s="37"/>
    </row>
    <row r="962" spans="1:12" ht="15">
      <c r="A962" s="71"/>
      <c r="G962" s="37"/>
      <c r="H962" s="37"/>
      <c r="I962" s="37"/>
      <c r="J962" s="37"/>
      <c r="K962" s="37"/>
      <c r="L962" s="46"/>
    </row>
    <row r="963" spans="1:12" ht="15">
      <c r="A963" s="71"/>
      <c r="G963" s="37"/>
      <c r="H963" s="37"/>
      <c r="I963" s="37"/>
      <c r="J963" s="37"/>
      <c r="K963" s="37"/>
      <c r="L963" s="46"/>
    </row>
    <row r="964" spans="1:12" ht="15">
      <c r="A964" s="71"/>
      <c r="G964" s="37"/>
      <c r="H964" s="37"/>
      <c r="I964" s="37"/>
      <c r="J964" s="37"/>
      <c r="K964" s="37"/>
      <c r="L964" s="46"/>
    </row>
    <row r="965" spans="1:12" ht="15">
      <c r="A965" s="71"/>
      <c r="G965" s="37"/>
      <c r="H965" s="37"/>
      <c r="I965" s="37"/>
      <c r="J965" s="37"/>
      <c r="K965" s="37"/>
      <c r="L965" s="46"/>
    </row>
    <row r="966" spans="1:12" ht="15">
      <c r="A966" s="71"/>
      <c r="G966" s="37"/>
      <c r="H966" s="37"/>
      <c r="I966" s="37"/>
      <c r="J966" s="37"/>
      <c r="K966" s="37"/>
      <c r="L966" s="46"/>
    </row>
    <row r="967" spans="1:12" ht="15">
      <c r="A967" s="71"/>
      <c r="G967" s="37"/>
      <c r="H967" s="37"/>
      <c r="I967" s="37"/>
      <c r="J967" s="37"/>
      <c r="K967" s="37"/>
      <c r="L967" s="46"/>
    </row>
    <row r="968" spans="1:12" ht="15">
      <c r="A968" s="71"/>
      <c r="G968" s="37"/>
      <c r="H968" s="37"/>
      <c r="I968" s="37"/>
      <c r="J968" s="37"/>
      <c r="K968" s="37"/>
    </row>
    <row r="969" spans="1:12" ht="15">
      <c r="A969" s="71"/>
      <c r="G969" s="37"/>
      <c r="H969" s="37"/>
      <c r="I969" s="37"/>
      <c r="J969" s="37"/>
      <c r="K969" s="37"/>
    </row>
    <row r="970" spans="1:12" ht="15">
      <c r="A970" s="71"/>
      <c r="G970" s="37"/>
      <c r="H970" s="37"/>
      <c r="I970" s="37"/>
      <c r="J970" s="37"/>
      <c r="K970" s="37"/>
    </row>
    <row r="971" spans="1:12" ht="15">
      <c r="A971" s="71"/>
      <c r="G971" s="37"/>
      <c r="H971" s="37"/>
      <c r="I971" s="37"/>
      <c r="J971" s="37"/>
      <c r="K971" s="37"/>
    </row>
    <row r="972" spans="1:12" ht="15">
      <c r="A972" s="71"/>
      <c r="G972" s="37"/>
      <c r="H972" s="37"/>
      <c r="I972" s="37"/>
      <c r="J972" s="37"/>
      <c r="K972" s="37"/>
    </row>
    <row r="973" spans="1:12" ht="15">
      <c r="A973" s="71"/>
      <c r="G973" s="37"/>
      <c r="H973" s="37"/>
      <c r="I973" s="37"/>
      <c r="J973" s="37"/>
      <c r="K973" s="37"/>
    </row>
    <row r="974" spans="1:12" ht="15">
      <c r="A974" s="71"/>
      <c r="G974" s="37"/>
      <c r="H974" s="37"/>
      <c r="I974" s="37"/>
      <c r="J974" s="37"/>
      <c r="K974" s="37"/>
    </row>
    <row r="975" spans="1:12" ht="15">
      <c r="A975" s="71"/>
      <c r="G975" s="37"/>
      <c r="H975" s="37"/>
      <c r="I975" s="37"/>
      <c r="J975" s="37"/>
      <c r="K975" s="37"/>
      <c r="L975" s="47"/>
    </row>
    <row r="976" spans="1:12" ht="15">
      <c r="A976" s="71"/>
      <c r="G976" s="37"/>
      <c r="H976" s="37"/>
      <c r="I976" s="37"/>
      <c r="J976" s="37"/>
      <c r="K976" s="37"/>
    </row>
    <row r="977" spans="1:14" ht="15">
      <c r="A977" s="71"/>
      <c r="G977" s="37"/>
      <c r="H977" s="37"/>
      <c r="I977" s="37"/>
      <c r="J977" s="37"/>
      <c r="K977" s="37"/>
    </row>
    <row r="978" spans="1:14" ht="15">
      <c r="A978" s="71"/>
      <c r="G978" s="37"/>
      <c r="H978" s="37"/>
      <c r="I978" s="37"/>
      <c r="J978" s="37"/>
      <c r="K978" s="37"/>
    </row>
    <row r="979" spans="1:14" ht="15">
      <c r="A979" s="71"/>
      <c r="G979" s="37"/>
      <c r="H979" s="37"/>
      <c r="I979" s="37"/>
      <c r="J979" s="37"/>
      <c r="K979" s="37"/>
    </row>
    <row r="980" spans="1:14" ht="15">
      <c r="A980" s="71"/>
      <c r="G980" s="37"/>
      <c r="H980" s="37"/>
      <c r="I980" s="37"/>
      <c r="J980" s="37"/>
      <c r="K980" s="37"/>
      <c r="L980" s="47"/>
    </row>
    <row r="981" spans="1:14" ht="15">
      <c r="A981" s="71"/>
      <c r="G981" s="37"/>
      <c r="H981" s="37"/>
      <c r="I981" s="37"/>
      <c r="J981" s="37"/>
      <c r="K981" s="37"/>
      <c r="L981" s="37"/>
      <c r="M981" s="37"/>
      <c r="N981" s="37"/>
    </row>
    <row r="982" spans="1:14" ht="15">
      <c r="A982" s="71"/>
      <c r="G982" s="37"/>
      <c r="H982" s="37"/>
      <c r="I982" s="37"/>
      <c r="J982" s="37"/>
      <c r="K982" s="37"/>
      <c r="L982" s="37"/>
      <c r="M982" s="37"/>
      <c r="N982" s="37"/>
    </row>
    <row r="983" spans="1:14" ht="15">
      <c r="A983" s="71"/>
      <c r="G983" s="37"/>
      <c r="H983" s="37"/>
      <c r="I983" s="37"/>
      <c r="J983" s="37"/>
      <c r="K983" s="37"/>
      <c r="L983" s="37"/>
      <c r="M983" s="37"/>
      <c r="N983" s="37"/>
    </row>
    <row r="984" spans="1:14" ht="15">
      <c r="A984" s="71"/>
      <c r="G984" s="37"/>
      <c r="H984" s="37"/>
      <c r="I984" s="37"/>
      <c r="J984" s="37"/>
      <c r="K984" s="37"/>
      <c r="L984" s="37"/>
      <c r="M984" s="37"/>
      <c r="N984" s="37"/>
    </row>
    <row r="985" spans="1:14" ht="15">
      <c r="A985" s="71"/>
      <c r="G985" s="37"/>
      <c r="H985" s="37"/>
      <c r="I985" s="37"/>
      <c r="J985" s="37"/>
      <c r="K985" s="37"/>
      <c r="L985" s="37"/>
      <c r="M985" s="37"/>
      <c r="N985" s="37"/>
    </row>
    <row r="986" spans="1:14" ht="15">
      <c r="A986" s="71"/>
      <c r="G986" s="37"/>
      <c r="H986" s="37"/>
      <c r="I986" s="37"/>
      <c r="J986" s="37"/>
      <c r="K986" s="37"/>
      <c r="L986" s="37"/>
      <c r="M986" s="37"/>
      <c r="N986" s="37"/>
    </row>
    <row r="987" spans="1:14" ht="15">
      <c r="A987" s="71"/>
      <c r="G987" s="37"/>
      <c r="H987" s="37"/>
      <c r="I987" s="37"/>
      <c r="J987" s="37"/>
      <c r="K987" s="37"/>
      <c r="L987" s="37"/>
      <c r="M987" s="37"/>
      <c r="N987" s="37"/>
    </row>
    <row r="988" spans="1:14" ht="15">
      <c r="A988" s="71"/>
      <c r="G988" s="37"/>
      <c r="H988" s="37"/>
      <c r="I988" s="37"/>
      <c r="J988" s="37"/>
      <c r="K988" s="37"/>
      <c r="L988" s="37"/>
      <c r="M988" s="37"/>
      <c r="N988" s="37"/>
    </row>
    <row r="989" spans="1:14" ht="15">
      <c r="A989" s="71"/>
      <c r="G989" s="37"/>
      <c r="H989" s="37"/>
      <c r="I989" s="37"/>
      <c r="J989" s="37"/>
      <c r="K989" s="37"/>
      <c r="L989" s="37"/>
      <c r="M989" s="37"/>
      <c r="N989" s="37"/>
    </row>
    <row r="990" spans="1:14" ht="15">
      <c r="A990" s="71"/>
      <c r="G990" s="37"/>
      <c r="H990" s="37"/>
      <c r="I990" s="37"/>
      <c r="J990" s="37"/>
      <c r="K990" s="37"/>
      <c r="L990" s="37"/>
      <c r="M990" s="37"/>
      <c r="N990" s="37"/>
    </row>
    <row r="991" spans="1:14" ht="15">
      <c r="A991" s="71"/>
      <c r="G991" s="37"/>
      <c r="H991" s="37"/>
      <c r="I991" s="37"/>
      <c r="J991" s="37"/>
      <c r="K991" s="37"/>
      <c r="L991" s="37"/>
      <c r="M991" s="37"/>
      <c r="N991" s="37"/>
    </row>
    <row r="992" spans="1:14" ht="15">
      <c r="A992" s="71"/>
      <c r="G992" s="37"/>
      <c r="H992" s="37"/>
      <c r="I992" s="37"/>
      <c r="J992" s="37"/>
      <c r="K992" s="37"/>
      <c r="L992" s="37"/>
      <c r="M992" s="37"/>
      <c r="N992" s="37"/>
    </row>
    <row r="993" spans="1:14" ht="15">
      <c r="A993" s="71"/>
      <c r="G993" s="37"/>
      <c r="H993" s="37"/>
      <c r="I993" s="37"/>
      <c r="J993" s="37"/>
      <c r="K993" s="37"/>
      <c r="L993" s="37"/>
      <c r="M993" s="37"/>
      <c r="N993" s="37"/>
    </row>
    <row r="994" spans="1:14" ht="15">
      <c r="A994" s="71"/>
      <c r="G994" s="37"/>
      <c r="H994" s="37"/>
      <c r="I994" s="37"/>
      <c r="J994" s="37"/>
      <c r="K994" s="37"/>
      <c r="L994" s="37"/>
      <c r="M994" s="37"/>
      <c r="N994" s="37"/>
    </row>
    <row r="995" spans="1:14" ht="15">
      <c r="A995" s="71"/>
      <c r="G995" s="37"/>
      <c r="H995" s="37"/>
      <c r="I995" s="37"/>
      <c r="J995" s="37"/>
      <c r="K995" s="37"/>
      <c r="L995" s="37"/>
      <c r="M995" s="37"/>
      <c r="N995" s="37"/>
    </row>
    <row r="996" spans="1:14" ht="15">
      <c r="A996" s="71"/>
      <c r="G996" s="37"/>
      <c r="H996" s="37"/>
      <c r="I996" s="37"/>
      <c r="J996" s="37"/>
      <c r="K996" s="37"/>
      <c r="L996" s="37"/>
      <c r="M996" s="37"/>
      <c r="N996" s="37"/>
    </row>
    <row r="997" spans="1:14" ht="15">
      <c r="A997" s="71"/>
      <c r="G997" s="37"/>
      <c r="H997" s="37"/>
      <c r="I997" s="37"/>
      <c r="J997" s="37"/>
      <c r="K997" s="37"/>
      <c r="L997" s="37"/>
      <c r="M997" s="37"/>
      <c r="N997" s="37"/>
    </row>
    <row r="998" spans="1:14" ht="15">
      <c r="A998" s="71"/>
      <c r="G998" s="37"/>
      <c r="H998" s="37"/>
      <c r="I998" s="37"/>
      <c r="J998" s="37"/>
      <c r="K998" s="37"/>
      <c r="L998" s="37"/>
      <c r="M998" s="37"/>
      <c r="N998" s="37"/>
    </row>
    <row r="999" spans="1:14" ht="15">
      <c r="A999" s="71"/>
      <c r="G999" s="37"/>
      <c r="H999" s="37"/>
      <c r="I999" s="37"/>
      <c r="J999" s="37"/>
      <c r="K999" s="37"/>
      <c r="L999" s="37"/>
      <c r="M999" s="37"/>
      <c r="N999" s="37"/>
    </row>
    <row r="1000" spans="1:14" ht="15">
      <c r="A1000" s="71"/>
      <c r="G1000" s="37"/>
      <c r="H1000" s="37"/>
      <c r="I1000" s="37"/>
      <c r="J1000" s="37"/>
      <c r="K1000" s="37"/>
      <c r="L1000" s="37"/>
      <c r="M1000" s="37"/>
      <c r="N1000" s="37"/>
    </row>
  </sheetData>
  <pageMargins left="0.7" right="0.7" top="0.75" bottom="0.75" header="0.511811023622047" footer="0.511811023622047"/>
  <pageSetup orientation="landscape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U71"/>
  <sheetViews>
    <sheetView zoomScaleNormal="100" workbookViewId="0"/>
  </sheetViews>
  <sheetFormatPr defaultColWidth="12.625" defaultRowHeight="14.25"/>
  <cols>
    <col min="1" max="5" width="11" customWidth="1"/>
    <col min="6" max="6" width="14.375" customWidth="1"/>
    <col min="7" max="7" width="12.875" customWidth="1"/>
    <col min="8" max="11" width="11" customWidth="1"/>
    <col min="12" max="12" width="14.375" customWidth="1"/>
    <col min="13" max="13" width="12.875" customWidth="1"/>
    <col min="14" max="23" width="11" customWidth="1"/>
  </cols>
  <sheetData>
    <row r="1" spans="1:21" ht="45">
      <c r="A1" s="10" t="s">
        <v>12</v>
      </c>
      <c r="B1" s="11">
        <v>15075361.950044001</v>
      </c>
      <c r="C1" s="10" t="s">
        <v>13</v>
      </c>
      <c r="D1" s="11">
        <v>23639.15</v>
      </c>
      <c r="F1" s="8" t="s">
        <v>0</v>
      </c>
      <c r="G1" s="8" t="s">
        <v>3</v>
      </c>
      <c r="I1" s="8" t="s">
        <v>0</v>
      </c>
      <c r="J1" s="8" t="s">
        <v>3</v>
      </c>
      <c r="K1" s="37">
        <f>SUM(J2:J25 )</f>
        <v>108525.00999999997</v>
      </c>
      <c r="L1" s="8" t="s">
        <v>624</v>
      </c>
      <c r="M1" s="8" t="s">
        <v>3</v>
      </c>
      <c r="N1" s="8" t="s">
        <v>625</v>
      </c>
      <c r="O1" s="8" t="s">
        <v>3</v>
      </c>
      <c r="P1" s="8" t="s">
        <v>0</v>
      </c>
      <c r="Q1" s="8" t="s">
        <v>3</v>
      </c>
      <c r="R1" s="8" t="s">
        <v>0</v>
      </c>
      <c r="S1" s="8" t="s">
        <v>3</v>
      </c>
    </row>
    <row r="2" spans="1:21" ht="15">
      <c r="A2" s="10" t="s">
        <v>626</v>
      </c>
      <c r="B2" s="10">
        <f>SUM(D1:D70 )</f>
        <v>108525.01</v>
      </c>
      <c r="C2" s="10" t="s">
        <v>14</v>
      </c>
      <c r="D2" s="11">
        <v>14421.63</v>
      </c>
      <c r="F2" s="9" t="s">
        <v>165</v>
      </c>
      <c r="G2" s="11">
        <v>23639.15</v>
      </c>
      <c r="I2" s="9" t="s">
        <v>165</v>
      </c>
      <c r="J2" s="11">
        <v>23639.15</v>
      </c>
      <c r="K2" s="37">
        <f t="shared" ref="K2:K25" si="0">J2/$K$1</f>
        <v>0.21782214072129558</v>
      </c>
      <c r="L2" s="9" t="s">
        <v>167</v>
      </c>
      <c r="M2" s="11">
        <v>14421.63</v>
      </c>
      <c r="N2" s="9" t="s">
        <v>165</v>
      </c>
      <c r="O2" s="11">
        <v>23639.15</v>
      </c>
      <c r="P2" s="9" t="s">
        <v>183</v>
      </c>
      <c r="Q2" s="11">
        <v>6244.95</v>
      </c>
      <c r="R2" s="9" t="s">
        <v>164</v>
      </c>
      <c r="S2" s="11">
        <v>347.82</v>
      </c>
      <c r="T2" s="37" t="s">
        <v>627</v>
      </c>
      <c r="U2" s="72">
        <f>SUM(O2:O20)/K1</f>
        <v>0.47728740130961528</v>
      </c>
    </row>
    <row r="3" spans="1:21" ht="30">
      <c r="B3" s="73">
        <f>SUM(B1:B2 )</f>
        <v>15183886.960044</v>
      </c>
      <c r="C3" s="10" t="s">
        <v>15</v>
      </c>
      <c r="D3" s="11">
        <v>6244.95</v>
      </c>
      <c r="F3" s="9" t="s">
        <v>167</v>
      </c>
      <c r="G3" s="11">
        <v>14421.63</v>
      </c>
      <c r="I3" s="9" t="s">
        <v>167</v>
      </c>
      <c r="J3" s="11">
        <v>14421.63</v>
      </c>
      <c r="K3" s="37">
        <f t="shared" si="0"/>
        <v>0.13288761733355292</v>
      </c>
      <c r="L3" s="9" t="s">
        <v>190</v>
      </c>
      <c r="M3" s="11">
        <v>5784.07</v>
      </c>
      <c r="N3" s="9" t="s">
        <v>158</v>
      </c>
      <c r="O3" s="11">
        <v>5185.28</v>
      </c>
      <c r="P3" s="9" t="s">
        <v>186</v>
      </c>
      <c r="Q3" s="11">
        <v>2877.31</v>
      </c>
      <c r="R3" s="9" t="s">
        <v>198</v>
      </c>
      <c r="S3" s="11">
        <v>321.37</v>
      </c>
      <c r="T3" s="37" t="s">
        <v>628</v>
      </c>
      <c r="U3" s="72">
        <f>SUM(M2:M10)/K1</f>
        <v>0.25786581360370303</v>
      </c>
    </row>
    <row r="4" spans="1:21" ht="15">
      <c r="B4" s="74">
        <f>B2/B3</f>
        <v>7.1473800012856201E-3</v>
      </c>
      <c r="C4" s="10" t="s">
        <v>16</v>
      </c>
      <c r="D4" s="11">
        <v>5784.07</v>
      </c>
      <c r="F4" s="9" t="s">
        <v>183</v>
      </c>
      <c r="G4" s="11">
        <v>6244.95</v>
      </c>
      <c r="I4" s="9" t="s">
        <v>183</v>
      </c>
      <c r="J4" s="11">
        <v>6244.95</v>
      </c>
      <c r="K4" s="37">
        <f t="shared" si="0"/>
        <v>5.7543878595357895E-2</v>
      </c>
      <c r="L4" s="9" t="s">
        <v>200</v>
      </c>
      <c r="M4" s="11">
        <v>2907.5</v>
      </c>
      <c r="N4" s="9" t="s">
        <v>178</v>
      </c>
      <c r="O4" s="11">
        <v>4314.71</v>
      </c>
      <c r="P4" s="9" t="s">
        <v>185</v>
      </c>
      <c r="Q4" s="11">
        <v>1612.33</v>
      </c>
      <c r="T4" s="37" t="s">
        <v>629</v>
      </c>
      <c r="U4" s="72">
        <f>SUM(S2:S4)/K1</f>
        <v>6.1662284113127496E-3</v>
      </c>
    </row>
    <row r="5" spans="1:21" ht="30">
      <c r="C5" s="10" t="s">
        <v>17</v>
      </c>
      <c r="D5" s="11">
        <v>5185.28</v>
      </c>
      <c r="F5" s="9" t="s">
        <v>190</v>
      </c>
      <c r="G5" s="11">
        <v>5784.07</v>
      </c>
      <c r="I5" s="9" t="s">
        <v>190</v>
      </c>
      <c r="J5" s="11">
        <v>5784.07</v>
      </c>
      <c r="K5" s="37">
        <f t="shared" si="0"/>
        <v>5.329711556810731E-2</v>
      </c>
      <c r="L5" s="9" t="s">
        <v>166</v>
      </c>
      <c r="M5" s="11">
        <v>2578.62</v>
      </c>
      <c r="N5" s="9" t="s">
        <v>215</v>
      </c>
      <c r="O5" s="11">
        <v>3922.52</v>
      </c>
      <c r="P5" s="9" t="s">
        <v>173</v>
      </c>
      <c r="Q5" s="11">
        <v>1420.65</v>
      </c>
      <c r="T5" s="37" t="s">
        <v>626</v>
      </c>
      <c r="U5" s="72">
        <f>1-U2-U3-U4</f>
        <v>0.25868055667536888</v>
      </c>
    </row>
    <row r="6" spans="1:21" ht="15">
      <c r="C6" s="10" t="s">
        <v>18</v>
      </c>
      <c r="D6" s="11">
        <v>3922.52</v>
      </c>
      <c r="F6" s="9" t="s">
        <v>158</v>
      </c>
      <c r="G6" s="11">
        <v>5185.28</v>
      </c>
      <c r="I6" s="9" t="s">
        <v>158</v>
      </c>
      <c r="J6" s="11">
        <v>5185.28</v>
      </c>
      <c r="K6" s="37">
        <f t="shared" si="0"/>
        <v>4.7779585553597292E-2</v>
      </c>
      <c r="L6" s="9" t="s">
        <v>196</v>
      </c>
      <c r="M6" s="11">
        <v>881.1</v>
      </c>
      <c r="N6" s="9" t="s">
        <v>192</v>
      </c>
      <c r="O6" s="11">
        <v>3165.08</v>
      </c>
      <c r="P6" s="9" t="s">
        <v>175</v>
      </c>
      <c r="Q6" s="11">
        <v>1277.3699999999999</v>
      </c>
    </row>
    <row r="7" spans="1:21" ht="15">
      <c r="C7" s="10" t="s">
        <v>19</v>
      </c>
      <c r="D7" s="11">
        <v>4314.71</v>
      </c>
      <c r="F7" s="9" t="s">
        <v>178</v>
      </c>
      <c r="G7" s="11">
        <v>4314.71</v>
      </c>
      <c r="I7" s="9" t="s">
        <v>178</v>
      </c>
      <c r="J7" s="11">
        <v>4314.71</v>
      </c>
      <c r="K7" s="37">
        <f t="shared" si="0"/>
        <v>3.9757748006657649E-2</v>
      </c>
      <c r="L7" s="9" t="s">
        <v>207</v>
      </c>
      <c r="M7" s="11">
        <v>672.4</v>
      </c>
      <c r="N7" s="9" t="s">
        <v>204</v>
      </c>
      <c r="O7" s="11">
        <v>2981.79</v>
      </c>
      <c r="P7" s="9" t="s">
        <v>209</v>
      </c>
      <c r="Q7" s="11">
        <v>1200.6400000000001</v>
      </c>
    </row>
    <row r="8" spans="1:21" ht="30">
      <c r="C8" s="10" t="s">
        <v>20</v>
      </c>
      <c r="D8" s="11">
        <v>3165.08</v>
      </c>
      <c r="F8" s="9" t="s">
        <v>215</v>
      </c>
      <c r="G8" s="11">
        <v>3922.52</v>
      </c>
      <c r="I8" s="9" t="s">
        <v>215</v>
      </c>
      <c r="J8" s="11">
        <v>3922.52</v>
      </c>
      <c r="K8" s="37">
        <f t="shared" si="0"/>
        <v>3.6143926639582907E-2</v>
      </c>
      <c r="L8" s="9" t="s">
        <v>168</v>
      </c>
      <c r="M8" s="11">
        <v>542.76</v>
      </c>
      <c r="N8" s="9" t="s">
        <v>200</v>
      </c>
      <c r="O8" s="11">
        <v>2907.5</v>
      </c>
      <c r="P8" s="9" t="s">
        <v>206</v>
      </c>
      <c r="Q8" s="11">
        <v>1167.46</v>
      </c>
    </row>
    <row r="9" spans="1:21" ht="15">
      <c r="C9" s="10" t="s">
        <v>21</v>
      </c>
      <c r="D9" s="11">
        <v>2981.79</v>
      </c>
      <c r="F9" s="9" t="s">
        <v>192</v>
      </c>
      <c r="G9" s="11">
        <v>3165.08</v>
      </c>
      <c r="I9" s="9" t="s">
        <v>192</v>
      </c>
      <c r="J9" s="11">
        <v>3165.08</v>
      </c>
      <c r="K9" s="37">
        <f t="shared" si="0"/>
        <v>2.9164521615800826E-2</v>
      </c>
      <c r="L9" s="9" t="s">
        <v>213</v>
      </c>
      <c r="M9" s="11">
        <v>79.97</v>
      </c>
      <c r="N9" s="9" t="s">
        <v>161</v>
      </c>
      <c r="O9" s="11">
        <v>695.27</v>
      </c>
      <c r="P9" s="9" t="s">
        <v>162</v>
      </c>
      <c r="Q9" s="11">
        <v>897.19</v>
      </c>
    </row>
    <row r="10" spans="1:21" ht="15">
      <c r="C10" s="10" t="s">
        <v>22</v>
      </c>
      <c r="D10" s="11">
        <v>2578.62</v>
      </c>
      <c r="F10" s="9" t="s">
        <v>204</v>
      </c>
      <c r="G10" s="11">
        <v>2981.79</v>
      </c>
      <c r="I10" s="9" t="s">
        <v>204</v>
      </c>
      <c r="J10" s="11">
        <v>2981.79</v>
      </c>
      <c r="K10" s="37">
        <f t="shared" si="0"/>
        <v>2.7475602167647818E-2</v>
      </c>
      <c r="L10" s="9" t="s">
        <v>177</v>
      </c>
      <c r="M10" s="11">
        <v>116.84</v>
      </c>
      <c r="N10" s="9" t="s">
        <v>187</v>
      </c>
      <c r="O10" s="11">
        <v>630.58000000000004</v>
      </c>
      <c r="P10" s="9" t="s">
        <v>188</v>
      </c>
      <c r="Q10" s="11">
        <v>845.21</v>
      </c>
    </row>
    <row r="11" spans="1:21" ht="15">
      <c r="C11" s="10" t="s">
        <v>23</v>
      </c>
      <c r="D11" s="11">
        <v>2907.5</v>
      </c>
      <c r="F11" s="9" t="s">
        <v>200</v>
      </c>
      <c r="G11" s="11">
        <v>2907.5</v>
      </c>
      <c r="I11" s="9" t="s">
        <v>200</v>
      </c>
      <c r="J11" s="11">
        <v>2907.5</v>
      </c>
      <c r="K11" s="37">
        <f t="shared" si="0"/>
        <v>2.6791059498635392E-2</v>
      </c>
      <c r="N11" s="9" t="s">
        <v>176</v>
      </c>
      <c r="O11" s="11">
        <v>619.79</v>
      </c>
      <c r="P11" s="9" t="s">
        <v>161</v>
      </c>
      <c r="Q11" s="11">
        <v>695.27</v>
      </c>
    </row>
    <row r="12" spans="1:21" ht="30">
      <c r="C12" s="10" t="s">
        <v>24</v>
      </c>
      <c r="D12" s="11">
        <v>2155.89</v>
      </c>
      <c r="F12" s="9" t="s">
        <v>186</v>
      </c>
      <c r="G12" s="11">
        <v>2877.31</v>
      </c>
      <c r="I12" s="9" t="s">
        <v>186</v>
      </c>
      <c r="J12" s="11">
        <v>2877.31</v>
      </c>
      <c r="K12" s="37">
        <f t="shared" si="0"/>
        <v>2.6512874774211041E-2</v>
      </c>
      <c r="L12" s="9"/>
      <c r="M12" s="11"/>
      <c r="N12" s="9" t="s">
        <v>214</v>
      </c>
      <c r="O12" s="11">
        <v>555.09</v>
      </c>
      <c r="P12" s="9" t="s">
        <v>210</v>
      </c>
      <c r="Q12" s="11">
        <v>689.73</v>
      </c>
    </row>
    <row r="13" spans="1:21" ht="15">
      <c r="C13" s="10" t="s">
        <v>25</v>
      </c>
      <c r="D13" s="11">
        <v>2877.31</v>
      </c>
      <c r="F13" s="9" t="s">
        <v>166</v>
      </c>
      <c r="G13" s="11">
        <v>2578.62</v>
      </c>
      <c r="I13" s="9" t="s">
        <v>166</v>
      </c>
      <c r="J13" s="11">
        <v>2578.62</v>
      </c>
      <c r="K13" s="37">
        <f t="shared" si="0"/>
        <v>2.3760605965389921E-2</v>
      </c>
      <c r="L13" s="9"/>
      <c r="M13" s="11"/>
      <c r="N13" s="9" t="s">
        <v>163</v>
      </c>
      <c r="O13" s="11">
        <v>538.66999999999996</v>
      </c>
      <c r="P13" s="9" t="s">
        <v>184</v>
      </c>
      <c r="Q13" s="11">
        <v>640.35</v>
      </c>
    </row>
    <row r="14" spans="1:21" ht="15">
      <c r="C14" s="10" t="s">
        <v>26</v>
      </c>
      <c r="D14" s="11">
        <v>2312.73</v>
      </c>
      <c r="F14" s="9" t="s">
        <v>197</v>
      </c>
      <c r="G14" s="11">
        <v>2312.73</v>
      </c>
      <c r="I14" s="9" t="s">
        <v>197</v>
      </c>
      <c r="J14" s="11">
        <v>2312.73</v>
      </c>
      <c r="K14" s="37">
        <f t="shared" si="0"/>
        <v>2.1310571636897344E-2</v>
      </c>
      <c r="L14" s="9"/>
      <c r="M14" s="11"/>
      <c r="N14" s="9" t="s">
        <v>169</v>
      </c>
      <c r="O14" s="11">
        <v>475.83</v>
      </c>
      <c r="P14" s="9" t="s">
        <v>194</v>
      </c>
      <c r="Q14" s="11">
        <v>633.26</v>
      </c>
    </row>
    <row r="15" spans="1:21" ht="15">
      <c r="C15" s="10" t="s">
        <v>27</v>
      </c>
      <c r="D15" s="11">
        <v>1739.06</v>
      </c>
      <c r="F15" s="9" t="s">
        <v>203</v>
      </c>
      <c r="G15" s="11">
        <v>2155.89</v>
      </c>
      <c r="I15" s="9" t="s">
        <v>203</v>
      </c>
      <c r="J15" s="11">
        <v>2155.89</v>
      </c>
      <c r="K15" s="37">
        <f t="shared" si="0"/>
        <v>1.986537481083854E-2</v>
      </c>
      <c r="L15" s="9"/>
      <c r="M15" s="11"/>
      <c r="N15" s="9" t="s">
        <v>193</v>
      </c>
      <c r="O15" s="11">
        <v>427.3</v>
      </c>
      <c r="P15" s="9" t="s">
        <v>212</v>
      </c>
      <c r="Q15" s="11">
        <v>579.82000000000005</v>
      </c>
    </row>
    <row r="16" spans="1:21" ht="15">
      <c r="C16" s="10" t="s">
        <v>28</v>
      </c>
      <c r="D16" s="11">
        <v>1277.3699999999999</v>
      </c>
      <c r="F16" s="9" t="s">
        <v>182</v>
      </c>
      <c r="G16" s="11">
        <v>1739.06</v>
      </c>
      <c r="I16" s="9" t="s">
        <v>182</v>
      </c>
      <c r="J16" s="11">
        <v>1739.06</v>
      </c>
      <c r="K16" s="37">
        <f t="shared" si="0"/>
        <v>1.6024509004882843E-2</v>
      </c>
      <c r="L16" s="9"/>
      <c r="M16" s="11"/>
      <c r="N16" s="9" t="s">
        <v>182</v>
      </c>
      <c r="O16" s="11">
        <v>1739.06</v>
      </c>
      <c r="P16" s="9" t="s">
        <v>208</v>
      </c>
      <c r="Q16" s="11">
        <v>564.35</v>
      </c>
    </row>
    <row r="17" spans="3:17" ht="15">
      <c r="C17" s="10" t="s">
        <v>29</v>
      </c>
      <c r="D17" s="11">
        <v>1420.65</v>
      </c>
      <c r="F17" s="9" t="s">
        <v>185</v>
      </c>
      <c r="G17" s="11">
        <v>1612.33</v>
      </c>
      <c r="I17" s="9" t="s">
        <v>185</v>
      </c>
      <c r="J17" s="11">
        <v>1612.33</v>
      </c>
      <c r="K17" s="37">
        <f t="shared" si="0"/>
        <v>1.4856759745979295E-2</v>
      </c>
      <c r="L17" s="9"/>
      <c r="M17" s="11"/>
      <c r="P17" s="9" t="s">
        <v>169</v>
      </c>
      <c r="Q17" s="11">
        <v>475.83</v>
      </c>
    </row>
    <row r="18" spans="3:17" ht="15">
      <c r="C18" s="10" t="s">
        <v>30</v>
      </c>
      <c r="D18" s="11">
        <v>1612.33</v>
      </c>
      <c r="F18" s="9" t="s">
        <v>173</v>
      </c>
      <c r="G18" s="11">
        <v>1420.65</v>
      </c>
      <c r="I18" s="9" t="s">
        <v>173</v>
      </c>
      <c r="J18" s="11">
        <v>1420.65</v>
      </c>
      <c r="K18" s="37">
        <f t="shared" si="0"/>
        <v>1.309053092923005E-2</v>
      </c>
      <c r="L18" s="9"/>
      <c r="M18" s="11"/>
      <c r="P18" s="9" t="s">
        <v>171</v>
      </c>
      <c r="Q18" s="11">
        <v>429.79</v>
      </c>
    </row>
    <row r="19" spans="3:17" ht="15">
      <c r="C19" s="10" t="s">
        <v>31</v>
      </c>
      <c r="D19" s="11">
        <v>1167.46</v>
      </c>
      <c r="F19" s="9" t="s">
        <v>175</v>
      </c>
      <c r="G19" s="11">
        <v>1277.3699999999999</v>
      </c>
      <c r="I19" s="9" t="s">
        <v>175</v>
      </c>
      <c r="J19" s="11">
        <v>1277.3699999999999</v>
      </c>
      <c r="K19" s="37">
        <f t="shared" si="0"/>
        <v>1.1770282260282679E-2</v>
      </c>
      <c r="N19" s="9"/>
      <c r="O19" s="11"/>
      <c r="P19" s="9" t="s">
        <v>195</v>
      </c>
      <c r="Q19" s="11">
        <v>377.39</v>
      </c>
    </row>
    <row r="20" spans="3:17" ht="15">
      <c r="C20" s="10" t="s">
        <v>32</v>
      </c>
      <c r="D20" s="11">
        <v>1200.6400000000001</v>
      </c>
      <c r="F20" s="9" t="s">
        <v>209</v>
      </c>
      <c r="G20" s="11">
        <v>1200.6400000000001</v>
      </c>
      <c r="I20" s="9" t="s">
        <v>209</v>
      </c>
      <c r="J20" s="11">
        <v>1200.6400000000001</v>
      </c>
      <c r="K20" s="37">
        <f t="shared" si="0"/>
        <v>1.1063256294562888E-2</v>
      </c>
      <c r="L20" s="9"/>
      <c r="M20" s="11"/>
      <c r="N20" s="9"/>
      <c r="O20" s="11"/>
      <c r="P20" s="9" t="s">
        <v>180</v>
      </c>
      <c r="Q20" s="11">
        <v>342.37</v>
      </c>
    </row>
    <row r="21" spans="3:17" ht="15">
      <c r="C21" s="10" t="s">
        <v>33</v>
      </c>
      <c r="D21" s="11">
        <v>672.4</v>
      </c>
      <c r="F21" s="9" t="s">
        <v>206</v>
      </c>
      <c r="G21" s="11">
        <v>1167.46</v>
      </c>
      <c r="I21" s="9" t="s">
        <v>206</v>
      </c>
      <c r="J21" s="11">
        <v>1167.46</v>
      </c>
      <c r="K21" s="37">
        <f t="shared" si="0"/>
        <v>1.0757520317206148E-2</v>
      </c>
      <c r="L21" s="9"/>
      <c r="M21" s="11"/>
      <c r="N21" s="9"/>
      <c r="O21" s="11"/>
      <c r="P21" s="9" t="s">
        <v>160</v>
      </c>
      <c r="Q21" s="11">
        <v>329.85</v>
      </c>
    </row>
    <row r="22" spans="3:17" ht="15">
      <c r="C22" s="10" t="s">
        <v>34</v>
      </c>
      <c r="D22" s="11">
        <v>851.86</v>
      </c>
      <c r="F22" s="9" t="s">
        <v>162</v>
      </c>
      <c r="G22" s="11">
        <v>897.19</v>
      </c>
      <c r="I22" s="9" t="s">
        <v>162</v>
      </c>
      <c r="J22" s="11">
        <v>897.19</v>
      </c>
      <c r="K22" s="37">
        <f t="shared" si="0"/>
        <v>8.2671266282306755E-3</v>
      </c>
      <c r="L22" s="9"/>
      <c r="M22" s="11"/>
      <c r="N22" s="9"/>
      <c r="O22" s="11"/>
      <c r="P22" s="9" t="s">
        <v>172</v>
      </c>
      <c r="Q22" s="11">
        <v>307.45999999999998</v>
      </c>
    </row>
    <row r="23" spans="3:17" ht="15">
      <c r="C23" s="10" t="s">
        <v>35</v>
      </c>
      <c r="D23" s="11">
        <v>897.19</v>
      </c>
      <c r="F23" s="9" t="s">
        <v>196</v>
      </c>
      <c r="G23" s="11">
        <v>881.1</v>
      </c>
      <c r="I23" s="9" t="s">
        <v>196</v>
      </c>
      <c r="J23" s="11">
        <v>881.1</v>
      </c>
      <c r="K23" s="37">
        <f t="shared" si="0"/>
        <v>8.1188658724841434E-3</v>
      </c>
      <c r="L23" s="9"/>
      <c r="M23" s="11"/>
      <c r="N23" s="9"/>
      <c r="O23" s="11"/>
      <c r="P23" s="9" t="s">
        <v>205</v>
      </c>
      <c r="Q23" s="11">
        <v>295.83999999999997</v>
      </c>
    </row>
    <row r="24" spans="3:17" ht="15">
      <c r="C24" s="10" t="s">
        <v>36</v>
      </c>
      <c r="D24" s="11">
        <v>881.1</v>
      </c>
      <c r="F24" s="9" t="s">
        <v>191</v>
      </c>
      <c r="G24" s="11">
        <v>851.86</v>
      </c>
      <c r="I24" s="9" t="s">
        <v>191</v>
      </c>
      <c r="J24" s="11">
        <v>851.86</v>
      </c>
      <c r="K24" s="37">
        <f t="shared" si="0"/>
        <v>7.8494348906302819E-3</v>
      </c>
      <c r="L24" s="9"/>
      <c r="M24" s="11"/>
      <c r="N24" s="9"/>
      <c r="O24" s="11"/>
      <c r="P24" s="9" t="s">
        <v>201</v>
      </c>
      <c r="Q24" s="11">
        <v>289.91000000000003</v>
      </c>
    </row>
    <row r="25" spans="3:17" ht="15">
      <c r="C25" s="10" t="s">
        <v>37</v>
      </c>
      <c r="D25" s="11">
        <v>845.21</v>
      </c>
      <c r="F25" s="9" t="s">
        <v>188</v>
      </c>
      <c r="G25" s="11">
        <v>845.21</v>
      </c>
      <c r="I25" s="9" t="s">
        <v>626</v>
      </c>
      <c r="J25" s="11">
        <f>SUM(G25:G71 )</f>
        <v>14986.119999999995</v>
      </c>
      <c r="K25" s="37">
        <f t="shared" si="0"/>
        <v>0.13808909116893886</v>
      </c>
      <c r="L25" s="9"/>
      <c r="M25" s="11"/>
      <c r="N25" s="9"/>
      <c r="O25" s="11"/>
      <c r="P25" s="9" t="s">
        <v>179</v>
      </c>
      <c r="Q25" s="11">
        <v>277.39</v>
      </c>
    </row>
    <row r="26" spans="3:17" ht="30">
      <c r="C26" s="10" t="s">
        <v>38</v>
      </c>
      <c r="D26" s="11">
        <v>564.35</v>
      </c>
      <c r="F26" s="9" t="s">
        <v>161</v>
      </c>
      <c r="G26" s="11">
        <v>695.27</v>
      </c>
      <c r="L26" s="9"/>
      <c r="M26" s="11"/>
      <c r="P26" s="9" t="s">
        <v>218</v>
      </c>
      <c r="Q26" s="11">
        <v>249.91</v>
      </c>
    </row>
    <row r="27" spans="3:17" ht="30">
      <c r="C27" s="10" t="s">
        <v>39</v>
      </c>
      <c r="D27" s="11">
        <v>689.73</v>
      </c>
      <c r="F27" s="9" t="s">
        <v>210</v>
      </c>
      <c r="G27" s="11">
        <v>689.73</v>
      </c>
      <c r="L27" s="9"/>
      <c r="M27" s="11"/>
      <c r="P27" s="9" t="s">
        <v>170</v>
      </c>
      <c r="Q27" s="11">
        <v>247.43</v>
      </c>
    </row>
    <row r="28" spans="3:17" ht="30">
      <c r="C28" s="10" t="s">
        <v>40</v>
      </c>
      <c r="D28" s="11">
        <v>630.58000000000004</v>
      </c>
      <c r="F28" s="9" t="s">
        <v>207</v>
      </c>
      <c r="G28" s="11">
        <v>672.4</v>
      </c>
      <c r="L28" s="9"/>
      <c r="M28" s="11"/>
      <c r="P28" s="9" t="s">
        <v>211</v>
      </c>
      <c r="Q28" s="11">
        <v>245.91</v>
      </c>
    </row>
    <row r="29" spans="3:17" ht="15">
      <c r="C29" s="10" t="s">
        <v>41</v>
      </c>
      <c r="D29" s="11">
        <v>695.27</v>
      </c>
      <c r="F29" s="9" t="s">
        <v>184</v>
      </c>
      <c r="G29" s="11">
        <v>640.35</v>
      </c>
      <c r="L29" s="9"/>
      <c r="M29" s="11"/>
      <c r="P29" s="9" t="s">
        <v>181</v>
      </c>
      <c r="Q29" s="11">
        <v>239.91</v>
      </c>
    </row>
    <row r="30" spans="3:17" ht="30">
      <c r="C30" s="10" t="s">
        <v>42</v>
      </c>
      <c r="D30" s="11">
        <v>633.26</v>
      </c>
      <c r="F30" s="9" t="s">
        <v>194</v>
      </c>
      <c r="G30" s="11">
        <v>633.26</v>
      </c>
      <c r="L30" s="9"/>
      <c r="M30" s="11"/>
      <c r="P30" s="9" t="s">
        <v>202</v>
      </c>
      <c r="Q30" s="11">
        <v>209.91</v>
      </c>
    </row>
    <row r="31" spans="3:17" ht="15">
      <c r="C31" s="10" t="s">
        <v>43</v>
      </c>
      <c r="D31" s="11">
        <v>542.76</v>
      </c>
      <c r="F31" s="9" t="s">
        <v>187</v>
      </c>
      <c r="G31" s="11">
        <v>630.58000000000004</v>
      </c>
      <c r="L31" s="9"/>
      <c r="M31" s="11"/>
      <c r="P31" s="9" t="s">
        <v>189</v>
      </c>
      <c r="Q31" s="11">
        <v>157.94</v>
      </c>
    </row>
    <row r="32" spans="3:17" ht="30">
      <c r="C32" s="10" t="s">
        <v>44</v>
      </c>
      <c r="D32" s="11">
        <v>555.09</v>
      </c>
      <c r="F32" s="9" t="s">
        <v>176</v>
      </c>
      <c r="G32" s="11">
        <v>619.79</v>
      </c>
      <c r="L32" s="9"/>
      <c r="M32" s="11"/>
      <c r="P32" s="9" t="s">
        <v>174</v>
      </c>
      <c r="Q32" s="11">
        <v>139.94</v>
      </c>
    </row>
    <row r="33" spans="3:17" ht="15">
      <c r="C33" s="10" t="s">
        <v>45</v>
      </c>
      <c r="D33" s="11">
        <v>475.83</v>
      </c>
      <c r="F33" s="9" t="s">
        <v>212</v>
      </c>
      <c r="G33" s="11">
        <v>579.82000000000005</v>
      </c>
      <c r="L33" s="9"/>
      <c r="M33" s="11"/>
      <c r="P33" s="9" t="s">
        <v>356</v>
      </c>
      <c r="Q33" s="11">
        <v>89.97</v>
      </c>
    </row>
    <row r="34" spans="3:17" ht="15">
      <c r="C34" s="10" t="s">
        <v>46</v>
      </c>
      <c r="D34" s="11">
        <v>619.79</v>
      </c>
      <c r="F34" s="9" t="s">
        <v>208</v>
      </c>
      <c r="G34" s="11">
        <v>564.35</v>
      </c>
      <c r="L34" s="9"/>
      <c r="M34" s="11"/>
      <c r="P34" s="9" t="s">
        <v>353</v>
      </c>
      <c r="Q34" s="11">
        <v>79.97</v>
      </c>
    </row>
    <row r="35" spans="3:17" ht="30">
      <c r="C35" s="10" t="s">
        <v>47</v>
      </c>
      <c r="D35" s="11">
        <v>429.79</v>
      </c>
      <c r="F35" s="9" t="s">
        <v>214</v>
      </c>
      <c r="G35" s="11">
        <v>555.09</v>
      </c>
      <c r="L35" s="9"/>
      <c r="M35" s="11"/>
      <c r="P35" s="9" t="s">
        <v>357</v>
      </c>
      <c r="Q35" s="11">
        <v>79.97</v>
      </c>
    </row>
    <row r="36" spans="3:17" ht="15">
      <c r="C36" s="10" t="s">
        <v>48</v>
      </c>
      <c r="D36" s="11">
        <v>321.37</v>
      </c>
      <c r="F36" s="9" t="s">
        <v>168</v>
      </c>
      <c r="G36" s="11">
        <v>542.76</v>
      </c>
      <c r="L36" s="9"/>
      <c r="M36" s="11"/>
      <c r="P36" s="9" t="s">
        <v>213</v>
      </c>
      <c r="Q36" s="11">
        <v>79.97</v>
      </c>
    </row>
    <row r="37" spans="3:17" ht="15">
      <c r="C37" s="10" t="s">
        <v>49</v>
      </c>
      <c r="D37" s="11">
        <v>427.3</v>
      </c>
      <c r="F37" s="9" t="s">
        <v>163</v>
      </c>
      <c r="G37" s="11">
        <v>538.66999999999996</v>
      </c>
      <c r="L37" s="9"/>
      <c r="M37" s="11"/>
      <c r="P37" s="9" t="s">
        <v>362</v>
      </c>
      <c r="Q37" s="11">
        <v>79.97</v>
      </c>
    </row>
    <row r="38" spans="3:17" ht="15">
      <c r="C38" s="10" t="s">
        <v>50</v>
      </c>
      <c r="D38" s="11">
        <v>579.82000000000005</v>
      </c>
      <c r="F38" s="9" t="s">
        <v>169</v>
      </c>
      <c r="G38" s="11">
        <v>475.83</v>
      </c>
      <c r="L38" s="9"/>
      <c r="M38" s="11"/>
      <c r="P38" s="9" t="s">
        <v>199</v>
      </c>
      <c r="Q38" s="11">
        <v>69.97</v>
      </c>
    </row>
    <row r="39" spans="3:17" ht="15">
      <c r="C39" s="10" t="s">
        <v>51</v>
      </c>
      <c r="D39" s="11">
        <v>347.82</v>
      </c>
      <c r="F39" s="9" t="s">
        <v>171</v>
      </c>
      <c r="G39" s="11">
        <v>429.79</v>
      </c>
      <c r="L39" s="9"/>
      <c r="M39" s="11"/>
      <c r="P39" s="9" t="s">
        <v>359</v>
      </c>
      <c r="Q39" s="11">
        <v>69.97</v>
      </c>
    </row>
    <row r="40" spans="3:17" ht="15">
      <c r="C40" s="10" t="s">
        <v>52</v>
      </c>
      <c r="D40" s="11">
        <v>329.85</v>
      </c>
      <c r="F40" s="9" t="s">
        <v>193</v>
      </c>
      <c r="G40" s="11">
        <v>427.3</v>
      </c>
      <c r="L40" s="9"/>
      <c r="M40" s="11"/>
      <c r="N40" s="9"/>
      <c r="O40" s="11"/>
      <c r="P40" s="9" t="s">
        <v>360</v>
      </c>
      <c r="Q40" s="11">
        <v>69.97</v>
      </c>
    </row>
    <row r="41" spans="3:17" ht="15">
      <c r="C41" s="10" t="s">
        <v>53</v>
      </c>
      <c r="D41" s="11">
        <v>342.37</v>
      </c>
      <c r="F41" s="9" t="s">
        <v>195</v>
      </c>
      <c r="G41" s="11">
        <v>377.39</v>
      </c>
      <c r="L41" s="9"/>
      <c r="M41" s="11"/>
      <c r="N41" s="9"/>
      <c r="O41" s="11"/>
      <c r="P41" s="9" t="s">
        <v>354</v>
      </c>
      <c r="Q41" s="11">
        <v>68.819999999999993</v>
      </c>
    </row>
    <row r="42" spans="3:17" ht="15">
      <c r="C42" s="10" t="s">
        <v>54</v>
      </c>
      <c r="D42" s="11">
        <v>640.35</v>
      </c>
      <c r="F42" s="9" t="s">
        <v>164</v>
      </c>
      <c r="G42" s="11">
        <v>347.82</v>
      </c>
      <c r="L42" s="9"/>
      <c r="M42" s="11"/>
      <c r="N42" s="9"/>
      <c r="O42" s="11"/>
      <c r="P42" s="9" t="s">
        <v>358</v>
      </c>
      <c r="Q42" s="11">
        <v>57.51</v>
      </c>
    </row>
    <row r="43" spans="3:17" ht="45">
      <c r="C43" s="10" t="s">
        <v>55</v>
      </c>
      <c r="D43" s="11">
        <v>247.43</v>
      </c>
      <c r="F43" s="9" t="s">
        <v>180</v>
      </c>
      <c r="G43" s="11">
        <v>342.37</v>
      </c>
      <c r="L43" s="9"/>
      <c r="M43" s="11"/>
      <c r="N43" s="9"/>
      <c r="O43" s="11"/>
      <c r="P43" s="9" t="s">
        <v>363</v>
      </c>
      <c r="Q43" s="11">
        <v>57.51</v>
      </c>
    </row>
    <row r="44" spans="3:17" ht="15">
      <c r="C44" s="10" t="s">
        <v>56</v>
      </c>
      <c r="D44" s="11">
        <v>307.45999999999998</v>
      </c>
      <c r="F44" s="9" t="s">
        <v>160</v>
      </c>
      <c r="G44" s="11">
        <v>329.85</v>
      </c>
      <c r="N44" s="9"/>
      <c r="O44" s="11"/>
      <c r="P44" s="9" t="s">
        <v>352</v>
      </c>
      <c r="Q44" s="11">
        <v>55.19</v>
      </c>
    </row>
    <row r="45" spans="3:17" ht="15">
      <c r="C45" s="10" t="s">
        <v>57</v>
      </c>
      <c r="D45" s="11">
        <v>538.66999999999996</v>
      </c>
      <c r="F45" s="9" t="s">
        <v>198</v>
      </c>
      <c r="G45" s="11">
        <v>321.37</v>
      </c>
      <c r="L45" s="9"/>
      <c r="M45" s="11"/>
      <c r="N45" s="9"/>
      <c r="O45" s="11"/>
      <c r="P45" s="9" t="s">
        <v>355</v>
      </c>
      <c r="Q45" s="11">
        <v>49.97</v>
      </c>
    </row>
    <row r="46" spans="3:17" ht="15">
      <c r="C46" s="10" t="s">
        <v>58</v>
      </c>
      <c r="D46" s="11">
        <v>295.83999999999997</v>
      </c>
      <c r="F46" s="9" t="s">
        <v>172</v>
      </c>
      <c r="G46" s="11">
        <v>307.45999999999998</v>
      </c>
      <c r="N46" s="9"/>
      <c r="O46" s="11"/>
      <c r="P46" s="9" t="s">
        <v>361</v>
      </c>
      <c r="Q46" s="11">
        <v>39.97</v>
      </c>
    </row>
    <row r="47" spans="3:17" ht="15">
      <c r="C47" s="10" t="s">
        <v>59</v>
      </c>
      <c r="D47" s="11">
        <v>277.39</v>
      </c>
      <c r="F47" s="9" t="s">
        <v>205</v>
      </c>
      <c r="G47" s="11">
        <v>295.83999999999997</v>
      </c>
      <c r="N47" s="9"/>
      <c r="O47" s="11"/>
    </row>
    <row r="48" spans="3:17" ht="15">
      <c r="C48" s="10" t="s">
        <v>60</v>
      </c>
      <c r="D48" s="11">
        <v>377.39</v>
      </c>
      <c r="F48" s="9" t="s">
        <v>201</v>
      </c>
      <c r="G48" s="11">
        <v>289.91000000000003</v>
      </c>
      <c r="N48" s="9"/>
      <c r="O48" s="11"/>
    </row>
    <row r="49" spans="3:15" ht="15">
      <c r="C49" s="10" t="s">
        <v>61</v>
      </c>
      <c r="D49" s="11">
        <v>209.91</v>
      </c>
      <c r="F49" s="9" t="s">
        <v>179</v>
      </c>
      <c r="G49" s="11">
        <v>277.39</v>
      </c>
      <c r="N49" s="9"/>
      <c r="O49" s="11"/>
    </row>
    <row r="50" spans="3:15" ht="15">
      <c r="C50" s="10" t="s">
        <v>62</v>
      </c>
      <c r="D50" s="11">
        <v>139.94</v>
      </c>
      <c r="F50" s="9" t="s">
        <v>218</v>
      </c>
      <c r="G50" s="11">
        <v>249.91</v>
      </c>
      <c r="N50" s="9"/>
      <c r="O50" s="11"/>
    </row>
    <row r="51" spans="3:15" ht="15">
      <c r="C51" s="10" t="s">
        <v>63</v>
      </c>
      <c r="D51" s="11">
        <v>239.91</v>
      </c>
      <c r="F51" s="9" t="s">
        <v>170</v>
      </c>
      <c r="G51" s="11">
        <v>247.43</v>
      </c>
      <c r="N51" s="9"/>
      <c r="O51" s="11"/>
    </row>
    <row r="52" spans="3:15" ht="30">
      <c r="C52" s="10" t="s">
        <v>64</v>
      </c>
      <c r="D52" s="11">
        <v>245.91</v>
      </c>
      <c r="F52" s="9" t="s">
        <v>211</v>
      </c>
      <c r="G52" s="11">
        <v>245.91</v>
      </c>
      <c r="N52" s="9"/>
      <c r="O52" s="11"/>
    </row>
    <row r="53" spans="3:15" ht="15">
      <c r="C53" s="10" t="s">
        <v>65</v>
      </c>
      <c r="D53" s="11">
        <v>289.91000000000003</v>
      </c>
      <c r="F53" s="9" t="s">
        <v>181</v>
      </c>
      <c r="G53" s="11">
        <v>239.91</v>
      </c>
      <c r="N53" s="9"/>
      <c r="O53" s="11"/>
    </row>
    <row r="54" spans="3:15" ht="30">
      <c r="C54" s="10" t="s">
        <v>66</v>
      </c>
      <c r="D54" s="11">
        <v>249.91</v>
      </c>
      <c r="F54" s="9" t="s">
        <v>202</v>
      </c>
      <c r="G54" s="11">
        <v>209.91</v>
      </c>
      <c r="N54" s="9"/>
      <c r="O54" s="11"/>
    </row>
    <row r="55" spans="3:15" ht="15">
      <c r="C55" s="10" t="s">
        <v>67</v>
      </c>
      <c r="D55" s="11">
        <v>157.94</v>
      </c>
      <c r="F55" s="9" t="s">
        <v>189</v>
      </c>
      <c r="G55" s="11">
        <v>157.94</v>
      </c>
      <c r="N55" s="9"/>
      <c r="O55" s="11"/>
    </row>
    <row r="56" spans="3:15" ht="15">
      <c r="C56" s="10" t="s">
        <v>68</v>
      </c>
      <c r="D56" s="11">
        <v>116.84</v>
      </c>
      <c r="F56" s="9" t="s">
        <v>174</v>
      </c>
      <c r="G56" s="11">
        <v>139.94</v>
      </c>
      <c r="N56" s="9"/>
      <c r="O56" s="11"/>
    </row>
    <row r="57" spans="3:15" ht="15">
      <c r="C57" s="10" t="s">
        <v>69</v>
      </c>
      <c r="D57" s="11">
        <v>55.19</v>
      </c>
      <c r="F57" s="9" t="s">
        <v>177</v>
      </c>
      <c r="G57" s="11">
        <v>116.84</v>
      </c>
    </row>
    <row r="58" spans="3:15" ht="15">
      <c r="C58" s="10" t="s">
        <v>70</v>
      </c>
      <c r="D58" s="11">
        <v>79.97</v>
      </c>
      <c r="F58" s="9" t="s">
        <v>356</v>
      </c>
      <c r="G58" s="11">
        <v>89.97</v>
      </c>
      <c r="N58" s="9"/>
      <c r="O58" s="11"/>
    </row>
    <row r="59" spans="3:15" ht="15">
      <c r="C59" s="10" t="s">
        <v>71</v>
      </c>
      <c r="D59" s="11">
        <v>68.819999999999993</v>
      </c>
      <c r="F59" s="9" t="s">
        <v>353</v>
      </c>
      <c r="G59" s="11">
        <v>79.97</v>
      </c>
      <c r="N59" s="9"/>
      <c r="O59" s="11"/>
    </row>
    <row r="60" spans="3:15" ht="15">
      <c r="C60" s="10" t="s">
        <v>72</v>
      </c>
      <c r="D60" s="11">
        <v>49.97</v>
      </c>
      <c r="F60" s="9" t="s">
        <v>357</v>
      </c>
      <c r="G60" s="11">
        <v>79.97</v>
      </c>
      <c r="N60" s="9"/>
      <c r="O60" s="11"/>
    </row>
    <row r="61" spans="3:15" ht="15">
      <c r="C61" s="10" t="s">
        <v>73</v>
      </c>
      <c r="D61" s="11">
        <v>89.97</v>
      </c>
      <c r="F61" s="9" t="s">
        <v>213</v>
      </c>
      <c r="G61" s="11">
        <v>79.97</v>
      </c>
      <c r="N61" s="9"/>
      <c r="O61" s="11"/>
    </row>
    <row r="62" spans="3:15" ht="15">
      <c r="C62" s="10" t="s">
        <v>74</v>
      </c>
      <c r="D62" s="11">
        <v>79.97</v>
      </c>
      <c r="F62" s="9" t="s">
        <v>362</v>
      </c>
      <c r="G62" s="11">
        <v>79.97</v>
      </c>
      <c r="N62" s="9"/>
      <c r="O62" s="11"/>
    </row>
    <row r="63" spans="3:15" ht="15">
      <c r="C63" s="10" t="s">
        <v>75</v>
      </c>
      <c r="D63" s="11">
        <v>57.51</v>
      </c>
      <c r="F63" s="9" t="s">
        <v>199</v>
      </c>
      <c r="G63" s="11">
        <v>69.97</v>
      </c>
      <c r="L63" s="9"/>
      <c r="M63" s="11"/>
      <c r="N63" s="9"/>
      <c r="O63" s="11"/>
    </row>
    <row r="64" spans="3:15" ht="15">
      <c r="C64" s="10" t="s">
        <v>76</v>
      </c>
      <c r="D64" s="11">
        <v>79.97</v>
      </c>
      <c r="F64" s="9" t="s">
        <v>359</v>
      </c>
      <c r="G64" s="11">
        <v>69.97</v>
      </c>
      <c r="L64" s="9"/>
      <c r="M64" s="11"/>
      <c r="N64" s="9"/>
      <c r="O64" s="11"/>
    </row>
    <row r="65" spans="3:15" ht="15">
      <c r="C65" s="10" t="s">
        <v>77</v>
      </c>
      <c r="D65" s="11">
        <v>69.97</v>
      </c>
      <c r="F65" s="9" t="s">
        <v>360</v>
      </c>
      <c r="G65" s="11">
        <v>69.97</v>
      </c>
      <c r="L65" s="9"/>
      <c r="M65" s="11"/>
      <c r="N65" s="9"/>
      <c r="O65" s="11"/>
    </row>
    <row r="66" spans="3:15" ht="15">
      <c r="C66" s="10" t="s">
        <v>78</v>
      </c>
      <c r="D66" s="11">
        <v>69.97</v>
      </c>
      <c r="F66" s="9" t="s">
        <v>354</v>
      </c>
      <c r="G66" s="11">
        <v>68.819999999999993</v>
      </c>
      <c r="L66" s="9"/>
      <c r="M66" s="11"/>
      <c r="N66" s="9"/>
      <c r="O66" s="11"/>
    </row>
    <row r="67" spans="3:15" ht="15">
      <c r="C67" s="10" t="s">
        <v>79</v>
      </c>
      <c r="D67" s="11">
        <v>69.97</v>
      </c>
      <c r="F67" s="9" t="s">
        <v>358</v>
      </c>
      <c r="G67" s="11">
        <v>57.51</v>
      </c>
      <c r="L67" s="9"/>
      <c r="M67" s="11"/>
      <c r="N67" s="9"/>
      <c r="O67" s="11"/>
    </row>
    <row r="68" spans="3:15" ht="30">
      <c r="C68" s="10" t="s">
        <v>80</v>
      </c>
      <c r="D68" s="11">
        <v>39.97</v>
      </c>
      <c r="F68" s="9" t="s">
        <v>363</v>
      </c>
      <c r="G68" s="11">
        <v>57.51</v>
      </c>
      <c r="L68" s="9"/>
      <c r="M68" s="11"/>
      <c r="N68" s="9"/>
      <c r="O68" s="11"/>
    </row>
    <row r="69" spans="3:15" ht="15">
      <c r="C69" s="10" t="s">
        <v>81</v>
      </c>
      <c r="D69" s="11">
        <v>79.97</v>
      </c>
      <c r="F69" s="9" t="s">
        <v>352</v>
      </c>
      <c r="G69" s="11">
        <v>55.19</v>
      </c>
      <c r="L69" s="9"/>
      <c r="M69" s="11"/>
      <c r="N69" s="9"/>
      <c r="O69" s="11"/>
    </row>
    <row r="70" spans="3:15" ht="15">
      <c r="C70" s="10" t="s">
        <v>82</v>
      </c>
      <c r="D70" s="11">
        <v>57.51</v>
      </c>
      <c r="F70" s="9" t="s">
        <v>355</v>
      </c>
      <c r="G70" s="11">
        <v>49.97</v>
      </c>
      <c r="L70" s="9"/>
      <c r="M70" s="11"/>
      <c r="N70" s="9"/>
      <c r="O70" s="11"/>
    </row>
    <row r="71" spans="3:15" ht="15">
      <c r="F71" s="9" t="s">
        <v>361</v>
      </c>
      <c r="G71" s="11">
        <v>39.97</v>
      </c>
      <c r="L71" s="9"/>
      <c r="M71" s="11"/>
      <c r="N71" s="9"/>
      <c r="O71" s="11"/>
    </row>
  </sheetData>
  <autoFilter ref="F1:G71" xr:uid="{00000000-0009-0000-0000-00000B000000}"/>
  <pageMargins left="0.7" right="0.7" top="0.75" bottom="0.75" header="0.511811023622047" footer="0.511811023622047"/>
  <pageSetup orientation="landscape" horizontalDpi="300" verticalDpi="300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1001"/>
  <sheetViews>
    <sheetView zoomScaleNormal="100" workbookViewId="0"/>
  </sheetViews>
  <sheetFormatPr defaultColWidth="12.625" defaultRowHeight="14.25"/>
  <cols>
    <col min="1" max="26" width="11" customWidth="1"/>
  </cols>
  <sheetData>
    <row r="1" spans="1:2" ht="15" customHeight="1">
      <c r="A1" s="75" t="s">
        <v>0</v>
      </c>
      <c r="B1" s="76" t="s">
        <v>630</v>
      </c>
    </row>
    <row r="2" spans="1:2" ht="15" customHeight="1">
      <c r="A2" s="77" t="s">
        <v>374</v>
      </c>
      <c r="B2" s="78" t="s">
        <v>631</v>
      </c>
    </row>
    <row r="3" spans="1:2" ht="15" customHeight="1">
      <c r="A3" s="77" t="s">
        <v>384</v>
      </c>
      <c r="B3" s="78" t="s">
        <v>632</v>
      </c>
    </row>
    <row r="4" spans="1:2" ht="15" customHeight="1">
      <c r="A4" s="77" t="s">
        <v>496</v>
      </c>
      <c r="B4" s="78" t="s">
        <v>633</v>
      </c>
    </row>
    <row r="5" spans="1:2" ht="15" customHeight="1">
      <c r="A5" s="77" t="s">
        <v>388</v>
      </c>
      <c r="B5" s="78" t="s">
        <v>634</v>
      </c>
    </row>
    <row r="6" spans="1:2" ht="15" customHeight="1">
      <c r="A6" s="77" t="s">
        <v>381</v>
      </c>
      <c r="B6" s="78" t="s">
        <v>635</v>
      </c>
    </row>
    <row r="7" spans="1:2" ht="15" customHeight="1">
      <c r="A7" s="77" t="s">
        <v>405</v>
      </c>
      <c r="B7" s="78" t="s">
        <v>636</v>
      </c>
    </row>
    <row r="8" spans="1:2" ht="15" customHeight="1">
      <c r="A8" s="77" t="s">
        <v>159</v>
      </c>
      <c r="B8" s="78" t="s">
        <v>637</v>
      </c>
    </row>
    <row r="9" spans="1:2" ht="15" customHeight="1">
      <c r="A9" s="77" t="s">
        <v>386</v>
      </c>
      <c r="B9" s="78" t="s">
        <v>638</v>
      </c>
    </row>
    <row r="10" spans="1:2" ht="15" customHeight="1">
      <c r="A10" s="77" t="s">
        <v>158</v>
      </c>
      <c r="B10" s="78" t="s">
        <v>17</v>
      </c>
    </row>
    <row r="11" spans="1:2" ht="15" customHeight="1">
      <c r="A11" s="77" t="s">
        <v>160</v>
      </c>
      <c r="B11" s="78" t="s">
        <v>52</v>
      </c>
    </row>
    <row r="12" spans="1:2" ht="15" customHeight="1">
      <c r="A12" s="77" t="s">
        <v>379</v>
      </c>
      <c r="B12" s="78" t="s">
        <v>639</v>
      </c>
    </row>
    <row r="13" spans="1:2" ht="15" customHeight="1">
      <c r="A13" s="77" t="s">
        <v>640</v>
      </c>
      <c r="B13" s="78" t="s">
        <v>641</v>
      </c>
    </row>
    <row r="14" spans="1:2" ht="15" customHeight="1">
      <c r="A14" s="77" t="s">
        <v>161</v>
      </c>
      <c r="B14" s="78" t="s">
        <v>41</v>
      </c>
    </row>
    <row r="15" spans="1:2" ht="15" customHeight="1">
      <c r="A15" s="77" t="s">
        <v>426</v>
      </c>
      <c r="B15" s="78" t="s">
        <v>642</v>
      </c>
    </row>
    <row r="16" spans="1:2" ht="15" customHeight="1">
      <c r="A16" s="77" t="s">
        <v>353</v>
      </c>
      <c r="B16" s="78" t="s">
        <v>70</v>
      </c>
    </row>
    <row r="17" spans="1:2" ht="15" customHeight="1">
      <c r="A17" s="77" t="s">
        <v>390</v>
      </c>
      <c r="B17" s="78" t="s">
        <v>643</v>
      </c>
    </row>
    <row r="18" spans="1:2" ht="15" customHeight="1">
      <c r="A18" s="77" t="s">
        <v>162</v>
      </c>
      <c r="B18" s="78" t="s">
        <v>35</v>
      </c>
    </row>
    <row r="19" spans="1:2" ht="15" customHeight="1">
      <c r="A19" s="77" t="s">
        <v>442</v>
      </c>
      <c r="B19" s="78" t="s">
        <v>644</v>
      </c>
    </row>
    <row r="20" spans="1:2" ht="15" customHeight="1">
      <c r="A20" s="77" t="s">
        <v>163</v>
      </c>
      <c r="B20" s="78" t="s">
        <v>57</v>
      </c>
    </row>
    <row r="21" spans="1:2" ht="15" customHeight="1">
      <c r="A21" s="77" t="s">
        <v>419</v>
      </c>
      <c r="B21" s="78" t="s">
        <v>645</v>
      </c>
    </row>
    <row r="22" spans="1:2" ht="15" customHeight="1">
      <c r="A22" s="77" t="s">
        <v>457</v>
      </c>
      <c r="B22" s="78" t="s">
        <v>646</v>
      </c>
    </row>
    <row r="23" spans="1:2" ht="15" customHeight="1">
      <c r="A23" s="77" t="s">
        <v>447</v>
      </c>
      <c r="B23" s="78" t="s">
        <v>647</v>
      </c>
    </row>
    <row r="24" spans="1:2" ht="15.75">
      <c r="A24" s="77" t="s">
        <v>648</v>
      </c>
      <c r="B24" s="78" t="s">
        <v>649</v>
      </c>
    </row>
    <row r="25" spans="1:2" ht="15.75">
      <c r="A25" s="77" t="s">
        <v>460</v>
      </c>
      <c r="B25" s="78" t="s">
        <v>650</v>
      </c>
    </row>
    <row r="26" spans="1:2" ht="15.75">
      <c r="A26" s="77" t="s">
        <v>164</v>
      </c>
      <c r="B26" s="78" t="s">
        <v>51</v>
      </c>
    </row>
    <row r="27" spans="1:2" ht="15.75">
      <c r="A27" s="77" t="s">
        <v>455</v>
      </c>
      <c r="B27" s="78" t="s">
        <v>651</v>
      </c>
    </row>
    <row r="28" spans="1:2" ht="15.75">
      <c r="A28" s="77" t="s">
        <v>394</v>
      </c>
      <c r="B28" s="78" t="s">
        <v>652</v>
      </c>
    </row>
    <row r="29" spans="1:2" ht="15.75">
      <c r="A29" s="77" t="s">
        <v>423</v>
      </c>
      <c r="B29" s="78" t="s">
        <v>653</v>
      </c>
    </row>
    <row r="30" spans="1:2" ht="15.75">
      <c r="A30" s="77" t="s">
        <v>393</v>
      </c>
      <c r="B30" s="78" t="s">
        <v>654</v>
      </c>
    </row>
    <row r="31" spans="1:2" ht="15.75">
      <c r="A31" s="77" t="s">
        <v>354</v>
      </c>
      <c r="B31" s="78" t="s">
        <v>71</v>
      </c>
    </row>
    <row r="32" spans="1:2" ht="15.75">
      <c r="A32" s="77" t="s">
        <v>474</v>
      </c>
      <c r="B32" s="78" t="s">
        <v>655</v>
      </c>
    </row>
    <row r="33" spans="1:2" ht="15.75">
      <c r="A33" s="77" t="s">
        <v>165</v>
      </c>
      <c r="B33" s="78" t="s">
        <v>13</v>
      </c>
    </row>
    <row r="34" spans="1:2" ht="15.75">
      <c r="A34" s="77" t="s">
        <v>584</v>
      </c>
      <c r="B34" s="78" t="s">
        <v>656</v>
      </c>
    </row>
    <row r="35" spans="1:2" ht="15.75">
      <c r="A35" s="77" t="s">
        <v>398</v>
      </c>
      <c r="B35" s="78" t="s">
        <v>657</v>
      </c>
    </row>
    <row r="36" spans="1:2" ht="15.75">
      <c r="A36" s="77" t="s">
        <v>451</v>
      </c>
      <c r="B36" s="78" t="s">
        <v>658</v>
      </c>
    </row>
    <row r="37" spans="1:2" ht="15.75">
      <c r="A37" s="77" t="s">
        <v>166</v>
      </c>
      <c r="B37" s="78" t="s">
        <v>22</v>
      </c>
    </row>
    <row r="38" spans="1:2" ht="15.75">
      <c r="A38" s="77" t="s">
        <v>362</v>
      </c>
      <c r="B38" s="78" t="s">
        <v>81</v>
      </c>
    </row>
    <row r="39" spans="1:2" ht="15.75">
      <c r="A39" s="77" t="s">
        <v>167</v>
      </c>
      <c r="B39" s="78" t="s">
        <v>14</v>
      </c>
    </row>
    <row r="40" spans="1:2" ht="15.75">
      <c r="A40" s="77" t="s">
        <v>448</v>
      </c>
      <c r="B40" s="78" t="s">
        <v>659</v>
      </c>
    </row>
    <row r="41" spans="1:2" ht="15.75">
      <c r="A41" s="77" t="s">
        <v>660</v>
      </c>
      <c r="B41" s="78" t="s">
        <v>661</v>
      </c>
    </row>
    <row r="42" spans="1:2" ht="15.75">
      <c r="A42" s="77" t="s">
        <v>662</v>
      </c>
      <c r="B42" s="78" t="s">
        <v>663</v>
      </c>
    </row>
    <row r="43" spans="1:2" ht="15.75">
      <c r="A43" s="77" t="s">
        <v>168</v>
      </c>
      <c r="B43" s="78" t="s">
        <v>43</v>
      </c>
    </row>
    <row r="44" spans="1:2" ht="15.75">
      <c r="A44" s="77" t="s">
        <v>472</v>
      </c>
      <c r="B44" s="78" t="s">
        <v>664</v>
      </c>
    </row>
    <row r="45" spans="1:2" ht="15.75">
      <c r="A45" s="77" t="s">
        <v>665</v>
      </c>
      <c r="B45" s="78" t="s">
        <v>666</v>
      </c>
    </row>
    <row r="46" spans="1:2" ht="15.75">
      <c r="A46" s="77" t="s">
        <v>483</v>
      </c>
      <c r="B46" s="78" t="s">
        <v>667</v>
      </c>
    </row>
    <row r="47" spans="1:2" ht="15.75">
      <c r="A47" s="77" t="s">
        <v>169</v>
      </c>
      <c r="B47" s="78" t="s">
        <v>45</v>
      </c>
    </row>
    <row r="48" spans="1:2" ht="15.75">
      <c r="A48" s="77" t="s">
        <v>170</v>
      </c>
      <c r="B48" s="78" t="s">
        <v>55</v>
      </c>
    </row>
    <row r="49" spans="1:2" ht="15.75">
      <c r="A49" s="77" t="s">
        <v>171</v>
      </c>
      <c r="B49" s="78" t="s">
        <v>47</v>
      </c>
    </row>
    <row r="50" spans="1:2" ht="15.75">
      <c r="A50" s="77" t="s">
        <v>491</v>
      </c>
      <c r="B50" s="78" t="s">
        <v>668</v>
      </c>
    </row>
    <row r="51" spans="1:2" ht="15.75">
      <c r="A51" s="77" t="s">
        <v>493</v>
      </c>
      <c r="B51" s="78" t="s">
        <v>669</v>
      </c>
    </row>
    <row r="52" spans="1:2" ht="15.75">
      <c r="A52" s="77" t="s">
        <v>495</v>
      </c>
      <c r="B52" s="78" t="s">
        <v>670</v>
      </c>
    </row>
    <row r="53" spans="1:2" ht="15.75">
      <c r="A53" s="77" t="s">
        <v>671</v>
      </c>
      <c r="B53" s="78" t="s">
        <v>672</v>
      </c>
    </row>
    <row r="54" spans="1:2" ht="15.75">
      <c r="A54" s="77" t="s">
        <v>508</v>
      </c>
      <c r="B54" s="78" t="s">
        <v>673</v>
      </c>
    </row>
    <row r="55" spans="1:2" ht="15.75">
      <c r="A55" s="77" t="s">
        <v>521</v>
      </c>
      <c r="B55" s="78" t="s">
        <v>674</v>
      </c>
    </row>
    <row r="56" spans="1:2" ht="15.75">
      <c r="A56" s="77" t="s">
        <v>372</v>
      </c>
      <c r="B56" s="78" t="s">
        <v>675</v>
      </c>
    </row>
    <row r="57" spans="1:2" ht="15.75">
      <c r="A57" s="77" t="s">
        <v>385</v>
      </c>
      <c r="B57" s="78" t="s">
        <v>676</v>
      </c>
    </row>
    <row r="58" spans="1:2" ht="15.75">
      <c r="A58" s="77" t="s">
        <v>172</v>
      </c>
      <c r="B58" s="78" t="s">
        <v>56</v>
      </c>
    </row>
    <row r="59" spans="1:2" ht="15.75">
      <c r="A59" s="77" t="s">
        <v>514</v>
      </c>
      <c r="B59" s="78" t="s">
        <v>677</v>
      </c>
    </row>
    <row r="60" spans="1:2" ht="15.75">
      <c r="A60" s="77" t="s">
        <v>489</v>
      </c>
      <c r="B60" s="78" t="s">
        <v>678</v>
      </c>
    </row>
    <row r="61" spans="1:2" ht="15.75">
      <c r="A61" s="77" t="s">
        <v>359</v>
      </c>
      <c r="B61" s="78" t="s">
        <v>78</v>
      </c>
    </row>
    <row r="62" spans="1:2" ht="15.75">
      <c r="A62" s="77" t="s">
        <v>173</v>
      </c>
      <c r="B62" s="78" t="s">
        <v>29</v>
      </c>
    </row>
    <row r="63" spans="1:2" ht="15.75">
      <c r="A63" s="77" t="s">
        <v>482</v>
      </c>
      <c r="B63" s="78" t="s">
        <v>679</v>
      </c>
    </row>
    <row r="64" spans="1:2" ht="15.75">
      <c r="A64" s="77" t="s">
        <v>429</v>
      </c>
      <c r="B64" s="78" t="s">
        <v>680</v>
      </c>
    </row>
    <row r="65" spans="1:2" ht="15.75">
      <c r="A65" s="77" t="s">
        <v>410</v>
      </c>
      <c r="B65" s="78" t="s">
        <v>681</v>
      </c>
    </row>
    <row r="66" spans="1:2" ht="15.75">
      <c r="A66" s="77" t="s">
        <v>175</v>
      </c>
      <c r="B66" s="78" t="s">
        <v>28</v>
      </c>
    </row>
    <row r="67" spans="1:2" ht="15.75">
      <c r="A67" s="77" t="s">
        <v>176</v>
      </c>
      <c r="B67" s="78" t="s">
        <v>46</v>
      </c>
    </row>
    <row r="68" spans="1:2" ht="15.75">
      <c r="A68" s="77" t="s">
        <v>407</v>
      </c>
      <c r="B68" s="78" t="s">
        <v>682</v>
      </c>
    </row>
    <row r="69" spans="1:2" ht="15.75">
      <c r="A69" s="77" t="s">
        <v>530</v>
      </c>
      <c r="B69" s="78" t="s">
        <v>683</v>
      </c>
    </row>
    <row r="70" spans="1:2" ht="15.75">
      <c r="A70" s="77" t="s">
        <v>531</v>
      </c>
      <c r="B70" s="78" t="s">
        <v>684</v>
      </c>
    </row>
    <row r="71" spans="1:2" ht="15.75">
      <c r="A71" s="77" t="s">
        <v>400</v>
      </c>
      <c r="B71" s="78" t="s">
        <v>685</v>
      </c>
    </row>
    <row r="72" spans="1:2" ht="15.75">
      <c r="A72" s="77" t="s">
        <v>445</v>
      </c>
      <c r="B72" s="78" t="s">
        <v>686</v>
      </c>
    </row>
    <row r="73" spans="1:2" ht="15.75">
      <c r="A73" s="77" t="s">
        <v>382</v>
      </c>
      <c r="B73" s="78" t="s">
        <v>687</v>
      </c>
    </row>
    <row r="74" spans="1:2" ht="15.75">
      <c r="A74" s="77" t="s">
        <v>533</v>
      </c>
      <c r="B74" s="78" t="s">
        <v>688</v>
      </c>
    </row>
    <row r="75" spans="1:2" ht="15.75">
      <c r="A75" s="77" t="s">
        <v>406</v>
      </c>
      <c r="B75" s="78" t="s">
        <v>689</v>
      </c>
    </row>
    <row r="76" spans="1:2" ht="15.75">
      <c r="A76" s="77" t="s">
        <v>434</v>
      </c>
      <c r="B76" s="78" t="s">
        <v>690</v>
      </c>
    </row>
    <row r="77" spans="1:2" ht="15.75">
      <c r="A77" s="77" t="s">
        <v>178</v>
      </c>
      <c r="B77" s="78" t="s">
        <v>19</v>
      </c>
    </row>
    <row r="78" spans="1:2" ht="15.75">
      <c r="A78" s="77" t="s">
        <v>179</v>
      </c>
      <c r="B78" s="78" t="s">
        <v>59</v>
      </c>
    </row>
    <row r="79" spans="1:2" ht="15.75">
      <c r="A79" s="77" t="s">
        <v>180</v>
      </c>
      <c r="B79" s="78" t="s">
        <v>53</v>
      </c>
    </row>
    <row r="80" spans="1:2" ht="15.75">
      <c r="A80" s="77" t="s">
        <v>524</v>
      </c>
      <c r="B80" s="78" t="s">
        <v>691</v>
      </c>
    </row>
    <row r="81" spans="1:2" ht="15.75">
      <c r="A81" s="77" t="s">
        <v>181</v>
      </c>
      <c r="B81" s="78" t="s">
        <v>63</v>
      </c>
    </row>
    <row r="82" spans="1:2" ht="15.75">
      <c r="A82" s="77" t="s">
        <v>593</v>
      </c>
      <c r="B82" s="78" t="s">
        <v>692</v>
      </c>
    </row>
    <row r="83" spans="1:2" ht="15.75">
      <c r="A83" s="77" t="s">
        <v>540</v>
      </c>
      <c r="B83" s="78" t="s">
        <v>693</v>
      </c>
    </row>
    <row r="84" spans="1:2" ht="15.75">
      <c r="A84" s="77" t="s">
        <v>182</v>
      </c>
      <c r="B84" s="78" t="s">
        <v>27</v>
      </c>
    </row>
    <row r="85" spans="1:2" ht="15.75">
      <c r="A85" s="77" t="s">
        <v>183</v>
      </c>
      <c r="B85" s="78" t="s">
        <v>15</v>
      </c>
    </row>
    <row r="86" spans="1:2" ht="15.75">
      <c r="A86" s="77" t="s">
        <v>184</v>
      </c>
      <c r="B86" s="78" t="s">
        <v>54</v>
      </c>
    </row>
    <row r="87" spans="1:2" ht="15.75">
      <c r="A87" s="77" t="s">
        <v>537</v>
      </c>
      <c r="B87" s="78" t="s">
        <v>694</v>
      </c>
    </row>
    <row r="88" spans="1:2" ht="15.75">
      <c r="A88" s="77" t="s">
        <v>185</v>
      </c>
      <c r="B88" s="78" t="s">
        <v>30</v>
      </c>
    </row>
    <row r="89" spans="1:2" ht="15.75">
      <c r="A89" s="77" t="s">
        <v>355</v>
      </c>
      <c r="B89" s="78" t="s">
        <v>72</v>
      </c>
    </row>
    <row r="90" spans="1:2" ht="15.75">
      <c r="A90" s="77" t="s">
        <v>421</v>
      </c>
      <c r="B90" s="78" t="s">
        <v>695</v>
      </c>
    </row>
    <row r="91" spans="1:2" ht="15.75">
      <c r="A91" s="77" t="s">
        <v>478</v>
      </c>
      <c r="B91" s="78" t="s">
        <v>696</v>
      </c>
    </row>
    <row r="92" spans="1:2" ht="15.75">
      <c r="A92" s="77" t="s">
        <v>526</v>
      </c>
      <c r="B92" s="78" t="s">
        <v>697</v>
      </c>
    </row>
    <row r="93" spans="1:2" ht="15.75">
      <c r="A93" s="77" t="s">
        <v>698</v>
      </c>
      <c r="B93" s="78" t="s">
        <v>699</v>
      </c>
    </row>
    <row r="94" spans="1:2" ht="15.75">
      <c r="A94" s="77" t="s">
        <v>186</v>
      </c>
      <c r="B94" s="78" t="s">
        <v>25</v>
      </c>
    </row>
    <row r="95" spans="1:2" ht="15.75">
      <c r="A95" s="77" t="s">
        <v>187</v>
      </c>
      <c r="B95" s="78" t="s">
        <v>40</v>
      </c>
    </row>
    <row r="96" spans="1:2" ht="15.75">
      <c r="A96" s="77" t="s">
        <v>535</v>
      </c>
      <c r="B96" s="78" t="s">
        <v>700</v>
      </c>
    </row>
    <row r="97" spans="1:2" ht="15.75">
      <c r="A97" s="77" t="s">
        <v>543</v>
      </c>
      <c r="B97" s="78" t="s">
        <v>701</v>
      </c>
    </row>
    <row r="98" spans="1:2" ht="15.75">
      <c r="A98" s="77" t="s">
        <v>360</v>
      </c>
      <c r="B98" s="78" t="s">
        <v>79</v>
      </c>
    </row>
    <row r="99" spans="1:2" ht="15.75">
      <c r="A99" s="77" t="s">
        <v>494</v>
      </c>
      <c r="B99" s="78" t="s">
        <v>702</v>
      </c>
    </row>
    <row r="100" spans="1:2" ht="15.75">
      <c r="A100" s="77" t="s">
        <v>427</v>
      </c>
      <c r="B100" s="78" t="s">
        <v>703</v>
      </c>
    </row>
    <row r="101" spans="1:2" ht="15.75">
      <c r="A101" s="77" t="s">
        <v>424</v>
      </c>
      <c r="B101" s="78" t="s">
        <v>704</v>
      </c>
    </row>
    <row r="102" spans="1:2" ht="15.75">
      <c r="A102" s="77" t="s">
        <v>562</v>
      </c>
      <c r="B102" s="78" t="s">
        <v>705</v>
      </c>
    </row>
    <row r="103" spans="1:2" ht="15.75">
      <c r="A103" s="77" t="s">
        <v>568</v>
      </c>
      <c r="B103" s="78" t="s">
        <v>706</v>
      </c>
    </row>
    <row r="104" spans="1:2" ht="15.75">
      <c r="A104" s="77" t="s">
        <v>358</v>
      </c>
      <c r="B104" s="78" t="s">
        <v>75</v>
      </c>
    </row>
    <row r="105" spans="1:2" ht="15.75">
      <c r="A105" s="77" t="s">
        <v>547</v>
      </c>
      <c r="B105" s="78" t="s">
        <v>707</v>
      </c>
    </row>
    <row r="106" spans="1:2" ht="15.75">
      <c r="A106" s="77" t="s">
        <v>708</v>
      </c>
      <c r="B106" s="78" t="s">
        <v>709</v>
      </c>
    </row>
    <row r="107" spans="1:2" ht="15.75">
      <c r="A107" s="77" t="s">
        <v>378</v>
      </c>
      <c r="B107" s="78" t="s">
        <v>710</v>
      </c>
    </row>
    <row r="108" spans="1:2" ht="15.75">
      <c r="A108" s="77" t="s">
        <v>420</v>
      </c>
      <c r="B108" s="78" t="s">
        <v>711</v>
      </c>
    </row>
    <row r="109" spans="1:2" ht="15.75">
      <c r="A109" s="77" t="s">
        <v>188</v>
      </c>
      <c r="B109" s="78" t="s">
        <v>37</v>
      </c>
    </row>
    <row r="110" spans="1:2" ht="15.75">
      <c r="A110" s="77" t="s">
        <v>575</v>
      </c>
      <c r="B110" s="78" t="s">
        <v>712</v>
      </c>
    </row>
    <row r="111" spans="1:2" ht="15.75">
      <c r="A111" s="77" t="s">
        <v>453</v>
      </c>
      <c r="B111" s="78" t="s">
        <v>713</v>
      </c>
    </row>
    <row r="112" spans="1:2" ht="15.75">
      <c r="A112" s="77" t="s">
        <v>551</v>
      </c>
      <c r="B112" s="78" t="s">
        <v>714</v>
      </c>
    </row>
    <row r="113" spans="1:2" ht="15.75">
      <c r="A113" s="77" t="s">
        <v>579</v>
      </c>
      <c r="B113" s="78" t="s">
        <v>715</v>
      </c>
    </row>
    <row r="114" spans="1:2" ht="15.75">
      <c r="A114" s="77" t="s">
        <v>488</v>
      </c>
      <c r="B114" s="78" t="s">
        <v>716</v>
      </c>
    </row>
    <row r="115" spans="1:2" ht="15.75">
      <c r="A115" s="77" t="s">
        <v>189</v>
      </c>
      <c r="B115" s="78" t="s">
        <v>67</v>
      </c>
    </row>
    <row r="116" spans="1:2" ht="15.75">
      <c r="A116" s="77" t="s">
        <v>190</v>
      </c>
      <c r="B116" s="78" t="s">
        <v>16</v>
      </c>
    </row>
    <row r="117" spans="1:2" ht="15.75">
      <c r="A117" s="77" t="s">
        <v>462</v>
      </c>
      <c r="B117" s="78" t="s">
        <v>717</v>
      </c>
    </row>
    <row r="118" spans="1:2" ht="15.75">
      <c r="A118" s="77" t="s">
        <v>435</v>
      </c>
      <c r="B118" s="78" t="s">
        <v>718</v>
      </c>
    </row>
    <row r="119" spans="1:2" ht="15.75">
      <c r="A119" s="77" t="s">
        <v>577</v>
      </c>
      <c r="B119" s="78" t="s">
        <v>719</v>
      </c>
    </row>
    <row r="120" spans="1:2" ht="15.75">
      <c r="A120" s="77" t="s">
        <v>492</v>
      </c>
      <c r="B120" s="78" t="s">
        <v>720</v>
      </c>
    </row>
    <row r="121" spans="1:2" ht="15.75">
      <c r="A121" s="77" t="s">
        <v>576</v>
      </c>
      <c r="B121" s="78" t="s">
        <v>721</v>
      </c>
    </row>
    <row r="122" spans="1:2" ht="15.75">
      <c r="A122" s="77" t="s">
        <v>443</v>
      </c>
      <c r="B122" s="78" t="s">
        <v>722</v>
      </c>
    </row>
    <row r="123" spans="1:2" ht="15.75">
      <c r="A123" s="77" t="s">
        <v>512</v>
      </c>
      <c r="B123" s="78" t="s">
        <v>723</v>
      </c>
    </row>
    <row r="124" spans="1:2" ht="15.75">
      <c r="A124" s="77" t="s">
        <v>549</v>
      </c>
      <c r="B124" s="78" t="s">
        <v>724</v>
      </c>
    </row>
    <row r="125" spans="1:2" ht="15.75">
      <c r="A125" s="77" t="s">
        <v>582</v>
      </c>
      <c r="B125" s="78" t="s">
        <v>725</v>
      </c>
    </row>
    <row r="126" spans="1:2" ht="15.75">
      <c r="A126" s="77" t="s">
        <v>505</v>
      </c>
      <c r="B126" s="78" t="s">
        <v>726</v>
      </c>
    </row>
    <row r="127" spans="1:2" ht="15.75">
      <c r="A127" s="77" t="s">
        <v>191</v>
      </c>
      <c r="B127" s="78" t="s">
        <v>34</v>
      </c>
    </row>
    <row r="128" spans="1:2" ht="15.75">
      <c r="A128" s="77" t="s">
        <v>192</v>
      </c>
      <c r="B128" s="78" t="s">
        <v>20</v>
      </c>
    </row>
    <row r="129" spans="1:2" ht="15.75">
      <c r="A129" s="77" t="s">
        <v>511</v>
      </c>
      <c r="B129" s="78" t="s">
        <v>727</v>
      </c>
    </row>
    <row r="130" spans="1:2" ht="15.75">
      <c r="A130" s="77" t="s">
        <v>467</v>
      </c>
      <c r="B130" s="78" t="s">
        <v>728</v>
      </c>
    </row>
    <row r="131" spans="1:2" ht="15.75">
      <c r="A131" s="77" t="s">
        <v>193</v>
      </c>
      <c r="B131" s="78" t="s">
        <v>49</v>
      </c>
    </row>
    <row r="132" spans="1:2" ht="15.75">
      <c r="A132" s="77" t="s">
        <v>194</v>
      </c>
      <c r="B132" s="78" t="s">
        <v>42</v>
      </c>
    </row>
    <row r="133" spans="1:2" ht="15.75">
      <c r="A133" s="77" t="s">
        <v>195</v>
      </c>
      <c r="B133" s="78" t="s">
        <v>60</v>
      </c>
    </row>
    <row r="134" spans="1:2" ht="15.75">
      <c r="A134" s="77" t="s">
        <v>515</v>
      </c>
      <c r="B134" s="78" t="s">
        <v>729</v>
      </c>
    </row>
    <row r="135" spans="1:2" ht="15.75">
      <c r="A135" s="77" t="s">
        <v>509</v>
      </c>
      <c r="B135" s="78" t="s">
        <v>730</v>
      </c>
    </row>
    <row r="136" spans="1:2" ht="15.75">
      <c r="A136" s="77" t="s">
        <v>523</v>
      </c>
      <c r="B136" s="78" t="s">
        <v>731</v>
      </c>
    </row>
    <row r="137" spans="1:2" ht="15.75">
      <c r="A137" s="77" t="s">
        <v>470</v>
      </c>
      <c r="B137" s="78" t="s">
        <v>732</v>
      </c>
    </row>
    <row r="138" spans="1:2" ht="15.75">
      <c r="A138" s="77" t="s">
        <v>518</v>
      </c>
      <c r="B138" s="78" t="s">
        <v>733</v>
      </c>
    </row>
    <row r="139" spans="1:2" ht="15.75">
      <c r="A139" s="77" t="s">
        <v>196</v>
      </c>
      <c r="B139" s="78" t="s">
        <v>36</v>
      </c>
    </row>
    <row r="140" spans="1:2" ht="15.75">
      <c r="A140" s="77" t="s">
        <v>197</v>
      </c>
      <c r="B140" s="78" t="s">
        <v>26</v>
      </c>
    </row>
    <row r="141" spans="1:2" ht="15.75">
      <c r="A141" s="77" t="s">
        <v>199</v>
      </c>
      <c r="B141" s="78" t="s">
        <v>77</v>
      </c>
    </row>
    <row r="142" spans="1:2" ht="15.75">
      <c r="A142" s="77" t="s">
        <v>198</v>
      </c>
      <c r="B142" s="78" t="s">
        <v>48</v>
      </c>
    </row>
    <row r="143" spans="1:2" ht="15.75">
      <c r="A143" s="77" t="s">
        <v>201</v>
      </c>
      <c r="B143" s="78" t="s">
        <v>65</v>
      </c>
    </row>
    <row r="144" spans="1:2" ht="15.75">
      <c r="A144" s="77" t="s">
        <v>200</v>
      </c>
      <c r="B144" s="78" t="s">
        <v>23</v>
      </c>
    </row>
    <row r="145" spans="1:2" ht="15.75">
      <c r="A145" s="77" t="s">
        <v>361</v>
      </c>
      <c r="B145" s="78" t="s">
        <v>80</v>
      </c>
    </row>
    <row r="146" spans="1:2" ht="15.75">
      <c r="A146" s="77" t="s">
        <v>202</v>
      </c>
      <c r="B146" s="78" t="s">
        <v>61</v>
      </c>
    </row>
    <row r="147" spans="1:2" ht="15.75">
      <c r="A147" s="77" t="s">
        <v>475</v>
      </c>
      <c r="B147" s="78" t="s">
        <v>734</v>
      </c>
    </row>
    <row r="148" spans="1:2" ht="15.75">
      <c r="A148" s="77" t="s">
        <v>735</v>
      </c>
      <c r="B148" s="78" t="s">
        <v>736</v>
      </c>
    </row>
    <row r="149" spans="1:2" ht="15.75">
      <c r="A149" s="77" t="s">
        <v>507</v>
      </c>
      <c r="B149" s="78" t="s">
        <v>737</v>
      </c>
    </row>
    <row r="150" spans="1:2" ht="15.75">
      <c r="A150" s="77" t="s">
        <v>738</v>
      </c>
      <c r="B150" s="78" t="s">
        <v>739</v>
      </c>
    </row>
    <row r="151" spans="1:2" ht="15.75">
      <c r="A151" s="77" t="s">
        <v>532</v>
      </c>
      <c r="B151" s="78" t="s">
        <v>740</v>
      </c>
    </row>
    <row r="152" spans="1:2" ht="15.75">
      <c r="A152" s="77" t="s">
        <v>603</v>
      </c>
      <c r="B152" s="78" t="s">
        <v>741</v>
      </c>
    </row>
    <row r="153" spans="1:2" ht="15.75">
      <c r="A153" s="77" t="s">
        <v>742</v>
      </c>
      <c r="B153" s="78" t="s">
        <v>743</v>
      </c>
    </row>
    <row r="154" spans="1:2" ht="15.75">
      <c r="A154" s="77" t="s">
        <v>203</v>
      </c>
      <c r="B154" s="78" t="s">
        <v>24</v>
      </c>
    </row>
    <row r="155" spans="1:2" ht="15.75">
      <c r="A155" s="77" t="s">
        <v>438</v>
      </c>
      <c r="B155" s="78" t="s">
        <v>744</v>
      </c>
    </row>
    <row r="156" spans="1:2" ht="15.75">
      <c r="A156" s="77" t="s">
        <v>352</v>
      </c>
      <c r="B156" s="78" t="s">
        <v>69</v>
      </c>
    </row>
    <row r="157" spans="1:2" ht="15.75">
      <c r="A157" s="77" t="s">
        <v>503</v>
      </c>
      <c r="B157" s="78" t="s">
        <v>745</v>
      </c>
    </row>
    <row r="158" spans="1:2" ht="15.75">
      <c r="A158" s="77" t="s">
        <v>409</v>
      </c>
      <c r="B158" s="78" t="s">
        <v>746</v>
      </c>
    </row>
    <row r="159" spans="1:2" ht="15.75">
      <c r="A159" s="77" t="s">
        <v>204</v>
      </c>
      <c r="B159" s="78" t="s">
        <v>21</v>
      </c>
    </row>
    <row r="160" spans="1:2" ht="15.75">
      <c r="A160" s="77" t="s">
        <v>363</v>
      </c>
      <c r="B160" s="78" t="s">
        <v>82</v>
      </c>
    </row>
    <row r="161" spans="1:2" ht="15.75">
      <c r="A161" s="77" t="s">
        <v>205</v>
      </c>
      <c r="B161" s="78" t="s">
        <v>58</v>
      </c>
    </row>
    <row r="162" spans="1:2" ht="15.75">
      <c r="A162" s="77" t="s">
        <v>561</v>
      </c>
      <c r="B162" s="78" t="s">
        <v>747</v>
      </c>
    </row>
    <row r="163" spans="1:2" ht="15.75">
      <c r="A163" s="77" t="s">
        <v>589</v>
      </c>
      <c r="B163" s="78" t="s">
        <v>748</v>
      </c>
    </row>
    <row r="164" spans="1:2" ht="15.75">
      <c r="A164" s="77" t="s">
        <v>206</v>
      </c>
      <c r="B164" s="78" t="s">
        <v>31</v>
      </c>
    </row>
    <row r="165" spans="1:2" ht="15.75">
      <c r="A165" s="77" t="s">
        <v>207</v>
      </c>
      <c r="B165" s="78" t="s">
        <v>33</v>
      </c>
    </row>
    <row r="166" spans="1:2" ht="15.75">
      <c r="A166" s="77" t="s">
        <v>569</v>
      </c>
      <c r="B166" s="78" t="s">
        <v>749</v>
      </c>
    </row>
    <row r="167" spans="1:2" ht="15.75">
      <c r="A167" s="77" t="s">
        <v>440</v>
      </c>
      <c r="B167" s="78" t="s">
        <v>750</v>
      </c>
    </row>
    <row r="168" spans="1:2" ht="15.75">
      <c r="A168" s="77" t="s">
        <v>585</v>
      </c>
      <c r="B168" s="78" t="s">
        <v>751</v>
      </c>
    </row>
    <row r="169" spans="1:2" ht="15.75">
      <c r="A169" s="77" t="s">
        <v>752</v>
      </c>
      <c r="B169" s="78" t="s">
        <v>753</v>
      </c>
    </row>
    <row r="170" spans="1:2" ht="15.75">
      <c r="A170" s="77" t="s">
        <v>208</v>
      </c>
      <c r="B170" s="78" t="s">
        <v>38</v>
      </c>
    </row>
    <row r="171" spans="1:2" ht="15.75">
      <c r="A171" s="77" t="s">
        <v>468</v>
      </c>
      <c r="B171" s="78" t="s">
        <v>754</v>
      </c>
    </row>
    <row r="172" spans="1:2" ht="15.75">
      <c r="A172" s="77" t="s">
        <v>608</v>
      </c>
      <c r="B172" s="78" t="s">
        <v>755</v>
      </c>
    </row>
    <row r="173" spans="1:2" ht="15.75">
      <c r="A173" s="77" t="s">
        <v>501</v>
      </c>
      <c r="B173" s="78" t="s">
        <v>756</v>
      </c>
    </row>
    <row r="174" spans="1:2" ht="15.75">
      <c r="A174" s="77" t="s">
        <v>497</v>
      </c>
      <c r="B174" s="78" t="s">
        <v>757</v>
      </c>
    </row>
    <row r="175" spans="1:2" ht="15.75">
      <c r="A175" s="77" t="s">
        <v>209</v>
      </c>
      <c r="B175" s="78" t="s">
        <v>32</v>
      </c>
    </row>
    <row r="176" spans="1:2" ht="15.75">
      <c r="A176" s="77" t="s">
        <v>497</v>
      </c>
      <c r="B176" s="78" t="s">
        <v>757</v>
      </c>
    </row>
    <row r="177" spans="1:2" ht="15.75">
      <c r="A177" s="77" t="s">
        <v>210</v>
      </c>
      <c r="B177" s="78" t="s">
        <v>39</v>
      </c>
    </row>
    <row r="178" spans="1:2" ht="15.75">
      <c r="A178" s="77" t="s">
        <v>414</v>
      </c>
      <c r="B178" s="78" t="s">
        <v>758</v>
      </c>
    </row>
    <row r="179" spans="1:2" ht="15.75">
      <c r="A179" s="77" t="s">
        <v>522</v>
      </c>
      <c r="B179" s="78" t="s">
        <v>759</v>
      </c>
    </row>
    <row r="180" spans="1:2" ht="15.75">
      <c r="A180" s="77" t="s">
        <v>211</v>
      </c>
      <c r="B180" s="78" t="s">
        <v>64</v>
      </c>
    </row>
    <row r="181" spans="1:2" ht="15.75">
      <c r="A181" s="77" t="s">
        <v>553</v>
      </c>
      <c r="B181" s="78" t="s">
        <v>760</v>
      </c>
    </row>
    <row r="182" spans="1:2" ht="15.75">
      <c r="A182" s="77" t="s">
        <v>212</v>
      </c>
      <c r="B182" s="78" t="s">
        <v>50</v>
      </c>
    </row>
    <row r="183" spans="1:2" ht="15.75">
      <c r="A183" s="77" t="s">
        <v>588</v>
      </c>
      <c r="B183" s="78" t="s">
        <v>761</v>
      </c>
    </row>
    <row r="184" spans="1:2" ht="15.75">
      <c r="A184" s="77" t="s">
        <v>499</v>
      </c>
      <c r="B184" s="78" t="s">
        <v>762</v>
      </c>
    </row>
    <row r="185" spans="1:2" ht="15.75">
      <c r="A185" s="77" t="s">
        <v>529</v>
      </c>
      <c r="B185" s="78" t="s">
        <v>763</v>
      </c>
    </row>
    <row r="186" spans="1:2" ht="15.75">
      <c r="A186" s="77" t="s">
        <v>581</v>
      </c>
      <c r="B186" s="78" t="s">
        <v>764</v>
      </c>
    </row>
    <row r="187" spans="1:2" ht="15.75">
      <c r="A187" s="77" t="s">
        <v>214</v>
      </c>
      <c r="B187" s="78" t="s">
        <v>44</v>
      </c>
    </row>
    <row r="188" spans="1:2" ht="15.75">
      <c r="A188" s="77" t="s">
        <v>215</v>
      </c>
      <c r="B188" s="78" t="s">
        <v>18</v>
      </c>
    </row>
    <row r="189" spans="1:2" ht="15.75">
      <c r="A189" s="77" t="s">
        <v>216</v>
      </c>
      <c r="B189" s="78" t="s">
        <v>12</v>
      </c>
    </row>
    <row r="190" spans="1:2" ht="15.75">
      <c r="A190" s="77" t="s">
        <v>213</v>
      </c>
      <c r="B190" s="78" t="s">
        <v>76</v>
      </c>
    </row>
    <row r="191" spans="1:2" ht="15">
      <c r="A191" s="37" t="s">
        <v>218</v>
      </c>
      <c r="B191" s="66" t="s">
        <v>66</v>
      </c>
    </row>
    <row r="192" spans="1:2" ht="15">
      <c r="A192" s="37" t="s">
        <v>174</v>
      </c>
      <c r="B192" s="66" t="s">
        <v>62</v>
      </c>
    </row>
    <row r="193" spans="1:2" ht="15">
      <c r="A193" s="37" t="s">
        <v>357</v>
      </c>
      <c r="B193" s="66" t="s">
        <v>74</v>
      </c>
    </row>
    <row r="194" spans="1:2" ht="15">
      <c r="A194" s="37" t="s">
        <v>177</v>
      </c>
      <c r="B194" s="66" t="s">
        <v>68</v>
      </c>
    </row>
    <row r="195" spans="1:2" ht="15">
      <c r="A195" s="37" t="s">
        <v>354</v>
      </c>
      <c r="B195" s="66" t="s">
        <v>71</v>
      </c>
    </row>
    <row r="196" spans="1:2" ht="15">
      <c r="A196" s="37" t="s">
        <v>356</v>
      </c>
      <c r="B196" s="66" t="s">
        <v>73</v>
      </c>
    </row>
    <row r="197" spans="1:2" ht="15">
      <c r="B197" s="66"/>
    </row>
    <row r="198" spans="1:2" ht="15">
      <c r="B198" s="66"/>
    </row>
    <row r="199" spans="1:2" ht="15">
      <c r="B199" s="66"/>
    </row>
    <row r="200" spans="1:2" ht="15">
      <c r="B200" s="66"/>
    </row>
    <row r="201" spans="1:2" ht="15">
      <c r="B201" s="66"/>
    </row>
    <row r="202" spans="1:2" ht="15">
      <c r="B202" s="66"/>
    </row>
    <row r="203" spans="1:2" ht="15">
      <c r="B203" s="66"/>
    </row>
    <row r="204" spans="1:2" ht="15">
      <c r="B204" s="66"/>
    </row>
    <row r="205" spans="1:2" ht="15">
      <c r="B205" s="66"/>
    </row>
    <row r="206" spans="1:2" ht="15">
      <c r="B206" s="66"/>
    </row>
    <row r="207" spans="1:2" ht="15">
      <c r="B207" s="66"/>
    </row>
    <row r="208" spans="1:2" ht="15">
      <c r="B208" s="66"/>
    </row>
    <row r="209" spans="2:2" ht="15">
      <c r="B209" s="66"/>
    </row>
    <row r="210" spans="2:2" ht="15">
      <c r="B210" s="66"/>
    </row>
    <row r="211" spans="2:2" ht="15">
      <c r="B211" s="66"/>
    </row>
    <row r="212" spans="2:2" ht="15">
      <c r="B212" s="66"/>
    </row>
    <row r="213" spans="2:2" ht="15">
      <c r="B213" s="66"/>
    </row>
    <row r="214" spans="2:2" ht="15">
      <c r="B214" s="66"/>
    </row>
    <row r="215" spans="2:2" ht="15">
      <c r="B215" s="66"/>
    </row>
    <row r="216" spans="2:2" ht="15">
      <c r="B216" s="66"/>
    </row>
    <row r="217" spans="2:2" ht="15">
      <c r="B217" s="66"/>
    </row>
    <row r="218" spans="2:2" ht="15">
      <c r="B218" s="66"/>
    </row>
    <row r="219" spans="2:2" ht="15">
      <c r="B219" s="66"/>
    </row>
    <row r="220" spans="2:2" ht="15">
      <c r="B220" s="66"/>
    </row>
    <row r="221" spans="2:2" ht="15">
      <c r="B221" s="66"/>
    </row>
    <row r="222" spans="2:2" ht="15">
      <c r="B222" s="66"/>
    </row>
    <row r="223" spans="2:2" ht="15">
      <c r="B223" s="66"/>
    </row>
    <row r="224" spans="2:2" ht="15">
      <c r="B224" s="66"/>
    </row>
    <row r="225" spans="2:2" ht="15">
      <c r="B225" s="66"/>
    </row>
    <row r="226" spans="2:2" ht="15">
      <c r="B226" s="66"/>
    </row>
    <row r="227" spans="2:2" ht="15">
      <c r="B227" s="66"/>
    </row>
    <row r="228" spans="2:2" ht="15">
      <c r="B228" s="66"/>
    </row>
    <row r="229" spans="2:2" ht="15">
      <c r="B229" s="66"/>
    </row>
    <row r="230" spans="2:2" ht="15">
      <c r="B230" s="66"/>
    </row>
    <row r="231" spans="2:2" ht="15">
      <c r="B231" s="66"/>
    </row>
    <row r="232" spans="2:2" ht="15">
      <c r="B232" s="66"/>
    </row>
    <row r="233" spans="2:2" ht="15">
      <c r="B233" s="66"/>
    </row>
    <row r="234" spans="2:2" ht="15">
      <c r="B234" s="66"/>
    </row>
    <row r="235" spans="2:2" ht="15">
      <c r="B235" s="66"/>
    </row>
    <row r="236" spans="2:2" ht="15">
      <c r="B236" s="66"/>
    </row>
    <row r="237" spans="2:2" ht="15">
      <c r="B237" s="66"/>
    </row>
    <row r="238" spans="2:2" ht="15">
      <c r="B238" s="66"/>
    </row>
    <row r="239" spans="2:2" ht="15">
      <c r="B239" s="66"/>
    </row>
    <row r="240" spans="2:2" ht="15">
      <c r="B240" s="66"/>
    </row>
    <row r="241" spans="2:2" ht="15">
      <c r="B241" s="66"/>
    </row>
    <row r="242" spans="2:2" ht="15">
      <c r="B242" s="66"/>
    </row>
    <row r="243" spans="2:2" ht="15">
      <c r="B243" s="66"/>
    </row>
    <row r="244" spans="2:2" ht="15">
      <c r="B244" s="66"/>
    </row>
    <row r="245" spans="2:2" ht="15">
      <c r="B245" s="66"/>
    </row>
    <row r="246" spans="2:2" ht="15">
      <c r="B246" s="66"/>
    </row>
    <row r="247" spans="2:2" ht="15">
      <c r="B247" s="66"/>
    </row>
    <row r="248" spans="2:2" ht="15">
      <c r="B248" s="66"/>
    </row>
    <row r="249" spans="2:2" ht="15">
      <c r="B249" s="66"/>
    </row>
    <row r="250" spans="2:2" ht="15">
      <c r="B250" s="66"/>
    </row>
    <row r="251" spans="2:2" ht="15">
      <c r="B251" s="66"/>
    </row>
    <row r="252" spans="2:2" ht="15">
      <c r="B252" s="66"/>
    </row>
    <row r="253" spans="2:2" ht="15">
      <c r="B253" s="66"/>
    </row>
    <row r="254" spans="2:2" ht="15">
      <c r="B254" s="66"/>
    </row>
    <row r="255" spans="2:2" ht="15">
      <c r="B255" s="66"/>
    </row>
    <row r="256" spans="2:2" ht="15">
      <c r="B256" s="66"/>
    </row>
    <row r="257" spans="2:2" ht="15">
      <c r="B257" s="66"/>
    </row>
    <row r="258" spans="2:2" ht="15">
      <c r="B258" s="66"/>
    </row>
    <row r="259" spans="2:2" ht="15">
      <c r="B259" s="66"/>
    </row>
    <row r="260" spans="2:2" ht="15">
      <c r="B260" s="66"/>
    </row>
    <row r="261" spans="2:2" ht="15">
      <c r="B261" s="66"/>
    </row>
    <row r="262" spans="2:2" ht="15">
      <c r="B262" s="66"/>
    </row>
    <row r="263" spans="2:2" ht="15">
      <c r="B263" s="66"/>
    </row>
    <row r="264" spans="2:2" ht="15">
      <c r="B264" s="66"/>
    </row>
    <row r="265" spans="2:2" ht="15">
      <c r="B265" s="66"/>
    </row>
    <row r="266" spans="2:2" ht="15">
      <c r="B266" s="66"/>
    </row>
    <row r="267" spans="2:2" ht="15">
      <c r="B267" s="66"/>
    </row>
    <row r="268" spans="2:2" ht="15">
      <c r="B268" s="66"/>
    </row>
    <row r="269" spans="2:2" ht="15">
      <c r="B269" s="66"/>
    </row>
    <row r="270" spans="2:2" ht="15">
      <c r="B270" s="66"/>
    </row>
    <row r="271" spans="2:2" ht="15">
      <c r="B271" s="66"/>
    </row>
    <row r="272" spans="2:2" ht="15">
      <c r="B272" s="66"/>
    </row>
    <row r="273" spans="2:2" ht="15">
      <c r="B273" s="66"/>
    </row>
    <row r="274" spans="2:2" ht="15">
      <c r="B274" s="66"/>
    </row>
    <row r="275" spans="2:2" ht="15">
      <c r="B275" s="66"/>
    </row>
    <row r="276" spans="2:2" ht="15">
      <c r="B276" s="66"/>
    </row>
    <row r="277" spans="2:2" ht="15">
      <c r="B277" s="66"/>
    </row>
    <row r="278" spans="2:2" ht="15">
      <c r="B278" s="66"/>
    </row>
    <row r="279" spans="2:2" ht="15">
      <c r="B279" s="66"/>
    </row>
    <row r="280" spans="2:2" ht="15">
      <c r="B280" s="66"/>
    </row>
    <row r="281" spans="2:2" ht="15">
      <c r="B281" s="66"/>
    </row>
    <row r="282" spans="2:2" ht="15">
      <c r="B282" s="66"/>
    </row>
    <row r="283" spans="2:2" ht="15">
      <c r="B283" s="66"/>
    </row>
    <row r="284" spans="2:2" ht="15">
      <c r="B284" s="66"/>
    </row>
    <row r="285" spans="2:2" ht="15">
      <c r="B285" s="66"/>
    </row>
    <row r="286" spans="2:2" ht="15">
      <c r="B286" s="66"/>
    </row>
    <row r="287" spans="2:2" ht="15">
      <c r="B287" s="66"/>
    </row>
    <row r="288" spans="2:2" ht="15">
      <c r="B288" s="66"/>
    </row>
    <row r="289" spans="2:2" ht="15">
      <c r="B289" s="66"/>
    </row>
    <row r="290" spans="2:2" ht="15">
      <c r="B290" s="66"/>
    </row>
    <row r="291" spans="2:2" ht="15">
      <c r="B291" s="66"/>
    </row>
    <row r="292" spans="2:2" ht="15">
      <c r="B292" s="66"/>
    </row>
    <row r="293" spans="2:2" ht="15">
      <c r="B293" s="66"/>
    </row>
    <row r="294" spans="2:2" ht="15">
      <c r="B294" s="66"/>
    </row>
    <row r="295" spans="2:2" ht="15">
      <c r="B295" s="66"/>
    </row>
    <row r="296" spans="2:2" ht="15">
      <c r="B296" s="66"/>
    </row>
    <row r="297" spans="2:2" ht="15">
      <c r="B297" s="66"/>
    </row>
    <row r="298" spans="2:2" ht="15">
      <c r="B298" s="66"/>
    </row>
    <row r="299" spans="2:2" ht="15">
      <c r="B299" s="66"/>
    </row>
    <row r="300" spans="2:2" ht="15">
      <c r="B300" s="66"/>
    </row>
    <row r="301" spans="2:2" ht="15">
      <c r="B301" s="66"/>
    </row>
    <row r="302" spans="2:2" ht="15">
      <c r="B302" s="66"/>
    </row>
    <row r="303" spans="2:2" ht="15">
      <c r="B303" s="66"/>
    </row>
    <row r="304" spans="2:2" ht="15">
      <c r="B304" s="66"/>
    </row>
    <row r="305" spans="2:2" ht="15">
      <c r="B305" s="66"/>
    </row>
    <row r="306" spans="2:2" ht="15">
      <c r="B306" s="66"/>
    </row>
    <row r="307" spans="2:2" ht="15">
      <c r="B307" s="66"/>
    </row>
    <row r="308" spans="2:2" ht="15">
      <c r="B308" s="66"/>
    </row>
    <row r="309" spans="2:2" ht="15">
      <c r="B309" s="66"/>
    </row>
    <row r="310" spans="2:2" ht="15">
      <c r="B310" s="66"/>
    </row>
    <row r="311" spans="2:2" ht="15">
      <c r="B311" s="66"/>
    </row>
    <row r="312" spans="2:2" ht="15">
      <c r="B312" s="66"/>
    </row>
    <row r="313" spans="2:2" ht="15">
      <c r="B313" s="66"/>
    </row>
    <row r="314" spans="2:2" ht="15">
      <c r="B314" s="66"/>
    </row>
    <row r="315" spans="2:2" ht="15">
      <c r="B315" s="66"/>
    </row>
    <row r="316" spans="2:2" ht="15">
      <c r="B316" s="66"/>
    </row>
    <row r="317" spans="2:2" ht="15">
      <c r="B317" s="66"/>
    </row>
    <row r="318" spans="2:2" ht="15">
      <c r="B318" s="66"/>
    </row>
    <row r="319" spans="2:2" ht="15">
      <c r="B319" s="66"/>
    </row>
    <row r="320" spans="2:2" ht="15">
      <c r="B320" s="66"/>
    </row>
    <row r="321" spans="2:2" ht="15">
      <c r="B321" s="66"/>
    </row>
    <row r="322" spans="2:2" ht="15">
      <c r="B322" s="66"/>
    </row>
    <row r="323" spans="2:2" ht="15">
      <c r="B323" s="66"/>
    </row>
    <row r="324" spans="2:2" ht="15">
      <c r="B324" s="66"/>
    </row>
    <row r="325" spans="2:2" ht="15">
      <c r="B325" s="66"/>
    </row>
    <row r="326" spans="2:2" ht="15">
      <c r="B326" s="66"/>
    </row>
    <row r="327" spans="2:2" ht="15">
      <c r="B327" s="66"/>
    </row>
    <row r="328" spans="2:2" ht="15">
      <c r="B328" s="66"/>
    </row>
    <row r="329" spans="2:2" ht="15">
      <c r="B329" s="66"/>
    </row>
    <row r="330" spans="2:2" ht="15">
      <c r="B330" s="66"/>
    </row>
    <row r="331" spans="2:2" ht="15">
      <c r="B331" s="66"/>
    </row>
    <row r="332" spans="2:2" ht="15">
      <c r="B332" s="66"/>
    </row>
    <row r="333" spans="2:2" ht="15">
      <c r="B333" s="66"/>
    </row>
    <row r="334" spans="2:2" ht="15">
      <c r="B334" s="66"/>
    </row>
    <row r="335" spans="2:2" ht="15">
      <c r="B335" s="66"/>
    </row>
    <row r="336" spans="2:2" ht="15">
      <c r="B336" s="66"/>
    </row>
    <row r="337" spans="2:2" ht="15">
      <c r="B337" s="66"/>
    </row>
    <row r="338" spans="2:2" ht="15">
      <c r="B338" s="66"/>
    </row>
    <row r="339" spans="2:2" ht="15">
      <c r="B339" s="66"/>
    </row>
    <row r="340" spans="2:2" ht="15">
      <c r="B340" s="66"/>
    </row>
    <row r="341" spans="2:2" ht="15">
      <c r="B341" s="66"/>
    </row>
    <row r="342" spans="2:2" ht="15">
      <c r="B342" s="66"/>
    </row>
    <row r="343" spans="2:2" ht="15">
      <c r="B343" s="66"/>
    </row>
    <row r="344" spans="2:2" ht="15">
      <c r="B344" s="66"/>
    </row>
    <row r="345" spans="2:2" ht="15">
      <c r="B345" s="66"/>
    </row>
    <row r="346" spans="2:2" ht="15">
      <c r="B346" s="66"/>
    </row>
    <row r="347" spans="2:2" ht="15">
      <c r="B347" s="66"/>
    </row>
    <row r="348" spans="2:2" ht="15">
      <c r="B348" s="66"/>
    </row>
    <row r="349" spans="2:2" ht="15">
      <c r="B349" s="66"/>
    </row>
    <row r="350" spans="2:2" ht="15">
      <c r="B350" s="66"/>
    </row>
    <row r="351" spans="2:2" ht="15">
      <c r="B351" s="66"/>
    </row>
    <row r="352" spans="2:2" ht="15">
      <c r="B352" s="66"/>
    </row>
    <row r="353" spans="2:2" ht="15">
      <c r="B353" s="66"/>
    </row>
    <row r="354" spans="2:2" ht="15">
      <c r="B354" s="66"/>
    </row>
    <row r="355" spans="2:2" ht="15">
      <c r="B355" s="66"/>
    </row>
    <row r="356" spans="2:2" ht="15">
      <c r="B356" s="66"/>
    </row>
    <row r="357" spans="2:2" ht="15">
      <c r="B357" s="66"/>
    </row>
    <row r="358" spans="2:2" ht="15">
      <c r="B358" s="66"/>
    </row>
    <row r="359" spans="2:2" ht="15">
      <c r="B359" s="66"/>
    </row>
    <row r="360" spans="2:2" ht="15">
      <c r="B360" s="66"/>
    </row>
    <row r="361" spans="2:2" ht="15">
      <c r="B361" s="66"/>
    </row>
    <row r="362" spans="2:2" ht="15">
      <c r="B362" s="66"/>
    </row>
    <row r="363" spans="2:2" ht="15">
      <c r="B363" s="66"/>
    </row>
    <row r="364" spans="2:2" ht="15">
      <c r="B364" s="66"/>
    </row>
    <row r="365" spans="2:2" ht="15">
      <c r="B365" s="66"/>
    </row>
    <row r="366" spans="2:2" ht="15">
      <c r="B366" s="66"/>
    </row>
    <row r="367" spans="2:2" ht="15">
      <c r="B367" s="66"/>
    </row>
    <row r="368" spans="2:2" ht="15">
      <c r="B368" s="66"/>
    </row>
    <row r="369" spans="2:2" ht="15">
      <c r="B369" s="66"/>
    </row>
    <row r="370" spans="2:2" ht="15">
      <c r="B370" s="66"/>
    </row>
    <row r="371" spans="2:2" ht="15">
      <c r="B371" s="66"/>
    </row>
    <row r="372" spans="2:2" ht="15">
      <c r="B372" s="66"/>
    </row>
    <row r="373" spans="2:2" ht="15">
      <c r="B373" s="66"/>
    </row>
    <row r="374" spans="2:2" ht="15">
      <c r="B374" s="66"/>
    </row>
    <row r="375" spans="2:2" ht="15">
      <c r="B375" s="66"/>
    </row>
    <row r="376" spans="2:2" ht="15">
      <c r="B376" s="66"/>
    </row>
    <row r="377" spans="2:2" ht="15">
      <c r="B377" s="66"/>
    </row>
    <row r="378" spans="2:2" ht="15">
      <c r="B378" s="66"/>
    </row>
    <row r="379" spans="2:2" ht="15">
      <c r="B379" s="66"/>
    </row>
    <row r="380" spans="2:2" ht="15">
      <c r="B380" s="66"/>
    </row>
    <row r="381" spans="2:2" ht="15">
      <c r="B381" s="66"/>
    </row>
    <row r="382" spans="2:2" ht="15">
      <c r="B382" s="66"/>
    </row>
    <row r="383" spans="2:2" ht="15">
      <c r="B383" s="66"/>
    </row>
    <row r="384" spans="2:2" ht="15">
      <c r="B384" s="66"/>
    </row>
    <row r="385" spans="2:2" ht="15">
      <c r="B385" s="66"/>
    </row>
    <row r="386" spans="2:2" ht="15">
      <c r="B386" s="66"/>
    </row>
    <row r="387" spans="2:2" ht="15">
      <c r="B387" s="66"/>
    </row>
    <row r="388" spans="2:2" ht="15">
      <c r="B388" s="66"/>
    </row>
    <row r="389" spans="2:2" ht="15">
      <c r="B389" s="66"/>
    </row>
    <row r="390" spans="2:2" ht="15">
      <c r="B390" s="66"/>
    </row>
    <row r="391" spans="2:2" ht="15">
      <c r="B391" s="66"/>
    </row>
    <row r="392" spans="2:2" ht="15">
      <c r="B392" s="66"/>
    </row>
    <row r="393" spans="2:2" ht="15">
      <c r="B393" s="66"/>
    </row>
    <row r="394" spans="2:2" ht="15">
      <c r="B394" s="66"/>
    </row>
    <row r="395" spans="2:2" ht="15">
      <c r="B395" s="66"/>
    </row>
    <row r="396" spans="2:2" ht="15">
      <c r="B396" s="66"/>
    </row>
    <row r="397" spans="2:2" ht="15">
      <c r="B397" s="66"/>
    </row>
    <row r="398" spans="2:2" ht="15">
      <c r="B398" s="66"/>
    </row>
    <row r="399" spans="2:2" ht="15">
      <c r="B399" s="66"/>
    </row>
    <row r="400" spans="2:2" ht="15">
      <c r="B400" s="66"/>
    </row>
    <row r="401" spans="2:2" ht="15">
      <c r="B401" s="66"/>
    </row>
    <row r="402" spans="2:2" ht="15">
      <c r="B402" s="66"/>
    </row>
    <row r="403" spans="2:2" ht="15">
      <c r="B403" s="66"/>
    </row>
    <row r="404" spans="2:2" ht="15">
      <c r="B404" s="66"/>
    </row>
    <row r="405" spans="2:2" ht="15">
      <c r="B405" s="66"/>
    </row>
    <row r="406" spans="2:2" ht="15">
      <c r="B406" s="66"/>
    </row>
    <row r="407" spans="2:2" ht="15">
      <c r="B407" s="66"/>
    </row>
    <row r="408" spans="2:2" ht="15">
      <c r="B408" s="66"/>
    </row>
    <row r="409" spans="2:2" ht="15">
      <c r="B409" s="66"/>
    </row>
    <row r="410" spans="2:2" ht="15">
      <c r="B410" s="66"/>
    </row>
    <row r="411" spans="2:2" ht="15">
      <c r="B411" s="66"/>
    </row>
    <row r="412" spans="2:2" ht="15">
      <c r="B412" s="66"/>
    </row>
    <row r="413" spans="2:2" ht="15">
      <c r="B413" s="66"/>
    </row>
    <row r="414" spans="2:2" ht="15">
      <c r="B414" s="66"/>
    </row>
    <row r="415" spans="2:2" ht="15">
      <c r="B415" s="66"/>
    </row>
    <row r="416" spans="2:2" ht="15">
      <c r="B416" s="66"/>
    </row>
    <row r="417" spans="2:2" ht="15">
      <c r="B417" s="66"/>
    </row>
    <row r="418" spans="2:2" ht="15">
      <c r="B418" s="66"/>
    </row>
    <row r="419" spans="2:2" ht="15">
      <c r="B419" s="66"/>
    </row>
    <row r="420" spans="2:2" ht="15">
      <c r="B420" s="66"/>
    </row>
    <row r="421" spans="2:2" ht="15">
      <c r="B421" s="66"/>
    </row>
    <row r="422" spans="2:2" ht="15">
      <c r="B422" s="66"/>
    </row>
    <row r="423" spans="2:2" ht="15">
      <c r="B423" s="66"/>
    </row>
    <row r="424" spans="2:2" ht="15">
      <c r="B424" s="66"/>
    </row>
    <row r="425" spans="2:2" ht="15">
      <c r="B425" s="66"/>
    </row>
    <row r="426" spans="2:2" ht="15">
      <c r="B426" s="66"/>
    </row>
    <row r="427" spans="2:2" ht="15">
      <c r="B427" s="66"/>
    </row>
    <row r="428" spans="2:2" ht="15">
      <c r="B428" s="66"/>
    </row>
    <row r="429" spans="2:2" ht="15">
      <c r="B429" s="66"/>
    </row>
    <row r="430" spans="2:2" ht="15">
      <c r="B430" s="66"/>
    </row>
    <row r="431" spans="2:2" ht="15">
      <c r="B431" s="66"/>
    </row>
    <row r="432" spans="2:2" ht="15">
      <c r="B432" s="66"/>
    </row>
    <row r="433" spans="2:2" ht="15">
      <c r="B433" s="66"/>
    </row>
    <row r="434" spans="2:2" ht="15">
      <c r="B434" s="66"/>
    </row>
    <row r="435" spans="2:2" ht="15">
      <c r="B435" s="66"/>
    </row>
    <row r="436" spans="2:2" ht="15">
      <c r="B436" s="66"/>
    </row>
    <row r="437" spans="2:2" ht="15">
      <c r="B437" s="66"/>
    </row>
    <row r="438" spans="2:2" ht="15">
      <c r="B438" s="66"/>
    </row>
    <row r="439" spans="2:2" ht="15">
      <c r="B439" s="66"/>
    </row>
    <row r="440" spans="2:2" ht="15">
      <c r="B440" s="66"/>
    </row>
    <row r="441" spans="2:2" ht="15">
      <c r="B441" s="66"/>
    </row>
    <row r="442" spans="2:2" ht="15">
      <c r="B442" s="66"/>
    </row>
    <row r="443" spans="2:2" ht="15">
      <c r="B443" s="66"/>
    </row>
    <row r="444" spans="2:2" ht="15">
      <c r="B444" s="66"/>
    </row>
    <row r="445" spans="2:2" ht="15">
      <c r="B445" s="66"/>
    </row>
    <row r="446" spans="2:2" ht="15">
      <c r="B446" s="66"/>
    </row>
    <row r="447" spans="2:2" ht="15">
      <c r="B447" s="66"/>
    </row>
    <row r="448" spans="2:2" ht="15">
      <c r="B448" s="66"/>
    </row>
    <row r="449" spans="2:2" ht="15">
      <c r="B449" s="66"/>
    </row>
    <row r="450" spans="2:2" ht="15">
      <c r="B450" s="66"/>
    </row>
    <row r="451" spans="2:2" ht="15">
      <c r="B451" s="66"/>
    </row>
    <row r="452" spans="2:2" ht="15">
      <c r="B452" s="66"/>
    </row>
    <row r="453" spans="2:2" ht="15">
      <c r="B453" s="66"/>
    </row>
    <row r="454" spans="2:2" ht="15">
      <c r="B454" s="66"/>
    </row>
    <row r="455" spans="2:2" ht="15">
      <c r="B455" s="66"/>
    </row>
    <row r="456" spans="2:2" ht="15">
      <c r="B456" s="66"/>
    </row>
    <row r="457" spans="2:2" ht="15">
      <c r="B457" s="66"/>
    </row>
    <row r="458" spans="2:2" ht="15">
      <c r="B458" s="66"/>
    </row>
    <row r="459" spans="2:2" ht="15">
      <c r="B459" s="66"/>
    </row>
    <row r="460" spans="2:2" ht="15">
      <c r="B460" s="66"/>
    </row>
    <row r="461" spans="2:2" ht="15">
      <c r="B461" s="66"/>
    </row>
    <row r="462" spans="2:2" ht="15">
      <c r="B462" s="66"/>
    </row>
    <row r="463" spans="2:2" ht="15">
      <c r="B463" s="66"/>
    </row>
    <row r="464" spans="2:2" ht="15">
      <c r="B464" s="66"/>
    </row>
    <row r="465" spans="2:2" ht="15">
      <c r="B465" s="66"/>
    </row>
    <row r="466" spans="2:2" ht="15">
      <c r="B466" s="66"/>
    </row>
    <row r="467" spans="2:2" ht="15">
      <c r="B467" s="66"/>
    </row>
    <row r="468" spans="2:2" ht="15">
      <c r="B468" s="66"/>
    </row>
    <row r="469" spans="2:2" ht="15">
      <c r="B469" s="66"/>
    </row>
    <row r="470" spans="2:2" ht="15">
      <c r="B470" s="66"/>
    </row>
    <row r="471" spans="2:2" ht="15">
      <c r="B471" s="66"/>
    </row>
    <row r="472" spans="2:2" ht="15">
      <c r="B472" s="66"/>
    </row>
    <row r="473" spans="2:2" ht="15">
      <c r="B473" s="66"/>
    </row>
    <row r="474" spans="2:2" ht="15">
      <c r="B474" s="66"/>
    </row>
    <row r="475" spans="2:2" ht="15">
      <c r="B475" s="66"/>
    </row>
    <row r="476" spans="2:2" ht="15">
      <c r="B476" s="66"/>
    </row>
    <row r="477" spans="2:2" ht="15">
      <c r="B477" s="66"/>
    </row>
    <row r="478" spans="2:2" ht="15">
      <c r="B478" s="66"/>
    </row>
    <row r="479" spans="2:2" ht="15">
      <c r="B479" s="66"/>
    </row>
    <row r="480" spans="2:2" ht="15">
      <c r="B480" s="66"/>
    </row>
    <row r="481" spans="2:2" ht="15">
      <c r="B481" s="66"/>
    </row>
    <row r="482" spans="2:2" ht="15">
      <c r="B482" s="66"/>
    </row>
    <row r="483" spans="2:2" ht="15">
      <c r="B483" s="66"/>
    </row>
    <row r="484" spans="2:2" ht="15">
      <c r="B484" s="66"/>
    </row>
    <row r="485" spans="2:2" ht="15">
      <c r="B485" s="66"/>
    </row>
    <row r="486" spans="2:2" ht="15">
      <c r="B486" s="66"/>
    </row>
    <row r="487" spans="2:2" ht="15">
      <c r="B487" s="66"/>
    </row>
    <row r="488" spans="2:2" ht="15">
      <c r="B488" s="66"/>
    </row>
    <row r="489" spans="2:2" ht="15">
      <c r="B489" s="66"/>
    </row>
    <row r="490" spans="2:2" ht="15">
      <c r="B490" s="66"/>
    </row>
    <row r="491" spans="2:2" ht="15">
      <c r="B491" s="66"/>
    </row>
    <row r="492" spans="2:2" ht="15">
      <c r="B492" s="66"/>
    </row>
    <row r="493" spans="2:2" ht="15">
      <c r="B493" s="66"/>
    </row>
    <row r="494" spans="2:2" ht="15">
      <c r="B494" s="66"/>
    </row>
    <row r="495" spans="2:2" ht="15">
      <c r="B495" s="66"/>
    </row>
    <row r="496" spans="2:2" ht="15">
      <c r="B496" s="66"/>
    </row>
    <row r="497" spans="2:2" ht="15">
      <c r="B497" s="66"/>
    </row>
    <row r="498" spans="2:2" ht="15">
      <c r="B498" s="66"/>
    </row>
    <row r="499" spans="2:2" ht="15">
      <c r="B499" s="66"/>
    </row>
    <row r="500" spans="2:2" ht="15">
      <c r="B500" s="66"/>
    </row>
    <row r="501" spans="2:2" ht="15">
      <c r="B501" s="66"/>
    </row>
    <row r="502" spans="2:2" ht="15">
      <c r="B502" s="66"/>
    </row>
    <row r="503" spans="2:2" ht="15">
      <c r="B503" s="66"/>
    </row>
    <row r="504" spans="2:2" ht="15">
      <c r="B504" s="66"/>
    </row>
    <row r="505" spans="2:2" ht="15">
      <c r="B505" s="66"/>
    </row>
    <row r="506" spans="2:2" ht="15">
      <c r="B506" s="66"/>
    </row>
    <row r="507" spans="2:2" ht="15">
      <c r="B507" s="66"/>
    </row>
    <row r="508" spans="2:2" ht="15">
      <c r="B508" s="66"/>
    </row>
    <row r="509" spans="2:2" ht="15">
      <c r="B509" s="66"/>
    </row>
    <row r="510" spans="2:2" ht="15">
      <c r="B510" s="66"/>
    </row>
    <row r="511" spans="2:2" ht="15">
      <c r="B511" s="66"/>
    </row>
    <row r="512" spans="2:2" ht="15">
      <c r="B512" s="66"/>
    </row>
    <row r="513" spans="2:2" ht="15">
      <c r="B513" s="66"/>
    </row>
    <row r="514" spans="2:2" ht="15">
      <c r="B514" s="66"/>
    </row>
    <row r="515" spans="2:2" ht="15">
      <c r="B515" s="66"/>
    </row>
    <row r="516" spans="2:2" ht="15">
      <c r="B516" s="66"/>
    </row>
    <row r="517" spans="2:2" ht="15">
      <c r="B517" s="66"/>
    </row>
    <row r="518" spans="2:2" ht="15">
      <c r="B518" s="66"/>
    </row>
    <row r="519" spans="2:2" ht="15">
      <c r="B519" s="66"/>
    </row>
    <row r="520" spans="2:2" ht="15">
      <c r="B520" s="66"/>
    </row>
    <row r="521" spans="2:2" ht="15">
      <c r="B521" s="66"/>
    </row>
    <row r="522" spans="2:2" ht="15">
      <c r="B522" s="66"/>
    </row>
    <row r="523" spans="2:2" ht="15">
      <c r="B523" s="66"/>
    </row>
    <row r="524" spans="2:2" ht="15">
      <c r="B524" s="66"/>
    </row>
    <row r="525" spans="2:2" ht="15">
      <c r="B525" s="66"/>
    </row>
    <row r="526" spans="2:2" ht="15">
      <c r="B526" s="66"/>
    </row>
    <row r="527" spans="2:2" ht="15">
      <c r="B527" s="66"/>
    </row>
    <row r="528" spans="2:2" ht="15">
      <c r="B528" s="66"/>
    </row>
    <row r="529" spans="2:2" ht="15">
      <c r="B529" s="66"/>
    </row>
    <row r="530" spans="2:2" ht="15">
      <c r="B530" s="66"/>
    </row>
    <row r="531" spans="2:2" ht="15">
      <c r="B531" s="66"/>
    </row>
    <row r="532" spans="2:2" ht="15">
      <c r="B532" s="66"/>
    </row>
    <row r="533" spans="2:2" ht="15">
      <c r="B533" s="66"/>
    </row>
    <row r="534" spans="2:2" ht="15">
      <c r="B534" s="66"/>
    </row>
    <row r="535" spans="2:2" ht="15">
      <c r="B535" s="66"/>
    </row>
    <row r="536" spans="2:2" ht="15">
      <c r="B536" s="66"/>
    </row>
    <row r="537" spans="2:2" ht="15">
      <c r="B537" s="66"/>
    </row>
    <row r="538" spans="2:2" ht="15">
      <c r="B538" s="66"/>
    </row>
    <row r="539" spans="2:2" ht="15">
      <c r="B539" s="66"/>
    </row>
    <row r="540" spans="2:2" ht="15">
      <c r="B540" s="66"/>
    </row>
    <row r="541" spans="2:2" ht="15">
      <c r="B541" s="66"/>
    </row>
    <row r="542" spans="2:2" ht="15">
      <c r="B542" s="66"/>
    </row>
    <row r="543" spans="2:2" ht="15">
      <c r="B543" s="66"/>
    </row>
    <row r="544" spans="2:2" ht="15">
      <c r="B544" s="66"/>
    </row>
    <row r="545" spans="2:2" ht="15">
      <c r="B545" s="66"/>
    </row>
    <row r="546" spans="2:2" ht="15">
      <c r="B546" s="66"/>
    </row>
    <row r="547" spans="2:2" ht="15">
      <c r="B547" s="66"/>
    </row>
    <row r="548" spans="2:2" ht="15">
      <c r="B548" s="66"/>
    </row>
    <row r="549" spans="2:2" ht="15">
      <c r="B549" s="66"/>
    </row>
    <row r="550" spans="2:2" ht="15">
      <c r="B550" s="66"/>
    </row>
    <row r="551" spans="2:2" ht="15">
      <c r="B551" s="66"/>
    </row>
    <row r="552" spans="2:2" ht="15">
      <c r="B552" s="66"/>
    </row>
    <row r="553" spans="2:2" ht="15">
      <c r="B553" s="66"/>
    </row>
    <row r="554" spans="2:2" ht="15">
      <c r="B554" s="66"/>
    </row>
    <row r="555" spans="2:2" ht="15">
      <c r="B555" s="66"/>
    </row>
    <row r="556" spans="2:2" ht="15">
      <c r="B556" s="66"/>
    </row>
    <row r="557" spans="2:2" ht="15">
      <c r="B557" s="66"/>
    </row>
    <row r="558" spans="2:2" ht="15">
      <c r="B558" s="66"/>
    </row>
    <row r="559" spans="2:2" ht="15">
      <c r="B559" s="66"/>
    </row>
    <row r="560" spans="2:2" ht="15">
      <c r="B560" s="66"/>
    </row>
    <row r="561" spans="2:2" ht="15">
      <c r="B561" s="66"/>
    </row>
    <row r="562" spans="2:2" ht="15">
      <c r="B562" s="66"/>
    </row>
    <row r="563" spans="2:2" ht="15">
      <c r="B563" s="66"/>
    </row>
    <row r="564" spans="2:2" ht="15">
      <c r="B564" s="66"/>
    </row>
    <row r="565" spans="2:2" ht="15">
      <c r="B565" s="66"/>
    </row>
    <row r="566" spans="2:2" ht="15">
      <c r="B566" s="66"/>
    </row>
    <row r="567" spans="2:2" ht="15">
      <c r="B567" s="66"/>
    </row>
    <row r="568" spans="2:2" ht="15">
      <c r="B568" s="66"/>
    </row>
    <row r="569" spans="2:2" ht="15">
      <c r="B569" s="66"/>
    </row>
    <row r="570" spans="2:2" ht="15">
      <c r="B570" s="66"/>
    </row>
    <row r="571" spans="2:2" ht="15">
      <c r="B571" s="66"/>
    </row>
    <row r="572" spans="2:2" ht="15">
      <c r="B572" s="66"/>
    </row>
    <row r="573" spans="2:2" ht="15">
      <c r="B573" s="66"/>
    </row>
    <row r="574" spans="2:2" ht="15">
      <c r="B574" s="66"/>
    </row>
    <row r="575" spans="2:2" ht="15">
      <c r="B575" s="66"/>
    </row>
    <row r="576" spans="2:2" ht="15">
      <c r="B576" s="66"/>
    </row>
    <row r="577" spans="2:2" ht="15">
      <c r="B577" s="66"/>
    </row>
    <row r="578" spans="2:2" ht="15">
      <c r="B578" s="66"/>
    </row>
    <row r="579" spans="2:2" ht="15">
      <c r="B579" s="66"/>
    </row>
    <row r="580" spans="2:2" ht="15">
      <c r="B580" s="66"/>
    </row>
    <row r="581" spans="2:2" ht="15">
      <c r="B581" s="66"/>
    </row>
    <row r="582" spans="2:2" ht="15">
      <c r="B582" s="66"/>
    </row>
    <row r="583" spans="2:2" ht="15">
      <c r="B583" s="66"/>
    </row>
    <row r="584" spans="2:2" ht="15">
      <c r="B584" s="66"/>
    </row>
    <row r="585" spans="2:2" ht="15">
      <c r="B585" s="66"/>
    </row>
    <row r="586" spans="2:2" ht="15">
      <c r="B586" s="66"/>
    </row>
    <row r="587" spans="2:2" ht="15">
      <c r="B587" s="66"/>
    </row>
    <row r="588" spans="2:2" ht="15">
      <c r="B588" s="66"/>
    </row>
    <row r="589" spans="2:2" ht="15">
      <c r="B589" s="66"/>
    </row>
    <row r="590" spans="2:2" ht="15">
      <c r="B590" s="66"/>
    </row>
    <row r="591" spans="2:2" ht="15">
      <c r="B591" s="66"/>
    </row>
    <row r="592" spans="2:2" ht="15">
      <c r="B592" s="66"/>
    </row>
    <row r="593" spans="2:2" ht="15">
      <c r="B593" s="66"/>
    </row>
    <row r="594" spans="2:2" ht="15">
      <c r="B594" s="66"/>
    </row>
    <row r="595" spans="2:2" ht="15">
      <c r="B595" s="66"/>
    </row>
    <row r="596" spans="2:2" ht="15">
      <c r="B596" s="66"/>
    </row>
    <row r="597" spans="2:2" ht="15">
      <c r="B597" s="66"/>
    </row>
    <row r="598" spans="2:2" ht="15">
      <c r="B598" s="66"/>
    </row>
    <row r="599" spans="2:2" ht="15">
      <c r="B599" s="66"/>
    </row>
    <row r="600" spans="2:2" ht="15">
      <c r="B600" s="66"/>
    </row>
    <row r="601" spans="2:2" ht="15">
      <c r="B601" s="66"/>
    </row>
    <row r="602" spans="2:2" ht="15">
      <c r="B602" s="66"/>
    </row>
    <row r="603" spans="2:2" ht="15">
      <c r="B603" s="66"/>
    </row>
    <row r="604" spans="2:2" ht="15">
      <c r="B604" s="66"/>
    </row>
    <row r="605" spans="2:2" ht="15">
      <c r="B605" s="66"/>
    </row>
    <row r="606" spans="2:2" ht="15">
      <c r="B606" s="66"/>
    </row>
    <row r="607" spans="2:2" ht="15">
      <c r="B607" s="66"/>
    </row>
    <row r="608" spans="2:2" ht="15">
      <c r="B608" s="66"/>
    </row>
    <row r="609" spans="2:2" ht="15">
      <c r="B609" s="66"/>
    </row>
    <row r="610" spans="2:2" ht="15">
      <c r="B610" s="66"/>
    </row>
    <row r="611" spans="2:2" ht="15">
      <c r="B611" s="66"/>
    </row>
    <row r="612" spans="2:2" ht="15">
      <c r="B612" s="66"/>
    </row>
    <row r="613" spans="2:2" ht="15">
      <c r="B613" s="66"/>
    </row>
    <row r="614" spans="2:2" ht="15">
      <c r="B614" s="66"/>
    </row>
    <row r="615" spans="2:2" ht="15">
      <c r="B615" s="66"/>
    </row>
    <row r="616" spans="2:2" ht="15">
      <c r="B616" s="66"/>
    </row>
    <row r="617" spans="2:2" ht="15">
      <c r="B617" s="66"/>
    </row>
    <row r="618" spans="2:2" ht="15">
      <c r="B618" s="66"/>
    </row>
    <row r="619" spans="2:2" ht="15">
      <c r="B619" s="66"/>
    </row>
    <row r="620" spans="2:2" ht="15">
      <c r="B620" s="66"/>
    </row>
    <row r="621" spans="2:2" ht="15">
      <c r="B621" s="66"/>
    </row>
    <row r="622" spans="2:2" ht="15">
      <c r="B622" s="66"/>
    </row>
    <row r="623" spans="2:2" ht="15">
      <c r="B623" s="66"/>
    </row>
    <row r="624" spans="2:2" ht="15">
      <c r="B624" s="66"/>
    </row>
    <row r="625" spans="2:2" ht="15">
      <c r="B625" s="66"/>
    </row>
    <row r="626" spans="2:2" ht="15">
      <c r="B626" s="66"/>
    </row>
    <row r="627" spans="2:2" ht="15">
      <c r="B627" s="66"/>
    </row>
    <row r="628" spans="2:2" ht="15">
      <c r="B628" s="66"/>
    </row>
    <row r="629" spans="2:2" ht="15">
      <c r="B629" s="66"/>
    </row>
    <row r="630" spans="2:2" ht="15">
      <c r="B630" s="66"/>
    </row>
    <row r="631" spans="2:2" ht="15">
      <c r="B631" s="66"/>
    </row>
    <row r="632" spans="2:2" ht="15">
      <c r="B632" s="66"/>
    </row>
    <row r="633" spans="2:2" ht="15">
      <c r="B633" s="66"/>
    </row>
    <row r="634" spans="2:2" ht="15">
      <c r="B634" s="66"/>
    </row>
    <row r="635" spans="2:2" ht="15">
      <c r="B635" s="66"/>
    </row>
    <row r="636" spans="2:2" ht="15">
      <c r="B636" s="66"/>
    </row>
    <row r="637" spans="2:2" ht="15">
      <c r="B637" s="66"/>
    </row>
    <row r="638" spans="2:2" ht="15">
      <c r="B638" s="66"/>
    </row>
    <row r="639" spans="2:2" ht="15">
      <c r="B639" s="66"/>
    </row>
    <row r="640" spans="2:2" ht="15">
      <c r="B640" s="66"/>
    </row>
    <row r="641" spans="2:2" ht="15">
      <c r="B641" s="66"/>
    </row>
    <row r="642" spans="2:2" ht="15">
      <c r="B642" s="66"/>
    </row>
    <row r="643" spans="2:2" ht="15">
      <c r="B643" s="66"/>
    </row>
    <row r="644" spans="2:2" ht="15">
      <c r="B644" s="66"/>
    </row>
    <row r="645" spans="2:2" ht="15">
      <c r="B645" s="66"/>
    </row>
    <row r="646" spans="2:2" ht="15">
      <c r="B646" s="66"/>
    </row>
    <row r="647" spans="2:2" ht="15">
      <c r="B647" s="66"/>
    </row>
    <row r="648" spans="2:2" ht="15">
      <c r="B648" s="66"/>
    </row>
    <row r="649" spans="2:2" ht="15">
      <c r="B649" s="66"/>
    </row>
    <row r="650" spans="2:2" ht="15">
      <c r="B650" s="66"/>
    </row>
    <row r="651" spans="2:2" ht="15">
      <c r="B651" s="66"/>
    </row>
    <row r="652" spans="2:2" ht="15">
      <c r="B652" s="66"/>
    </row>
    <row r="653" spans="2:2" ht="15">
      <c r="B653" s="66"/>
    </row>
    <row r="654" spans="2:2" ht="15">
      <c r="B654" s="66"/>
    </row>
    <row r="655" spans="2:2" ht="15">
      <c r="B655" s="66"/>
    </row>
    <row r="656" spans="2:2" ht="15">
      <c r="B656" s="66"/>
    </row>
    <row r="657" spans="2:2" ht="15">
      <c r="B657" s="66"/>
    </row>
    <row r="658" spans="2:2" ht="15">
      <c r="B658" s="66"/>
    </row>
    <row r="659" spans="2:2" ht="15">
      <c r="B659" s="66"/>
    </row>
    <row r="660" spans="2:2" ht="15">
      <c r="B660" s="66"/>
    </row>
    <row r="661" spans="2:2" ht="15">
      <c r="B661" s="66"/>
    </row>
    <row r="662" spans="2:2" ht="15">
      <c r="B662" s="66"/>
    </row>
    <row r="663" spans="2:2" ht="15">
      <c r="B663" s="66"/>
    </row>
    <row r="664" spans="2:2" ht="15">
      <c r="B664" s="66"/>
    </row>
    <row r="665" spans="2:2" ht="15">
      <c r="B665" s="66"/>
    </row>
    <row r="666" spans="2:2" ht="15">
      <c r="B666" s="66"/>
    </row>
    <row r="667" spans="2:2" ht="15">
      <c r="B667" s="66"/>
    </row>
    <row r="668" spans="2:2" ht="15">
      <c r="B668" s="66"/>
    </row>
    <row r="669" spans="2:2" ht="15">
      <c r="B669" s="66"/>
    </row>
    <row r="670" spans="2:2" ht="15">
      <c r="B670" s="66"/>
    </row>
    <row r="671" spans="2:2" ht="15">
      <c r="B671" s="66"/>
    </row>
    <row r="672" spans="2:2" ht="15">
      <c r="B672" s="66"/>
    </row>
    <row r="673" spans="2:2" ht="15">
      <c r="B673" s="66"/>
    </row>
    <row r="674" spans="2:2" ht="15">
      <c r="B674" s="66"/>
    </row>
    <row r="675" spans="2:2" ht="15">
      <c r="B675" s="66"/>
    </row>
    <row r="676" spans="2:2" ht="15">
      <c r="B676" s="66"/>
    </row>
    <row r="677" spans="2:2" ht="15">
      <c r="B677" s="66"/>
    </row>
    <row r="678" spans="2:2" ht="15">
      <c r="B678" s="66"/>
    </row>
    <row r="679" spans="2:2" ht="15">
      <c r="B679" s="66"/>
    </row>
    <row r="680" spans="2:2" ht="15">
      <c r="B680" s="66"/>
    </row>
    <row r="681" spans="2:2" ht="15">
      <c r="B681" s="66"/>
    </row>
    <row r="682" spans="2:2" ht="15">
      <c r="B682" s="66"/>
    </row>
    <row r="683" spans="2:2" ht="15">
      <c r="B683" s="66"/>
    </row>
    <row r="684" spans="2:2" ht="15">
      <c r="B684" s="66"/>
    </row>
    <row r="685" spans="2:2" ht="15">
      <c r="B685" s="66"/>
    </row>
    <row r="686" spans="2:2" ht="15">
      <c r="B686" s="66"/>
    </row>
    <row r="687" spans="2:2" ht="15">
      <c r="B687" s="66"/>
    </row>
    <row r="688" spans="2:2" ht="15">
      <c r="B688" s="66"/>
    </row>
    <row r="689" spans="2:2" ht="15">
      <c r="B689" s="66"/>
    </row>
    <row r="690" spans="2:2" ht="15">
      <c r="B690" s="66"/>
    </row>
    <row r="691" spans="2:2" ht="15">
      <c r="B691" s="66"/>
    </row>
    <row r="692" spans="2:2" ht="15">
      <c r="B692" s="66"/>
    </row>
    <row r="693" spans="2:2" ht="15">
      <c r="B693" s="66"/>
    </row>
    <row r="694" spans="2:2" ht="15">
      <c r="B694" s="66"/>
    </row>
    <row r="695" spans="2:2" ht="15">
      <c r="B695" s="66"/>
    </row>
    <row r="696" spans="2:2" ht="15">
      <c r="B696" s="66"/>
    </row>
    <row r="697" spans="2:2" ht="15">
      <c r="B697" s="66"/>
    </row>
    <row r="698" spans="2:2" ht="15">
      <c r="B698" s="66"/>
    </row>
    <row r="699" spans="2:2" ht="15">
      <c r="B699" s="66"/>
    </row>
    <row r="700" spans="2:2" ht="15">
      <c r="B700" s="66"/>
    </row>
    <row r="701" spans="2:2" ht="15">
      <c r="B701" s="66"/>
    </row>
    <row r="702" spans="2:2" ht="15">
      <c r="B702" s="66"/>
    </row>
    <row r="703" spans="2:2" ht="15">
      <c r="B703" s="66"/>
    </row>
    <row r="704" spans="2:2" ht="15">
      <c r="B704" s="66"/>
    </row>
    <row r="705" spans="2:2" ht="15">
      <c r="B705" s="66"/>
    </row>
    <row r="706" spans="2:2" ht="15">
      <c r="B706" s="66"/>
    </row>
    <row r="707" spans="2:2" ht="15">
      <c r="B707" s="66"/>
    </row>
    <row r="708" spans="2:2" ht="15">
      <c r="B708" s="66"/>
    </row>
    <row r="709" spans="2:2" ht="15">
      <c r="B709" s="66"/>
    </row>
    <row r="710" spans="2:2" ht="15">
      <c r="B710" s="66"/>
    </row>
    <row r="711" spans="2:2" ht="15">
      <c r="B711" s="66"/>
    </row>
    <row r="712" spans="2:2" ht="15">
      <c r="B712" s="66"/>
    </row>
    <row r="713" spans="2:2" ht="15">
      <c r="B713" s="66"/>
    </row>
    <row r="714" spans="2:2" ht="15">
      <c r="B714" s="66"/>
    </row>
    <row r="715" spans="2:2" ht="15">
      <c r="B715" s="66"/>
    </row>
    <row r="716" spans="2:2" ht="15">
      <c r="B716" s="66"/>
    </row>
    <row r="717" spans="2:2" ht="15">
      <c r="B717" s="66"/>
    </row>
    <row r="718" spans="2:2" ht="15">
      <c r="B718" s="66"/>
    </row>
    <row r="719" spans="2:2" ht="15">
      <c r="B719" s="66"/>
    </row>
    <row r="720" spans="2:2" ht="15">
      <c r="B720" s="66"/>
    </row>
    <row r="721" spans="2:2" ht="15">
      <c r="B721" s="66"/>
    </row>
    <row r="722" spans="2:2" ht="15">
      <c r="B722" s="66"/>
    </row>
    <row r="723" spans="2:2" ht="15">
      <c r="B723" s="66"/>
    </row>
    <row r="724" spans="2:2" ht="15">
      <c r="B724" s="66"/>
    </row>
    <row r="725" spans="2:2" ht="15">
      <c r="B725" s="66"/>
    </row>
    <row r="726" spans="2:2" ht="15">
      <c r="B726" s="66"/>
    </row>
    <row r="727" spans="2:2" ht="15">
      <c r="B727" s="66"/>
    </row>
    <row r="728" spans="2:2" ht="15">
      <c r="B728" s="66"/>
    </row>
    <row r="729" spans="2:2" ht="15">
      <c r="B729" s="66"/>
    </row>
    <row r="730" spans="2:2" ht="15">
      <c r="B730" s="66"/>
    </row>
    <row r="731" spans="2:2" ht="15">
      <c r="B731" s="66"/>
    </row>
    <row r="732" spans="2:2" ht="15">
      <c r="B732" s="66"/>
    </row>
    <row r="733" spans="2:2" ht="15">
      <c r="B733" s="66"/>
    </row>
    <row r="734" spans="2:2" ht="15">
      <c r="B734" s="66"/>
    </row>
    <row r="735" spans="2:2" ht="15">
      <c r="B735" s="66"/>
    </row>
    <row r="736" spans="2:2" ht="15">
      <c r="B736" s="66"/>
    </row>
    <row r="737" spans="2:2" ht="15">
      <c r="B737" s="66"/>
    </row>
    <row r="738" spans="2:2" ht="15">
      <c r="B738" s="66"/>
    </row>
    <row r="739" spans="2:2" ht="15">
      <c r="B739" s="66"/>
    </row>
    <row r="740" spans="2:2" ht="15">
      <c r="B740" s="66"/>
    </row>
    <row r="741" spans="2:2" ht="15">
      <c r="B741" s="66"/>
    </row>
    <row r="742" spans="2:2" ht="15">
      <c r="B742" s="66"/>
    </row>
    <row r="743" spans="2:2" ht="15">
      <c r="B743" s="66"/>
    </row>
    <row r="744" spans="2:2" ht="15">
      <c r="B744" s="66"/>
    </row>
    <row r="745" spans="2:2" ht="15">
      <c r="B745" s="66"/>
    </row>
    <row r="746" spans="2:2" ht="15">
      <c r="B746" s="66"/>
    </row>
    <row r="747" spans="2:2" ht="15">
      <c r="B747" s="66"/>
    </row>
    <row r="748" spans="2:2" ht="15">
      <c r="B748" s="66"/>
    </row>
    <row r="749" spans="2:2" ht="15">
      <c r="B749" s="66"/>
    </row>
    <row r="750" spans="2:2" ht="15">
      <c r="B750" s="66"/>
    </row>
    <row r="751" spans="2:2" ht="15">
      <c r="B751" s="66"/>
    </row>
    <row r="752" spans="2:2" ht="15">
      <c r="B752" s="66"/>
    </row>
    <row r="753" spans="2:2" ht="15">
      <c r="B753" s="66"/>
    </row>
    <row r="754" spans="2:2" ht="15">
      <c r="B754" s="66"/>
    </row>
    <row r="755" spans="2:2" ht="15">
      <c r="B755" s="66"/>
    </row>
    <row r="756" spans="2:2" ht="15">
      <c r="B756" s="66"/>
    </row>
    <row r="757" spans="2:2" ht="15">
      <c r="B757" s="66"/>
    </row>
    <row r="758" spans="2:2" ht="15">
      <c r="B758" s="66"/>
    </row>
    <row r="759" spans="2:2" ht="15">
      <c r="B759" s="66"/>
    </row>
    <row r="760" spans="2:2" ht="15">
      <c r="B760" s="66"/>
    </row>
    <row r="761" spans="2:2" ht="15">
      <c r="B761" s="66"/>
    </row>
    <row r="762" spans="2:2" ht="15">
      <c r="B762" s="66"/>
    </row>
    <row r="763" spans="2:2" ht="15">
      <c r="B763" s="66"/>
    </row>
    <row r="764" spans="2:2" ht="15">
      <c r="B764" s="66"/>
    </row>
    <row r="765" spans="2:2" ht="15">
      <c r="B765" s="66"/>
    </row>
    <row r="766" spans="2:2" ht="15">
      <c r="B766" s="66"/>
    </row>
    <row r="767" spans="2:2" ht="15">
      <c r="B767" s="66"/>
    </row>
    <row r="768" spans="2:2" ht="15">
      <c r="B768" s="66"/>
    </row>
    <row r="769" spans="2:2" ht="15">
      <c r="B769" s="66"/>
    </row>
    <row r="770" spans="2:2" ht="15">
      <c r="B770" s="66"/>
    </row>
    <row r="771" spans="2:2" ht="15">
      <c r="B771" s="66"/>
    </row>
    <row r="772" spans="2:2" ht="15">
      <c r="B772" s="66"/>
    </row>
    <row r="773" spans="2:2" ht="15">
      <c r="B773" s="66"/>
    </row>
    <row r="774" spans="2:2" ht="15">
      <c r="B774" s="66"/>
    </row>
    <row r="775" spans="2:2" ht="15">
      <c r="B775" s="66"/>
    </row>
    <row r="776" spans="2:2" ht="15">
      <c r="B776" s="66"/>
    </row>
    <row r="777" spans="2:2" ht="15">
      <c r="B777" s="66"/>
    </row>
    <row r="778" spans="2:2" ht="15">
      <c r="B778" s="66"/>
    </row>
    <row r="779" spans="2:2" ht="15">
      <c r="B779" s="66"/>
    </row>
    <row r="780" spans="2:2" ht="15">
      <c r="B780" s="66"/>
    </row>
    <row r="781" spans="2:2" ht="15">
      <c r="B781" s="66"/>
    </row>
    <row r="782" spans="2:2" ht="15">
      <c r="B782" s="66"/>
    </row>
    <row r="783" spans="2:2" ht="15">
      <c r="B783" s="66"/>
    </row>
    <row r="784" spans="2:2" ht="15">
      <c r="B784" s="66"/>
    </row>
    <row r="785" spans="2:2" ht="15">
      <c r="B785" s="66"/>
    </row>
    <row r="786" spans="2:2" ht="15">
      <c r="B786" s="66"/>
    </row>
    <row r="787" spans="2:2" ht="15">
      <c r="B787" s="66"/>
    </row>
    <row r="788" spans="2:2" ht="15">
      <c r="B788" s="66"/>
    </row>
    <row r="789" spans="2:2" ht="15">
      <c r="B789" s="66"/>
    </row>
    <row r="790" spans="2:2" ht="15">
      <c r="B790" s="66"/>
    </row>
    <row r="791" spans="2:2" ht="15">
      <c r="B791" s="66"/>
    </row>
    <row r="792" spans="2:2" ht="15">
      <c r="B792" s="66"/>
    </row>
    <row r="793" spans="2:2" ht="15">
      <c r="B793" s="66"/>
    </row>
    <row r="794" spans="2:2" ht="15">
      <c r="B794" s="66"/>
    </row>
    <row r="795" spans="2:2" ht="15">
      <c r="B795" s="66"/>
    </row>
    <row r="796" spans="2:2" ht="15">
      <c r="B796" s="66"/>
    </row>
    <row r="797" spans="2:2" ht="15">
      <c r="B797" s="66"/>
    </row>
    <row r="798" spans="2:2" ht="15">
      <c r="B798" s="66"/>
    </row>
    <row r="799" spans="2:2" ht="15">
      <c r="B799" s="66"/>
    </row>
    <row r="800" spans="2:2" ht="15">
      <c r="B800" s="66"/>
    </row>
    <row r="801" spans="2:2" ht="15">
      <c r="B801" s="66"/>
    </row>
    <row r="802" spans="2:2" ht="15">
      <c r="B802" s="66"/>
    </row>
    <row r="803" spans="2:2" ht="15">
      <c r="B803" s="66"/>
    </row>
    <row r="804" spans="2:2" ht="15">
      <c r="B804" s="66"/>
    </row>
    <row r="805" spans="2:2" ht="15">
      <c r="B805" s="66"/>
    </row>
    <row r="806" spans="2:2" ht="15">
      <c r="B806" s="66"/>
    </row>
    <row r="807" spans="2:2" ht="15">
      <c r="B807" s="66"/>
    </row>
    <row r="808" spans="2:2" ht="15">
      <c r="B808" s="66"/>
    </row>
    <row r="809" spans="2:2" ht="15">
      <c r="B809" s="66"/>
    </row>
    <row r="810" spans="2:2" ht="15">
      <c r="B810" s="66"/>
    </row>
    <row r="811" spans="2:2" ht="15">
      <c r="B811" s="66"/>
    </row>
    <row r="812" spans="2:2" ht="15">
      <c r="B812" s="66"/>
    </row>
    <row r="813" spans="2:2" ht="15">
      <c r="B813" s="66"/>
    </row>
    <row r="814" spans="2:2" ht="15">
      <c r="B814" s="66"/>
    </row>
    <row r="815" spans="2:2" ht="15">
      <c r="B815" s="66"/>
    </row>
    <row r="816" spans="2:2" ht="15">
      <c r="B816" s="66"/>
    </row>
    <row r="817" spans="2:2" ht="15">
      <c r="B817" s="66"/>
    </row>
    <row r="818" spans="2:2" ht="15">
      <c r="B818" s="66"/>
    </row>
    <row r="819" spans="2:2" ht="15">
      <c r="B819" s="66"/>
    </row>
    <row r="820" spans="2:2" ht="15">
      <c r="B820" s="66"/>
    </row>
    <row r="821" spans="2:2" ht="15">
      <c r="B821" s="66"/>
    </row>
    <row r="822" spans="2:2" ht="15">
      <c r="B822" s="66"/>
    </row>
    <row r="823" spans="2:2" ht="15">
      <c r="B823" s="66"/>
    </row>
    <row r="824" spans="2:2" ht="15">
      <c r="B824" s="66"/>
    </row>
    <row r="825" spans="2:2" ht="15">
      <c r="B825" s="66"/>
    </row>
    <row r="826" spans="2:2" ht="15">
      <c r="B826" s="66"/>
    </row>
    <row r="827" spans="2:2" ht="15">
      <c r="B827" s="66"/>
    </row>
    <row r="828" spans="2:2" ht="15">
      <c r="B828" s="66"/>
    </row>
    <row r="829" spans="2:2" ht="15">
      <c r="B829" s="66"/>
    </row>
    <row r="830" spans="2:2" ht="15">
      <c r="B830" s="66"/>
    </row>
    <row r="831" spans="2:2" ht="15">
      <c r="B831" s="66"/>
    </row>
    <row r="832" spans="2:2" ht="15">
      <c r="B832" s="66"/>
    </row>
    <row r="833" spans="2:2" ht="15">
      <c r="B833" s="66"/>
    </row>
    <row r="834" spans="2:2" ht="15">
      <c r="B834" s="66"/>
    </row>
    <row r="835" spans="2:2" ht="15">
      <c r="B835" s="66"/>
    </row>
    <row r="836" spans="2:2" ht="15">
      <c r="B836" s="66"/>
    </row>
    <row r="837" spans="2:2" ht="15">
      <c r="B837" s="66"/>
    </row>
    <row r="838" spans="2:2" ht="15">
      <c r="B838" s="66"/>
    </row>
    <row r="839" spans="2:2" ht="15">
      <c r="B839" s="66"/>
    </row>
    <row r="840" spans="2:2" ht="15">
      <c r="B840" s="66"/>
    </row>
    <row r="841" spans="2:2" ht="15">
      <c r="B841" s="66"/>
    </row>
    <row r="842" spans="2:2" ht="15">
      <c r="B842" s="66"/>
    </row>
    <row r="843" spans="2:2" ht="15">
      <c r="B843" s="66"/>
    </row>
    <row r="844" spans="2:2" ht="15">
      <c r="B844" s="66"/>
    </row>
    <row r="845" spans="2:2" ht="15">
      <c r="B845" s="66"/>
    </row>
    <row r="846" spans="2:2" ht="15">
      <c r="B846" s="66"/>
    </row>
    <row r="847" spans="2:2" ht="15">
      <c r="B847" s="66"/>
    </row>
    <row r="848" spans="2:2" ht="15">
      <c r="B848" s="66"/>
    </row>
    <row r="849" spans="2:2" ht="15">
      <c r="B849" s="66"/>
    </row>
    <row r="850" spans="2:2" ht="15">
      <c r="B850" s="66"/>
    </row>
    <row r="851" spans="2:2" ht="15">
      <c r="B851" s="66"/>
    </row>
    <row r="852" spans="2:2" ht="15">
      <c r="B852" s="66"/>
    </row>
    <row r="853" spans="2:2" ht="15">
      <c r="B853" s="66"/>
    </row>
    <row r="854" spans="2:2" ht="15">
      <c r="B854" s="66"/>
    </row>
    <row r="855" spans="2:2" ht="15">
      <c r="B855" s="66"/>
    </row>
    <row r="856" spans="2:2" ht="15">
      <c r="B856" s="66"/>
    </row>
    <row r="857" spans="2:2" ht="15">
      <c r="B857" s="66"/>
    </row>
    <row r="858" spans="2:2" ht="15">
      <c r="B858" s="66"/>
    </row>
    <row r="859" spans="2:2" ht="15">
      <c r="B859" s="66"/>
    </row>
    <row r="860" spans="2:2" ht="15">
      <c r="B860" s="66"/>
    </row>
    <row r="861" spans="2:2" ht="15">
      <c r="B861" s="66"/>
    </row>
    <row r="862" spans="2:2" ht="15">
      <c r="B862" s="66"/>
    </row>
    <row r="863" spans="2:2" ht="15">
      <c r="B863" s="66"/>
    </row>
    <row r="864" spans="2:2" ht="15">
      <c r="B864" s="66"/>
    </row>
    <row r="865" spans="2:2" ht="15">
      <c r="B865" s="66"/>
    </row>
    <row r="866" spans="2:2" ht="15">
      <c r="B866" s="66"/>
    </row>
    <row r="867" spans="2:2" ht="15">
      <c r="B867" s="66"/>
    </row>
    <row r="868" spans="2:2" ht="15">
      <c r="B868" s="66"/>
    </row>
    <row r="869" spans="2:2" ht="15">
      <c r="B869" s="66"/>
    </row>
    <row r="870" spans="2:2" ht="15">
      <c r="B870" s="66"/>
    </row>
    <row r="871" spans="2:2" ht="15">
      <c r="B871" s="66"/>
    </row>
    <row r="872" spans="2:2" ht="15">
      <c r="B872" s="66"/>
    </row>
    <row r="873" spans="2:2" ht="15">
      <c r="B873" s="66"/>
    </row>
    <row r="874" spans="2:2" ht="15">
      <c r="B874" s="66"/>
    </row>
    <row r="875" spans="2:2" ht="15">
      <c r="B875" s="66"/>
    </row>
    <row r="876" spans="2:2" ht="15">
      <c r="B876" s="66"/>
    </row>
    <row r="877" spans="2:2" ht="15">
      <c r="B877" s="66"/>
    </row>
    <row r="878" spans="2:2" ht="15">
      <c r="B878" s="66"/>
    </row>
    <row r="879" spans="2:2" ht="15">
      <c r="B879" s="66"/>
    </row>
    <row r="880" spans="2:2" ht="15">
      <c r="B880" s="66"/>
    </row>
    <row r="881" spans="2:2" ht="15">
      <c r="B881" s="66"/>
    </row>
    <row r="882" spans="2:2" ht="15">
      <c r="B882" s="66"/>
    </row>
    <row r="883" spans="2:2" ht="15">
      <c r="B883" s="66"/>
    </row>
    <row r="884" spans="2:2" ht="15">
      <c r="B884" s="66"/>
    </row>
    <row r="885" spans="2:2" ht="15">
      <c r="B885" s="66"/>
    </row>
    <row r="886" spans="2:2" ht="15">
      <c r="B886" s="66"/>
    </row>
    <row r="887" spans="2:2" ht="15">
      <c r="B887" s="66"/>
    </row>
    <row r="888" spans="2:2" ht="15">
      <c r="B888" s="66"/>
    </row>
    <row r="889" spans="2:2" ht="15">
      <c r="B889" s="66"/>
    </row>
    <row r="890" spans="2:2" ht="15">
      <c r="B890" s="66"/>
    </row>
    <row r="891" spans="2:2" ht="15">
      <c r="B891" s="66"/>
    </row>
    <row r="892" spans="2:2" ht="15">
      <c r="B892" s="66"/>
    </row>
    <row r="893" spans="2:2" ht="15">
      <c r="B893" s="66"/>
    </row>
    <row r="894" spans="2:2" ht="15">
      <c r="B894" s="66"/>
    </row>
    <row r="895" spans="2:2" ht="15">
      <c r="B895" s="66"/>
    </row>
    <row r="896" spans="2:2" ht="15">
      <c r="B896" s="66"/>
    </row>
    <row r="897" spans="2:2" ht="15">
      <c r="B897" s="66"/>
    </row>
    <row r="898" spans="2:2" ht="15">
      <c r="B898" s="66"/>
    </row>
    <row r="899" spans="2:2" ht="15">
      <c r="B899" s="66"/>
    </row>
    <row r="900" spans="2:2" ht="15">
      <c r="B900" s="66"/>
    </row>
    <row r="901" spans="2:2" ht="15">
      <c r="B901" s="66"/>
    </row>
    <row r="902" spans="2:2" ht="15">
      <c r="B902" s="66"/>
    </row>
    <row r="903" spans="2:2" ht="15">
      <c r="B903" s="66"/>
    </row>
    <row r="904" spans="2:2" ht="15">
      <c r="B904" s="66"/>
    </row>
    <row r="905" spans="2:2" ht="15">
      <c r="B905" s="66"/>
    </row>
    <row r="906" spans="2:2" ht="15">
      <c r="B906" s="66"/>
    </row>
    <row r="907" spans="2:2" ht="15">
      <c r="B907" s="66"/>
    </row>
    <row r="908" spans="2:2" ht="15">
      <c r="B908" s="66"/>
    </row>
    <row r="909" spans="2:2" ht="15">
      <c r="B909" s="66"/>
    </row>
    <row r="910" spans="2:2" ht="15">
      <c r="B910" s="66"/>
    </row>
    <row r="911" spans="2:2" ht="15">
      <c r="B911" s="66"/>
    </row>
    <row r="912" spans="2:2" ht="15">
      <c r="B912" s="66"/>
    </row>
    <row r="913" spans="2:2" ht="15">
      <c r="B913" s="66"/>
    </row>
    <row r="914" spans="2:2" ht="15">
      <c r="B914" s="66"/>
    </row>
    <row r="915" spans="2:2" ht="15">
      <c r="B915" s="66"/>
    </row>
    <row r="916" spans="2:2" ht="15">
      <c r="B916" s="66"/>
    </row>
    <row r="917" spans="2:2" ht="15">
      <c r="B917" s="66"/>
    </row>
    <row r="918" spans="2:2" ht="15">
      <c r="B918" s="66"/>
    </row>
    <row r="919" spans="2:2" ht="15">
      <c r="B919" s="66"/>
    </row>
    <row r="920" spans="2:2" ht="15">
      <c r="B920" s="66"/>
    </row>
    <row r="921" spans="2:2" ht="15">
      <c r="B921" s="66"/>
    </row>
    <row r="922" spans="2:2" ht="15">
      <c r="B922" s="66"/>
    </row>
    <row r="923" spans="2:2" ht="15">
      <c r="B923" s="66"/>
    </row>
    <row r="924" spans="2:2" ht="15">
      <c r="B924" s="66"/>
    </row>
    <row r="925" spans="2:2" ht="15">
      <c r="B925" s="66"/>
    </row>
    <row r="926" spans="2:2" ht="15">
      <c r="B926" s="66"/>
    </row>
    <row r="927" spans="2:2" ht="15">
      <c r="B927" s="66"/>
    </row>
    <row r="928" spans="2:2" ht="15">
      <c r="B928" s="66"/>
    </row>
    <row r="929" spans="2:2" ht="15">
      <c r="B929" s="66"/>
    </row>
    <row r="930" spans="2:2" ht="15">
      <c r="B930" s="66"/>
    </row>
    <row r="931" spans="2:2" ht="15">
      <c r="B931" s="66"/>
    </row>
    <row r="932" spans="2:2" ht="15">
      <c r="B932" s="66"/>
    </row>
    <row r="933" spans="2:2" ht="15">
      <c r="B933" s="66"/>
    </row>
    <row r="934" spans="2:2" ht="15">
      <c r="B934" s="66"/>
    </row>
    <row r="935" spans="2:2" ht="15">
      <c r="B935" s="66"/>
    </row>
    <row r="936" spans="2:2" ht="15">
      <c r="B936" s="66"/>
    </row>
    <row r="937" spans="2:2" ht="15">
      <c r="B937" s="66"/>
    </row>
    <row r="938" spans="2:2" ht="15">
      <c r="B938" s="66"/>
    </row>
    <row r="939" spans="2:2" ht="15">
      <c r="B939" s="66"/>
    </row>
    <row r="940" spans="2:2" ht="15">
      <c r="B940" s="66"/>
    </row>
    <row r="941" spans="2:2" ht="15">
      <c r="B941" s="66"/>
    </row>
    <row r="942" spans="2:2" ht="15">
      <c r="B942" s="66"/>
    </row>
    <row r="943" spans="2:2" ht="15">
      <c r="B943" s="66"/>
    </row>
    <row r="944" spans="2:2" ht="15">
      <c r="B944" s="66"/>
    </row>
    <row r="945" spans="2:2" ht="15">
      <c r="B945" s="66"/>
    </row>
    <row r="946" spans="2:2" ht="15">
      <c r="B946" s="66"/>
    </row>
    <row r="947" spans="2:2" ht="15">
      <c r="B947" s="66"/>
    </row>
    <row r="948" spans="2:2" ht="15">
      <c r="B948" s="66"/>
    </row>
    <row r="949" spans="2:2" ht="15">
      <c r="B949" s="66"/>
    </row>
    <row r="950" spans="2:2" ht="15">
      <c r="B950" s="66"/>
    </row>
    <row r="951" spans="2:2" ht="15">
      <c r="B951" s="66"/>
    </row>
    <row r="952" spans="2:2" ht="15">
      <c r="B952" s="66"/>
    </row>
    <row r="953" spans="2:2" ht="15">
      <c r="B953" s="66"/>
    </row>
    <row r="954" spans="2:2" ht="15">
      <c r="B954" s="66"/>
    </row>
    <row r="955" spans="2:2" ht="15">
      <c r="B955" s="66"/>
    </row>
    <row r="956" spans="2:2" ht="15">
      <c r="B956" s="66"/>
    </row>
    <row r="957" spans="2:2" ht="15">
      <c r="B957" s="66"/>
    </row>
    <row r="958" spans="2:2" ht="15">
      <c r="B958" s="66"/>
    </row>
    <row r="959" spans="2:2" ht="15">
      <c r="B959" s="66"/>
    </row>
    <row r="960" spans="2:2" ht="15">
      <c r="B960" s="66"/>
    </row>
    <row r="961" spans="2:2" ht="15">
      <c r="B961" s="66"/>
    </row>
    <row r="962" spans="2:2" ht="15">
      <c r="B962" s="66"/>
    </row>
    <row r="963" spans="2:2" ht="15">
      <c r="B963" s="66"/>
    </row>
    <row r="964" spans="2:2" ht="15">
      <c r="B964" s="66"/>
    </row>
    <row r="965" spans="2:2" ht="15">
      <c r="B965" s="66"/>
    </row>
    <row r="966" spans="2:2" ht="15">
      <c r="B966" s="66"/>
    </row>
    <row r="967" spans="2:2" ht="15">
      <c r="B967" s="66"/>
    </row>
    <row r="968" spans="2:2" ht="15">
      <c r="B968" s="66"/>
    </row>
    <row r="969" spans="2:2" ht="15">
      <c r="B969" s="66"/>
    </row>
    <row r="970" spans="2:2" ht="15">
      <c r="B970" s="66"/>
    </row>
    <row r="971" spans="2:2" ht="15">
      <c r="B971" s="66"/>
    </row>
    <row r="972" spans="2:2" ht="15">
      <c r="B972" s="66"/>
    </row>
    <row r="973" spans="2:2" ht="15">
      <c r="B973" s="66"/>
    </row>
    <row r="974" spans="2:2" ht="15">
      <c r="B974" s="66"/>
    </row>
    <row r="975" spans="2:2" ht="15">
      <c r="B975" s="66"/>
    </row>
    <row r="976" spans="2:2" ht="15">
      <c r="B976" s="66"/>
    </row>
    <row r="977" spans="2:2" ht="15">
      <c r="B977" s="66"/>
    </row>
    <row r="978" spans="2:2" ht="15">
      <c r="B978" s="66"/>
    </row>
    <row r="979" spans="2:2" ht="15">
      <c r="B979" s="66"/>
    </row>
    <row r="980" spans="2:2" ht="15">
      <c r="B980" s="66"/>
    </row>
    <row r="981" spans="2:2" ht="15">
      <c r="B981" s="66"/>
    </row>
    <row r="982" spans="2:2" ht="15">
      <c r="B982" s="66"/>
    </row>
    <row r="983" spans="2:2" ht="15">
      <c r="B983" s="66"/>
    </row>
    <row r="984" spans="2:2" ht="15">
      <c r="B984" s="66"/>
    </row>
    <row r="985" spans="2:2" ht="15">
      <c r="B985" s="66"/>
    </row>
    <row r="986" spans="2:2" ht="15">
      <c r="B986" s="66"/>
    </row>
    <row r="987" spans="2:2" ht="15">
      <c r="B987" s="66"/>
    </row>
    <row r="988" spans="2:2" ht="15">
      <c r="B988" s="66"/>
    </row>
    <row r="989" spans="2:2" ht="15">
      <c r="B989" s="66"/>
    </row>
    <row r="990" spans="2:2" ht="15">
      <c r="B990" s="66"/>
    </row>
    <row r="991" spans="2:2" ht="15">
      <c r="B991" s="66"/>
    </row>
    <row r="992" spans="2:2" ht="15">
      <c r="B992" s="66"/>
    </row>
    <row r="993" spans="2:2" ht="15">
      <c r="B993" s="66"/>
    </row>
    <row r="994" spans="2:2" ht="15">
      <c r="B994" s="66"/>
    </row>
    <row r="995" spans="2:2" ht="15">
      <c r="B995" s="66"/>
    </row>
    <row r="996" spans="2:2" ht="15">
      <c r="B996" s="66"/>
    </row>
    <row r="997" spans="2:2" ht="15">
      <c r="B997" s="66"/>
    </row>
    <row r="998" spans="2:2" ht="15">
      <c r="B998" s="66"/>
    </row>
    <row r="999" spans="2:2" ht="15">
      <c r="B999" s="66"/>
    </row>
    <row r="1000" spans="2:2" ht="15">
      <c r="B1000" s="66"/>
    </row>
    <row r="1001" spans="2:2" ht="15">
      <c r="B1001" s="66"/>
    </row>
  </sheetData>
  <pageMargins left="0.7" right="0.7" top="0.75" bottom="0.75" header="0.511811023622047" footer="0.511811023622047"/>
  <pageSetup orientation="landscape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S72"/>
  <sheetViews>
    <sheetView zoomScaleNormal="100" workbookViewId="0"/>
  </sheetViews>
  <sheetFormatPr defaultColWidth="12.625" defaultRowHeight="14.25"/>
  <sheetData>
    <row r="1" spans="1:149" ht="15">
      <c r="A1" s="13" t="s">
        <v>0</v>
      </c>
      <c r="B1" s="14" t="s">
        <v>83</v>
      </c>
      <c r="C1" s="14"/>
      <c r="D1" s="15" t="s">
        <v>84</v>
      </c>
      <c r="E1" s="13" t="s">
        <v>85</v>
      </c>
      <c r="F1" s="13" t="s">
        <v>86</v>
      </c>
      <c r="G1" s="13" t="s">
        <v>87</v>
      </c>
      <c r="H1" s="13" t="s">
        <v>88</v>
      </c>
      <c r="I1" s="13" t="s">
        <v>89</v>
      </c>
      <c r="J1" s="13" t="s">
        <v>90</v>
      </c>
      <c r="K1" s="13" t="s">
        <v>91</v>
      </c>
      <c r="L1" s="13" t="s">
        <v>92</v>
      </c>
      <c r="M1" s="13" t="s">
        <v>93</v>
      </c>
      <c r="N1" s="13" t="s">
        <v>94</v>
      </c>
      <c r="O1" s="13" t="s">
        <v>95</v>
      </c>
      <c r="P1" s="15" t="s">
        <v>96</v>
      </c>
      <c r="Q1" s="13" t="s">
        <v>97</v>
      </c>
      <c r="R1" s="13" t="s">
        <v>98</v>
      </c>
      <c r="S1" s="13" t="s">
        <v>99</v>
      </c>
      <c r="T1" s="13" t="s">
        <v>100</v>
      </c>
      <c r="U1" s="13" t="s">
        <v>101</v>
      </c>
      <c r="V1" s="13" t="s">
        <v>102</v>
      </c>
      <c r="W1" s="13" t="s">
        <v>103</v>
      </c>
      <c r="X1" s="13" t="s">
        <v>104</v>
      </c>
      <c r="Y1" s="15" t="s">
        <v>105</v>
      </c>
      <c r="Z1" s="13" t="s">
        <v>106</v>
      </c>
      <c r="AA1" s="13" t="s">
        <v>107</v>
      </c>
      <c r="AB1" s="13" t="s">
        <v>108</v>
      </c>
      <c r="AC1" s="13" t="s">
        <v>109</v>
      </c>
      <c r="AD1" s="15" t="s">
        <v>110</v>
      </c>
      <c r="AE1" s="15" t="s">
        <v>111</v>
      </c>
      <c r="AF1" s="15" t="s">
        <v>112</v>
      </c>
      <c r="AG1" s="13" t="s">
        <v>113</v>
      </c>
      <c r="AH1" s="13" t="s">
        <v>114</v>
      </c>
      <c r="AI1" s="13" t="s">
        <v>115</v>
      </c>
      <c r="AJ1" s="13" t="s">
        <v>116</v>
      </c>
      <c r="AK1" s="13" t="s">
        <v>117</v>
      </c>
      <c r="AL1" s="13" t="s">
        <v>118</v>
      </c>
      <c r="AM1" s="13" t="s">
        <v>119</v>
      </c>
      <c r="AN1" s="13" t="s">
        <v>120</v>
      </c>
      <c r="AO1" s="13" t="s">
        <v>121</v>
      </c>
      <c r="AP1" s="15" t="s">
        <v>122</v>
      </c>
      <c r="AQ1" s="13" t="s">
        <v>123</v>
      </c>
      <c r="AR1" s="13" t="s">
        <v>124</v>
      </c>
      <c r="AS1" s="13" t="s">
        <v>125</v>
      </c>
      <c r="AT1" s="13" t="s">
        <v>126</v>
      </c>
      <c r="AU1" s="13" t="s">
        <v>127</v>
      </c>
      <c r="AV1" s="13" t="s">
        <v>128</v>
      </c>
      <c r="AW1" s="13" t="s">
        <v>129</v>
      </c>
      <c r="AX1" s="13" t="s">
        <v>130</v>
      </c>
      <c r="AY1" s="16" t="s">
        <v>131</v>
      </c>
      <c r="AZ1" s="13" t="s">
        <v>132</v>
      </c>
      <c r="BA1" s="13" t="s">
        <v>133</v>
      </c>
      <c r="BB1" s="13" t="s">
        <v>134</v>
      </c>
      <c r="BC1" s="13" t="s">
        <v>135</v>
      </c>
      <c r="BD1" s="13" t="s">
        <v>136</v>
      </c>
      <c r="BE1" s="13" t="s">
        <v>137</v>
      </c>
      <c r="BF1" s="13" t="s">
        <v>138</v>
      </c>
      <c r="BG1" s="13" t="s">
        <v>139</v>
      </c>
      <c r="BH1" s="13" t="s">
        <v>140</v>
      </c>
      <c r="BI1" s="15" t="s">
        <v>141</v>
      </c>
      <c r="BJ1" s="13" t="s">
        <v>142</v>
      </c>
      <c r="BK1" s="13" t="s">
        <v>143</v>
      </c>
      <c r="BL1" s="13" t="s">
        <v>144</v>
      </c>
      <c r="BM1" s="13" t="s">
        <v>145</v>
      </c>
      <c r="BN1" s="13" t="s">
        <v>146</v>
      </c>
      <c r="BO1" s="13" t="s">
        <v>147</v>
      </c>
      <c r="BP1" s="13" t="s">
        <v>148</v>
      </c>
      <c r="BQ1" s="13" t="s">
        <v>149</v>
      </c>
      <c r="BR1" s="13" t="s">
        <v>150</v>
      </c>
      <c r="BS1" s="15" t="s">
        <v>151</v>
      </c>
      <c r="BT1" s="15" t="s">
        <v>152</v>
      </c>
      <c r="BU1" s="13" t="s">
        <v>153</v>
      </c>
      <c r="BV1" s="16" t="s">
        <v>154</v>
      </c>
      <c r="BW1" s="17"/>
      <c r="BX1" s="17" t="str">
        <f t="shared" ref="BX1:DC1" si="0">D1</f>
        <v>Allegro</v>
      </c>
      <c r="BY1" s="17" t="str">
        <f t="shared" si="0"/>
        <v>Amazon AE</v>
      </c>
      <c r="BZ1" s="17" t="str">
        <f t="shared" si="0"/>
        <v>Amazon AU</v>
      </c>
      <c r="CA1" s="17" t="str">
        <f t="shared" si="0"/>
        <v>Amazon BR</v>
      </c>
      <c r="CB1" s="17" t="str">
        <f t="shared" si="0"/>
        <v>Amazon CA</v>
      </c>
      <c r="CC1" s="17" t="str">
        <f t="shared" si="0"/>
        <v>Amazon DE</v>
      </c>
      <c r="CD1" s="17" t="str">
        <f t="shared" si="0"/>
        <v>Amazon ES</v>
      </c>
      <c r="CE1" s="17" t="str">
        <f t="shared" si="0"/>
        <v>Amazon IT</v>
      </c>
      <c r="CF1" s="17" t="str">
        <f t="shared" si="0"/>
        <v>Amazon JP</v>
      </c>
      <c r="CG1" s="17" t="str">
        <f t="shared" si="0"/>
        <v>Amazon MX</v>
      </c>
      <c r="CH1" s="17" t="str">
        <f t="shared" si="0"/>
        <v>Amazon NL</v>
      </c>
      <c r="CI1" s="17" t="str">
        <f t="shared" si="0"/>
        <v>Amazon UK</v>
      </c>
      <c r="CJ1" s="17" t="str">
        <f t="shared" si="0"/>
        <v>Amazon US</v>
      </c>
      <c r="CK1" s="17" t="str">
        <f t="shared" si="0"/>
        <v>Americanas</v>
      </c>
      <c r="CL1" s="17" t="str">
        <f t="shared" si="0"/>
        <v>argos</v>
      </c>
      <c r="CM1" s="17" t="str">
        <f t="shared" si="0"/>
        <v>blibli</v>
      </c>
      <c r="CN1" s="17" t="str">
        <f t="shared" si="0"/>
        <v>bol</v>
      </c>
      <c r="CO1" s="17" t="str">
        <f t="shared" si="0"/>
        <v>bukalapak</v>
      </c>
      <c r="CP1" s="17" t="str">
        <f t="shared" si="0"/>
        <v>canadiantire</v>
      </c>
      <c r="CQ1" s="17" t="str">
        <f t="shared" si="0"/>
        <v>Casasbahia</v>
      </c>
      <c r="CR1" s="17" t="str">
        <f t="shared" si="0"/>
        <v>catch</v>
      </c>
      <c r="CS1" s="17" t="str">
        <f t="shared" si="0"/>
        <v>cdiscount</v>
      </c>
      <c r="CT1" s="17" t="str">
        <f t="shared" si="0"/>
        <v>clasohlson</v>
      </c>
      <c r="CU1" s="17" t="str">
        <f t="shared" si="0"/>
        <v>coolblue</v>
      </c>
      <c r="CV1" s="17" t="str">
        <f t="shared" si="0"/>
        <v>costco</v>
      </c>
      <c r="CW1" s="17" t="str">
        <f t="shared" si="0"/>
        <v>Costco CA</v>
      </c>
      <c r="CX1" s="17" t="str">
        <f t="shared" si="0"/>
        <v>ebay</v>
      </c>
      <c r="CY1" s="17" t="str">
        <f t="shared" si="0"/>
        <v>ebay DE</v>
      </c>
      <c r="CZ1" s="17" t="str">
        <f t="shared" si="0"/>
        <v>ebay UK</v>
      </c>
      <c r="DA1" s="17" t="str">
        <f t="shared" si="0"/>
        <v>elcorteingles</v>
      </c>
      <c r="DB1" s="17" t="str">
        <f t="shared" si="0"/>
        <v>etsy</v>
      </c>
      <c r="DC1" s="17" t="str">
        <f t="shared" si="0"/>
        <v>Extra</v>
      </c>
      <c r="DD1" s="17" t="str">
        <f t="shared" ref="DD1:EI1" si="1">AJ1</f>
        <v>Falabella</v>
      </c>
      <c r="DE1" s="17" t="str">
        <f t="shared" si="1"/>
        <v>falabella PE</v>
      </c>
      <c r="DF1" s="17" t="str">
        <f t="shared" si="1"/>
        <v>fishpond</v>
      </c>
      <c r="DG1" s="17" t="str">
        <f t="shared" si="1"/>
        <v>fnac</v>
      </c>
      <c r="DH1" s="17" t="str">
        <f t="shared" si="1"/>
        <v>grays</v>
      </c>
      <c r="DI1" s="17" t="str">
        <f t="shared" si="1"/>
        <v>hepsiburada</v>
      </c>
      <c r="DJ1" s="17" t="str">
        <f t="shared" si="1"/>
        <v>homecenter</v>
      </c>
      <c r="DK1" s="17" t="str">
        <f t="shared" si="1"/>
        <v>jumia</v>
      </c>
      <c r="DL1" s="17" t="str">
        <f t="shared" si="1"/>
        <v>kijiji</v>
      </c>
      <c r="DM1" s="17" t="str">
        <f t="shared" si="1"/>
        <v>kmart</v>
      </c>
      <c r="DN1" s="17" t="str">
        <f t="shared" si="1"/>
        <v>kohls</v>
      </c>
      <c r="DO1" s="17" t="str">
        <f t="shared" si="1"/>
        <v>lazada</v>
      </c>
      <c r="DP1" s="17" t="str">
        <f t="shared" si="1"/>
        <v>Linio</v>
      </c>
      <c r="DQ1" s="17" t="str">
        <f t="shared" si="1"/>
        <v>liverpool</v>
      </c>
      <c r="DR1" s="17" t="str">
        <f t="shared" si="1"/>
        <v>magazineluiza</v>
      </c>
      <c r="DS1" s="17" t="str">
        <f t="shared" si="1"/>
        <v>marktplaats</v>
      </c>
      <c r="DT1" s="17" t="str">
        <f t="shared" si="1"/>
        <v>Mercado Libre</v>
      </c>
      <c r="DU1" s="17" t="str">
        <f t="shared" si="1"/>
        <v>mydeal</v>
      </c>
      <c r="DV1" s="17" t="str">
        <f t="shared" si="1"/>
        <v>newegg</v>
      </c>
      <c r="DW1" s="17" t="str">
        <f t="shared" si="1"/>
        <v>noon</v>
      </c>
      <c r="DX1" s="17" t="str">
        <f t="shared" si="1"/>
        <v>otto</v>
      </c>
      <c r="DY1" s="17" t="str">
        <f t="shared" si="1"/>
        <v>pgmall</v>
      </c>
      <c r="DZ1" s="17" t="str">
        <f t="shared" si="1"/>
        <v>plazavea</v>
      </c>
      <c r="EA1" s="17" t="str">
        <f t="shared" si="1"/>
        <v>Pontofrio</v>
      </c>
      <c r="EB1" s="17" t="str">
        <f t="shared" si="1"/>
        <v>price</v>
      </c>
      <c r="EC1" s="17" t="str">
        <f t="shared" si="1"/>
        <v>Rakuten</v>
      </c>
      <c r="ED1" s="17" t="str">
        <f t="shared" si="1"/>
        <v>ripley</v>
      </c>
      <c r="EE1" s="17" t="str">
        <f t="shared" si="1"/>
        <v>Shopee</v>
      </c>
      <c r="EF1" s="17" t="str">
        <f t="shared" si="1"/>
        <v>Submarino</v>
      </c>
      <c r="EG1" s="17" t="str">
        <f t="shared" si="1"/>
        <v>taobao</v>
      </c>
      <c r="EH1" s="17" t="str">
        <f t="shared" si="1"/>
        <v>Target</v>
      </c>
      <c r="EI1" s="17" t="str">
        <f t="shared" si="1"/>
        <v>thewarehouse</v>
      </c>
      <c r="EJ1" s="17" t="str">
        <f t="shared" ref="EJ1:FO1" si="2">BP1</f>
        <v>tokopedia</v>
      </c>
      <c r="EK1" s="17" t="str">
        <f t="shared" si="2"/>
        <v>trademe</v>
      </c>
      <c r="EL1" s="17" t="str">
        <f t="shared" si="2"/>
        <v>Trendyol</v>
      </c>
      <c r="EM1" s="17" t="str">
        <f t="shared" si="2"/>
        <v>walmart</v>
      </c>
      <c r="EN1" s="17" t="str">
        <f t="shared" si="2"/>
        <v>walmart CA</v>
      </c>
      <c r="EO1" s="17" t="str">
        <f t="shared" si="2"/>
        <v>wayfair</v>
      </c>
      <c r="EP1" s="17" t="str">
        <f t="shared" si="2"/>
        <v>worten</v>
      </c>
      <c r="EQ1" s="17" t="s">
        <v>155</v>
      </c>
      <c r="ER1" s="17" t="s">
        <v>156</v>
      </c>
      <c r="ES1" s="17" t="s">
        <v>157</v>
      </c>
    </row>
    <row r="2" spans="1:149" ht="15">
      <c r="A2" s="13" t="s">
        <v>83</v>
      </c>
      <c r="B2" s="14"/>
      <c r="C2" s="14"/>
      <c r="D2" s="18">
        <f>Marketplace_customer!C2/Marketplace_customer!C$2</f>
        <v>1</v>
      </c>
      <c r="E2" s="18">
        <f>Marketplace_customer!D2/Marketplace_customer!D$2</f>
        <v>1</v>
      </c>
      <c r="F2" s="18">
        <f>Marketplace_customer!E2/Marketplace_customer!E$2</f>
        <v>1</v>
      </c>
      <c r="G2" s="18">
        <f>Marketplace_customer!F2/Marketplace_customer!F$2</f>
        <v>1</v>
      </c>
      <c r="H2" s="18">
        <f>Marketplace_customer!G2/Marketplace_customer!G$2</f>
        <v>1</v>
      </c>
      <c r="I2" s="18">
        <f>Marketplace_customer!H2/Marketplace_customer!H$2</f>
        <v>1</v>
      </c>
      <c r="J2" s="18">
        <f>Marketplace_customer!I2/Marketplace_customer!I$2</f>
        <v>1</v>
      </c>
      <c r="K2" s="18">
        <f>Marketplace_customer!J2/Marketplace_customer!J$2</f>
        <v>1</v>
      </c>
      <c r="L2" s="18">
        <f>Marketplace_customer!K2/Marketplace_customer!K$2</f>
        <v>1</v>
      </c>
      <c r="M2" s="18">
        <f>Marketplace_customer!L2/Marketplace_customer!L$2</f>
        <v>1</v>
      </c>
      <c r="N2" s="18">
        <f>Marketplace_customer!M2/Marketplace_customer!M$2</f>
        <v>1</v>
      </c>
      <c r="O2" s="18">
        <f>Marketplace_customer!N2/Marketplace_customer!N$2</f>
        <v>1</v>
      </c>
      <c r="P2" s="18">
        <f>Marketplace_customer!O2/Marketplace_customer!O$2</f>
        <v>1</v>
      </c>
      <c r="Q2" s="18">
        <f>Marketplace_customer!P2/Marketplace_customer!P$2</f>
        <v>1</v>
      </c>
      <c r="R2" s="18">
        <f>Marketplace_customer!Q2/Marketplace_customer!Q$2</f>
        <v>1</v>
      </c>
      <c r="S2" s="18">
        <f>Marketplace_customer!R2/Marketplace_customer!R$2</f>
        <v>1</v>
      </c>
      <c r="T2" s="18">
        <f>Marketplace_customer!S2/Marketplace_customer!S$2</f>
        <v>1</v>
      </c>
      <c r="U2" s="18">
        <f>Marketplace_customer!T2/Marketplace_customer!T$2</f>
        <v>1</v>
      </c>
      <c r="V2" s="18">
        <f>Marketplace_customer!U2/Marketplace_customer!U$2</f>
        <v>1</v>
      </c>
      <c r="W2" s="18">
        <f>Marketplace_customer!V2/Marketplace_customer!V$2</f>
        <v>1</v>
      </c>
      <c r="X2" s="18">
        <f>Marketplace_customer!W2/Marketplace_customer!W$2</f>
        <v>1</v>
      </c>
      <c r="Y2" s="18">
        <f>Marketplace_customer!X2/Marketplace_customer!X$2</f>
        <v>1</v>
      </c>
      <c r="Z2" s="18">
        <f>Marketplace_customer!Y2/Marketplace_customer!Y$2</f>
        <v>1</v>
      </c>
      <c r="AA2" s="18">
        <f>Marketplace_customer!Z2/Marketplace_customer!Z$2</f>
        <v>1</v>
      </c>
      <c r="AB2" s="18">
        <f>Marketplace_customer!AA2/Marketplace_customer!AA$2</f>
        <v>1</v>
      </c>
      <c r="AC2" s="18">
        <f>Marketplace_customer!AB2/Marketplace_customer!AB$2</f>
        <v>1</v>
      </c>
      <c r="AD2" s="18">
        <f>Marketplace_customer!AC2/Marketplace_customer!AC$2</f>
        <v>1</v>
      </c>
      <c r="AE2" s="18">
        <f>Marketplace_customer!AD2/Marketplace_customer!AD$2</f>
        <v>1</v>
      </c>
      <c r="AF2" s="18">
        <f>Marketplace_customer!AE2/Marketplace_customer!AE$2</f>
        <v>1</v>
      </c>
      <c r="AG2" s="18">
        <f>Marketplace_customer!AF2/Marketplace_customer!AF$2</f>
        <v>1</v>
      </c>
      <c r="AH2" s="18">
        <f>Marketplace_customer!AG2/Marketplace_customer!AG$2</f>
        <v>1</v>
      </c>
      <c r="AI2" s="18">
        <f>Marketplace_customer!AH2/Marketplace_customer!AH$2</f>
        <v>1</v>
      </c>
      <c r="AJ2" s="18">
        <f>Marketplace_customer!AI2/Marketplace_customer!AI$2</f>
        <v>1</v>
      </c>
      <c r="AK2" s="18">
        <f>Marketplace_customer!AJ2/Marketplace_customer!AJ$2</f>
        <v>1</v>
      </c>
      <c r="AL2" s="18">
        <f>Marketplace_customer!AK2/Marketplace_customer!AK$2</f>
        <v>1</v>
      </c>
      <c r="AM2" s="18">
        <f>Marketplace_customer!AL2/Marketplace_customer!AL$2</f>
        <v>1</v>
      </c>
      <c r="AN2" s="18">
        <f>Marketplace_customer!AM2/Marketplace_customer!AM$2</f>
        <v>1</v>
      </c>
      <c r="AO2" s="18">
        <f>Marketplace_customer!AN2/Marketplace_customer!AN$2</f>
        <v>1</v>
      </c>
      <c r="AP2" s="18">
        <f>Marketplace_customer!AO2/Marketplace_customer!AO$2</f>
        <v>1</v>
      </c>
      <c r="AQ2" s="18">
        <f>Marketplace_customer!AP2/Marketplace_customer!AP$2</f>
        <v>1</v>
      </c>
      <c r="AR2" s="18">
        <f>Marketplace_customer!AQ2/Marketplace_customer!AQ$2</f>
        <v>1</v>
      </c>
      <c r="AS2" s="18">
        <f>Marketplace_customer!AR2/Marketplace_customer!AR$2</f>
        <v>1</v>
      </c>
      <c r="AT2" s="18">
        <f>Marketplace_customer!AS2/Marketplace_customer!AS$2</f>
        <v>1</v>
      </c>
      <c r="AU2" s="18">
        <f>Marketplace_customer!AT2/Marketplace_customer!AT$2</f>
        <v>1</v>
      </c>
      <c r="AV2" s="18">
        <f>Marketplace_customer!AU2/Marketplace_customer!AU$2</f>
        <v>1</v>
      </c>
      <c r="AW2" s="18">
        <f>Marketplace_customer!AV2/Marketplace_customer!AV$2</f>
        <v>1</v>
      </c>
      <c r="AX2" s="18">
        <f>Marketplace_customer!AW2/Marketplace_customer!AW$2</f>
        <v>1</v>
      </c>
      <c r="AY2" s="18">
        <f>Marketplace_customer!AX2/Marketplace_customer!AX$2</f>
        <v>1</v>
      </c>
      <c r="AZ2" s="18">
        <f>Marketplace_customer!AY2/Marketplace_customer!AY$2</f>
        <v>1</v>
      </c>
      <c r="BA2" s="18">
        <f>Marketplace_customer!AZ2/Marketplace_customer!AZ$2</f>
        <v>1</v>
      </c>
      <c r="BB2" s="18">
        <f>Marketplace_customer!BA2/Marketplace_customer!BA$2</f>
        <v>1</v>
      </c>
      <c r="BC2" s="18">
        <f>Marketplace_customer!BB2/Marketplace_customer!BB$2</f>
        <v>1</v>
      </c>
      <c r="BD2" s="18">
        <f>Marketplace_customer!BC2/Marketplace_customer!BC$2</f>
        <v>1</v>
      </c>
      <c r="BE2" s="18">
        <f>Marketplace_customer!BD2/Marketplace_customer!BD$2</f>
        <v>1</v>
      </c>
      <c r="BF2" s="18">
        <f>Marketplace_customer!BE2/Marketplace_customer!BE$2</f>
        <v>1</v>
      </c>
      <c r="BG2" s="18">
        <f>Marketplace_customer!BF2/Marketplace_customer!BF$2</f>
        <v>1</v>
      </c>
      <c r="BH2" s="18">
        <f>Marketplace_customer!BG2/Marketplace_customer!BG$2</f>
        <v>1</v>
      </c>
      <c r="BI2" s="18">
        <f>Marketplace_customer!BH2/Marketplace_customer!BH$2</f>
        <v>1</v>
      </c>
      <c r="BJ2" s="18">
        <f>Marketplace_customer!BI2/Marketplace_customer!BI$2</f>
        <v>1</v>
      </c>
      <c r="BK2" s="18">
        <f>Marketplace_customer!BJ2/Marketplace_customer!BJ$2</f>
        <v>1</v>
      </c>
      <c r="BL2" s="18">
        <f>Marketplace_customer!BK2/Marketplace_customer!BK$2</f>
        <v>1</v>
      </c>
      <c r="BM2" s="18">
        <f>Marketplace_customer!BL2/Marketplace_customer!BL$2</f>
        <v>1</v>
      </c>
      <c r="BN2" s="18">
        <f>Marketplace_customer!BM2/Marketplace_customer!BM$2</f>
        <v>1</v>
      </c>
      <c r="BO2" s="18">
        <f>Marketplace_customer!BN2/Marketplace_customer!BN$2</f>
        <v>1</v>
      </c>
      <c r="BP2" s="18">
        <f>Marketplace_customer!BO2/Marketplace_customer!BO$2</f>
        <v>1</v>
      </c>
      <c r="BQ2" s="18">
        <f>Marketplace_customer!BP2/Marketplace_customer!BP$2</f>
        <v>1</v>
      </c>
      <c r="BR2" s="18">
        <f>Marketplace_customer!BQ2/Marketplace_customer!BQ$2</f>
        <v>1</v>
      </c>
      <c r="BS2" s="18">
        <f>Marketplace_customer!BR2/Marketplace_customer!BR$2</f>
        <v>1</v>
      </c>
      <c r="BT2" s="18">
        <f>Marketplace_customer!BS2/Marketplace_customer!BS$2</f>
        <v>1</v>
      </c>
      <c r="BU2" s="18">
        <f>Marketplace_customer!BT2/Marketplace_customer!BT$2</f>
        <v>1</v>
      </c>
      <c r="BV2" s="18">
        <f>Marketplace_customer!BU2/Marketplace_customer!BU$2</f>
        <v>1</v>
      </c>
      <c r="BW2" s="19"/>
      <c r="BX2" s="20">
        <f t="shared" ref="BX2:DC2" ca="1" si="3">SUM(BX3:BX64)</f>
        <v>618095366144.85999</v>
      </c>
      <c r="BY2" s="20">
        <f t="shared" ca="1" si="3"/>
        <v>544256239043.66992</v>
      </c>
      <c r="BZ2" s="20">
        <f t="shared" ca="1" si="3"/>
        <v>1478549974696.9067</v>
      </c>
      <c r="CA2" s="20">
        <f t="shared" ca="1" si="3"/>
        <v>1735527955674.4668</v>
      </c>
      <c r="CB2" s="20">
        <f t="shared" ca="1" si="3"/>
        <v>1823264106191.2793</v>
      </c>
      <c r="CC2" s="20">
        <f t="shared" ca="1" si="3"/>
        <v>3182446938568.4785</v>
      </c>
      <c r="CD2" s="20">
        <f t="shared" ca="1" si="3"/>
        <v>1264189235376.3442</v>
      </c>
      <c r="CE2" s="20">
        <f t="shared" ca="1" si="3"/>
        <v>1739525780684.7214</v>
      </c>
      <c r="CF2" s="20">
        <f t="shared" ca="1" si="3"/>
        <v>4358468479678.4829</v>
      </c>
      <c r="CG2" s="20">
        <f t="shared" ca="1" si="3"/>
        <v>1141506887322.5039</v>
      </c>
      <c r="CH2" s="20">
        <f t="shared" ca="1" si="3"/>
        <v>656292507178.55566</v>
      </c>
      <c r="CI2" s="20">
        <f t="shared" ca="1" si="3"/>
        <v>2803707392794.1743</v>
      </c>
      <c r="CJ2" s="20">
        <f t="shared" ca="1" si="3"/>
        <v>15278193063917.521</v>
      </c>
      <c r="CK2" s="20">
        <f t="shared" ca="1" si="3"/>
        <v>1746395512136.6724</v>
      </c>
      <c r="CL2" s="20">
        <f t="shared" ca="1" si="3"/>
        <v>3115895497868.499</v>
      </c>
      <c r="CM2" s="20">
        <f t="shared" ca="1" si="3"/>
        <v>1024639574313.9745</v>
      </c>
      <c r="CN2" s="20">
        <f t="shared" ca="1" si="3"/>
        <v>742846509147.32397</v>
      </c>
      <c r="CO2" s="20">
        <f t="shared" ca="1" si="3"/>
        <v>1023791748769.9275</v>
      </c>
      <c r="CP2" s="20">
        <f t="shared" ca="1" si="3"/>
        <v>1714573692575.2305</v>
      </c>
      <c r="CQ2" s="20">
        <f t="shared" ca="1" si="3"/>
        <v>1746843209720.3174</v>
      </c>
      <c r="CR2" s="20">
        <f t="shared" ca="1" si="3"/>
        <v>1472341043901.7092</v>
      </c>
      <c r="CS2" s="20">
        <f t="shared" ca="1" si="3"/>
        <v>2354751491833.0654</v>
      </c>
      <c r="CT2" s="20">
        <f t="shared" ca="1" si="3"/>
        <v>828437544059.2876</v>
      </c>
      <c r="CU2" s="20">
        <f t="shared" ca="1" si="3"/>
        <v>816713670574.0426</v>
      </c>
      <c r="CV2" s="20">
        <f t="shared" ca="1" si="3"/>
        <v>18290098883123.336</v>
      </c>
      <c r="CW2" s="20">
        <f t="shared" ca="1" si="3"/>
        <v>1772411690795.8401</v>
      </c>
      <c r="CX2" s="20">
        <f t="shared" ca="1" si="3"/>
        <v>16779930044249.291</v>
      </c>
      <c r="CY2" s="20">
        <f t="shared" ca="1" si="3"/>
        <v>3368581334503.6602</v>
      </c>
      <c r="CZ2" s="20">
        <f t="shared" ca="1" si="3"/>
        <v>2893075688838.5566</v>
      </c>
      <c r="DA2" s="20">
        <f t="shared" ca="1" si="3"/>
        <v>1278370938652.9031</v>
      </c>
      <c r="DB2" s="20">
        <f t="shared" ca="1" si="3"/>
        <v>12188876339829.512</v>
      </c>
      <c r="DC2" s="20">
        <f t="shared" ca="1" si="3"/>
        <v>1743560875801.114</v>
      </c>
      <c r="DD2" s="20">
        <f t="shared" ref="DD2:EI2" ca="1" si="4">SUM(DD3:DD64)</f>
        <v>265613059660.55261</v>
      </c>
      <c r="DE2" s="20">
        <f t="shared" ca="1" si="4"/>
        <v>218608646162.59372</v>
      </c>
      <c r="DF2" s="20">
        <f t="shared" ca="1" si="4"/>
        <v>1468954354377.0562</v>
      </c>
      <c r="DG2" s="20">
        <f t="shared" ca="1" si="4"/>
        <v>289853113432.60376</v>
      </c>
      <c r="DH2" s="20">
        <f t="shared" ca="1" si="4"/>
        <v>1472500247255.4324</v>
      </c>
      <c r="DI2" s="20">
        <f t="shared" ca="1" si="4"/>
        <v>1014739380358.8357</v>
      </c>
      <c r="DJ2" s="20">
        <f t="shared" ca="1" si="4"/>
        <v>364922899296.39581</v>
      </c>
      <c r="DK2" s="20">
        <f t="shared" ca="1" si="4"/>
        <v>542868633583.97192</v>
      </c>
      <c r="DL2" s="20">
        <f t="shared" ca="1" si="4"/>
        <v>1850589004390.0942</v>
      </c>
      <c r="DM2" s="20">
        <f t="shared" ca="1" si="4"/>
        <v>1481349619327.4746</v>
      </c>
      <c r="DN2" s="20">
        <f t="shared" ca="1" si="4"/>
        <v>18745439528125.723</v>
      </c>
      <c r="DO2" s="20">
        <f t="shared" ca="1" si="4"/>
        <v>1025760526540.6931</v>
      </c>
      <c r="DP2" s="20">
        <f t="shared" ca="1" si="4"/>
        <v>487980392658.95135</v>
      </c>
      <c r="DQ2" s="20">
        <f t="shared" ca="1" si="4"/>
        <v>1141348953782.7522</v>
      </c>
      <c r="DR2" s="20">
        <f t="shared" ca="1" si="4"/>
        <v>1743682153126.1223</v>
      </c>
      <c r="DS2" s="20">
        <f t="shared" ca="1" si="4"/>
        <v>793868331098.1123</v>
      </c>
      <c r="DT2" s="20">
        <f t="shared" ca="1" si="4"/>
        <v>1089718469158.202</v>
      </c>
      <c r="DU2" s="20">
        <f t="shared" ca="1" si="4"/>
        <v>1481506137607.3589</v>
      </c>
      <c r="DV2" s="20">
        <f t="shared" ca="1" si="4"/>
        <v>1584034483710.2686</v>
      </c>
      <c r="DW2" s="20">
        <f t="shared" ca="1" si="4"/>
        <v>631967740687.33667</v>
      </c>
      <c r="DX2" s="20">
        <f t="shared" ca="1" si="4"/>
        <v>3331572574728.188</v>
      </c>
      <c r="DY2" s="20">
        <f t="shared" ca="1" si="4"/>
        <v>604976696387.74573</v>
      </c>
      <c r="DZ2" s="20">
        <f t="shared" ca="1" si="4"/>
        <v>238467361789.57263</v>
      </c>
      <c r="EA2" s="20">
        <f t="shared" ca="1" si="4"/>
        <v>1740134903378.0547</v>
      </c>
      <c r="EB2" s="20">
        <f t="shared" ca="1" si="4"/>
        <v>368399661374.25146</v>
      </c>
      <c r="EC2" s="20">
        <f t="shared" ca="1" si="4"/>
        <v>3842316732702.0923</v>
      </c>
      <c r="ED2" s="20">
        <f t="shared" ca="1" si="4"/>
        <v>241633243990.97504</v>
      </c>
      <c r="EE2" s="20">
        <f t="shared" ca="1" si="4"/>
        <v>929389164030.15271</v>
      </c>
      <c r="EF2" s="20">
        <f t="shared" ca="1" si="4"/>
        <v>1749104722085.7014</v>
      </c>
      <c r="EG2" s="20">
        <f t="shared" ca="1" si="4"/>
        <v>656260664157.177</v>
      </c>
      <c r="EH2" s="20">
        <f t="shared" ca="1" si="4"/>
        <v>18077919873855.988</v>
      </c>
      <c r="EI2" s="20">
        <f t="shared" ca="1" si="4"/>
        <v>233186538208.54315</v>
      </c>
      <c r="EJ2" s="20">
        <f t="shared" ref="EJ2:FO2" ca="1" si="5">SUM(EJ3:EJ64)</f>
        <v>1023019818328.99</v>
      </c>
      <c r="EK2" s="20">
        <f t="shared" ca="1" si="5"/>
        <v>220361269530.39163</v>
      </c>
      <c r="EL2" s="20">
        <f t="shared" ca="1" si="5"/>
        <v>1025909730149.9587</v>
      </c>
      <c r="EM2" s="20">
        <f t="shared" ca="1" si="5"/>
        <v>18248634804105.102</v>
      </c>
      <c r="EN2" s="20">
        <f t="shared" ca="1" si="5"/>
        <v>1798845081716.4475</v>
      </c>
      <c r="EO2" s="20">
        <f t="shared" ca="1" si="5"/>
        <v>18497858364837.824</v>
      </c>
      <c r="EP2" s="20">
        <f t="shared" ca="1" si="5"/>
        <v>221300131796.33633</v>
      </c>
      <c r="EQ2" s="17" t="s">
        <v>84</v>
      </c>
      <c r="ER2" s="20">
        <v>618095366144.86096</v>
      </c>
      <c r="ES2" s="20">
        <f t="shared" ref="ES2:ES33" si="6">LN(ER2)</f>
        <v>27.149908596649158</v>
      </c>
    </row>
    <row r="3" spans="1:149" ht="15">
      <c r="A3" s="21" t="s">
        <v>158</v>
      </c>
      <c r="B3" s="14">
        <f ca="1">IFERROR(__xludf.dummyfunction("QUERY('Countries markets attractivenes'!A:C, ""SELECT C WHERE A = '""&amp;A3&amp;""'"",0)"),28.0304465795719)</f>
        <v>28.030446579571901</v>
      </c>
      <c r="C3" s="14">
        <f ca="1">EXP(1)^B3</f>
        <v>1490967836287.3018</v>
      </c>
      <c r="D3" s="18">
        <f>Marketplace_customer!C3/Marketplace_customer!C$2</f>
        <v>0</v>
      </c>
      <c r="E3" s="18">
        <f>Marketplace_customer!D3/Marketplace_customer!D$2</f>
        <v>0</v>
      </c>
      <c r="F3" s="18">
        <f>Marketplace_customer!E3/Marketplace_customer!E$2</f>
        <v>0.97701149425287359</v>
      </c>
      <c r="G3" s="18">
        <f>Marketplace_customer!F3/Marketplace_customer!F$2</f>
        <v>0</v>
      </c>
      <c r="H3" s="18">
        <f>Marketplace_customer!G3/Marketplace_customer!G$2</f>
        <v>0</v>
      </c>
      <c r="I3" s="18">
        <f>Marketplace_customer!H3/Marketplace_customer!H$2</f>
        <v>0</v>
      </c>
      <c r="J3" s="18">
        <f>Marketplace_customer!I3/Marketplace_customer!I$2</f>
        <v>0</v>
      </c>
      <c r="K3" s="18">
        <f>Marketplace_customer!J3/Marketplace_customer!J$2</f>
        <v>0</v>
      </c>
      <c r="L3" s="18">
        <f>Marketplace_customer!K3/Marketplace_customer!K$2</f>
        <v>0</v>
      </c>
      <c r="M3" s="18">
        <f>Marketplace_customer!L3/Marketplace_customer!L$2</f>
        <v>0</v>
      </c>
      <c r="N3" s="18">
        <f>Marketplace_customer!M3/Marketplace_customer!M$2</f>
        <v>0</v>
      </c>
      <c r="O3" s="18">
        <f>Marketplace_customer!N3/Marketplace_customer!N$2</f>
        <v>0</v>
      </c>
      <c r="P3" s="18">
        <f>Marketplace_customer!O3/Marketplace_customer!O$2</f>
        <v>7.7659574468085107E-3</v>
      </c>
      <c r="Q3" s="18">
        <f>Marketplace_customer!P3/Marketplace_customer!P$2</f>
        <v>0</v>
      </c>
      <c r="R3" s="18">
        <f>Marketplace_customer!Q3/Marketplace_customer!Q$2</f>
        <v>0</v>
      </c>
      <c r="S3" s="18">
        <f>Marketplace_customer!R3/Marketplace_customer!R$2</f>
        <v>0</v>
      </c>
      <c r="T3" s="18">
        <f>Marketplace_customer!S3/Marketplace_customer!S$2</f>
        <v>0</v>
      </c>
      <c r="U3" s="18">
        <f>Marketplace_customer!T3/Marketplace_customer!T$2</f>
        <v>0</v>
      </c>
      <c r="V3" s="18">
        <f>Marketplace_customer!U3/Marketplace_customer!U$2</f>
        <v>0</v>
      </c>
      <c r="W3" s="18">
        <f>Marketplace_customer!V3/Marketplace_customer!V$2</f>
        <v>0</v>
      </c>
      <c r="X3" s="18">
        <f>Marketplace_customer!W3/Marketplace_customer!W$2</f>
        <v>0.96551724137931028</v>
      </c>
      <c r="Y3" s="18">
        <f>Marketplace_customer!X3/Marketplace_customer!X$2</f>
        <v>0</v>
      </c>
      <c r="Z3" s="18">
        <f>Marketplace_customer!Y3/Marketplace_customer!Y$2</f>
        <v>0</v>
      </c>
      <c r="AA3" s="18">
        <f>Marketplace_customer!Z3/Marketplace_customer!Z$2</f>
        <v>0</v>
      </c>
      <c r="AB3" s="18">
        <f>Marketplace_customer!AA3/Marketplace_customer!AA$2</f>
        <v>0</v>
      </c>
      <c r="AC3" s="18">
        <f>Marketplace_customer!AB3/Marketplace_customer!AB$2</f>
        <v>0</v>
      </c>
      <c r="AD3" s="18">
        <f>Marketplace_customer!AC3/Marketplace_customer!AC$2</f>
        <v>6.918238993710692E-3</v>
      </c>
      <c r="AE3" s="18">
        <f>Marketplace_customer!AD3/Marketplace_customer!AD$2</f>
        <v>0</v>
      </c>
      <c r="AF3" s="18">
        <f>Marketplace_customer!AE3/Marketplace_customer!AE$2</f>
        <v>1.732605729877217E-3</v>
      </c>
      <c r="AG3" s="18">
        <f>Marketplace_customer!AF3/Marketplace_customer!AF$2</f>
        <v>0</v>
      </c>
      <c r="AH3" s="18">
        <f>Marketplace_customer!AG3/Marketplace_customer!AG$2</f>
        <v>3.5567010309278349E-2</v>
      </c>
      <c r="AI3" s="18">
        <f>Marketplace_customer!AH3/Marketplace_customer!AH$2</f>
        <v>0</v>
      </c>
      <c r="AJ3" s="18">
        <f>Marketplace_customer!AI3/Marketplace_customer!AI$2</f>
        <v>0</v>
      </c>
      <c r="AK3" s="18">
        <f>Marketplace_customer!AJ3/Marketplace_customer!AJ$2</f>
        <v>0</v>
      </c>
      <c r="AL3" s="18">
        <f>Marketplace_customer!AK3/Marketplace_customer!AK$2</f>
        <v>0.95924764890282133</v>
      </c>
      <c r="AM3" s="18">
        <f>Marketplace_customer!AL3/Marketplace_customer!AL$2</f>
        <v>0</v>
      </c>
      <c r="AN3" s="18">
        <f>Marketplace_customer!AM3/Marketplace_customer!AM$2</f>
        <v>0.96581196581196593</v>
      </c>
      <c r="AO3" s="18">
        <f>Marketplace_customer!AN3/Marketplace_customer!AN$2</f>
        <v>0</v>
      </c>
      <c r="AP3" s="18">
        <f>Marketplace_customer!AO3/Marketplace_customer!AO$2</f>
        <v>0</v>
      </c>
      <c r="AQ3" s="18">
        <f>Marketplace_customer!AP3/Marketplace_customer!AP$2</f>
        <v>0</v>
      </c>
      <c r="AR3" s="18">
        <f>Marketplace_customer!AQ3/Marketplace_customer!AQ$2</f>
        <v>0</v>
      </c>
      <c r="AS3" s="18">
        <f>Marketplace_customer!AR3/Marketplace_customer!AR$2</f>
        <v>0.98709677419354847</v>
      </c>
      <c r="AT3" s="18">
        <f>Marketplace_customer!AS3/Marketplace_customer!AS$2</f>
        <v>0</v>
      </c>
      <c r="AU3" s="18">
        <f>Marketplace_customer!AT3/Marketplace_customer!AT$2</f>
        <v>0</v>
      </c>
      <c r="AV3" s="18">
        <f>Marketplace_customer!AU3/Marketplace_customer!AU$2</f>
        <v>0</v>
      </c>
      <c r="AW3" s="18">
        <f>Marketplace_customer!AV3/Marketplace_customer!AV$2</f>
        <v>0</v>
      </c>
      <c r="AX3" s="18">
        <f>Marketplace_customer!AW3/Marketplace_customer!AW$2</f>
        <v>0</v>
      </c>
      <c r="AY3" s="18">
        <f>Marketplace_customer!AX3/Marketplace_customer!AX$2</f>
        <v>0</v>
      </c>
      <c r="AZ3" s="18">
        <f>Marketplace_customer!AY3/Marketplace_customer!AY$2</f>
        <v>0</v>
      </c>
      <c r="BA3" s="18">
        <f>Marketplace_customer!AZ3/Marketplace_customer!AZ$2</f>
        <v>0.98248407643312097</v>
      </c>
      <c r="BB3" s="18">
        <f>Marketplace_customer!BA3/Marketplace_customer!BA$2</f>
        <v>0</v>
      </c>
      <c r="BC3" s="18">
        <f>Marketplace_customer!BB3/Marketplace_customer!BB$2</f>
        <v>0</v>
      </c>
      <c r="BD3" s="18">
        <f>Marketplace_customer!BC3/Marketplace_customer!BC$2</f>
        <v>0</v>
      </c>
      <c r="BE3" s="18">
        <f>Marketplace_customer!BD3/Marketplace_customer!BD$2</f>
        <v>0</v>
      </c>
      <c r="BF3" s="18">
        <f>Marketplace_customer!BE3/Marketplace_customer!BE$2</f>
        <v>0</v>
      </c>
      <c r="BG3" s="18">
        <f>Marketplace_customer!BF3/Marketplace_customer!BF$2</f>
        <v>0</v>
      </c>
      <c r="BH3" s="18">
        <f>Marketplace_customer!BG3/Marketplace_customer!BG$2</f>
        <v>0</v>
      </c>
      <c r="BI3" s="18">
        <f>Marketplace_customer!BH3/Marketplace_customer!BH$2</f>
        <v>0</v>
      </c>
      <c r="BJ3" s="18">
        <f>Marketplace_customer!BI3/Marketplace_customer!BI$2</f>
        <v>0</v>
      </c>
      <c r="BK3" s="18">
        <f>Marketplace_customer!BJ3/Marketplace_customer!BJ$2</f>
        <v>0</v>
      </c>
      <c r="BL3" s="18">
        <f>Marketplace_customer!BK3/Marketplace_customer!BK$2</f>
        <v>0</v>
      </c>
      <c r="BM3" s="18">
        <f>Marketplace_customer!BL3/Marketplace_customer!BL$2</f>
        <v>0</v>
      </c>
      <c r="BN3" s="18">
        <f>Marketplace_customer!BM3/Marketplace_customer!BM$2</f>
        <v>0</v>
      </c>
      <c r="BO3" s="18">
        <f>Marketplace_customer!BN3/Marketplace_customer!BN$2</f>
        <v>0</v>
      </c>
      <c r="BP3" s="18">
        <f>Marketplace_customer!BO3/Marketplace_customer!BO$2</f>
        <v>0</v>
      </c>
      <c r="BQ3" s="18">
        <f>Marketplace_customer!BP3/Marketplace_customer!BP$2</f>
        <v>0</v>
      </c>
      <c r="BR3" s="18">
        <f>Marketplace_customer!BQ3/Marketplace_customer!BQ$2</f>
        <v>0</v>
      </c>
      <c r="BS3" s="18">
        <f>Marketplace_customer!BR3/Marketplace_customer!BR$2</f>
        <v>1.4365079365079364E-3</v>
      </c>
      <c r="BT3" s="18">
        <f>Marketplace_customer!BS3/Marketplace_customer!BS$2</f>
        <v>0</v>
      </c>
      <c r="BU3" s="18">
        <f>Marketplace_customer!BT3/Marketplace_customer!BT$2</f>
        <v>0</v>
      </c>
      <c r="BV3" s="18">
        <f>Marketplace_customer!BU3/Marketplace_customer!BU$2</f>
        <v>0</v>
      </c>
      <c r="BW3" s="19"/>
      <c r="BX3" s="20">
        <f t="shared" ref="BX3:BX34" ca="1" si="7">D3*$C3</f>
        <v>0</v>
      </c>
      <c r="BY3" s="20">
        <f t="shared" ref="BY3:BY34" ca="1" si="8">E3*$C3</f>
        <v>0</v>
      </c>
      <c r="BZ3" s="20">
        <f t="shared" ref="BZ3:BZ34" ca="1" si="9">F3*$C3</f>
        <v>1456692713614.0305</v>
      </c>
      <c r="CA3" s="20">
        <f t="shared" ref="CA3:CA34" ca="1" si="10">G3*$C3</f>
        <v>0</v>
      </c>
      <c r="CB3" s="20">
        <f t="shared" ref="CB3:CB34" ca="1" si="11">H3*$C3</f>
        <v>0</v>
      </c>
      <c r="CC3" s="20">
        <f t="shared" ref="CC3:CC34" ca="1" si="12">I3*$C3</f>
        <v>0</v>
      </c>
      <c r="CD3" s="20">
        <f t="shared" ref="CD3:CD34" ca="1" si="13">J3*$C3</f>
        <v>0</v>
      </c>
      <c r="CE3" s="20">
        <f t="shared" ref="CE3:CE34" ca="1" si="14">K3*$C3</f>
        <v>0</v>
      </c>
      <c r="CF3" s="20">
        <f t="shared" ref="CF3:CF34" ca="1" si="15">L3*$C3</f>
        <v>0</v>
      </c>
      <c r="CG3" s="20">
        <f t="shared" ref="CG3:CG34" ca="1" si="16">M3*$C3</f>
        <v>0</v>
      </c>
      <c r="CH3" s="20">
        <f t="shared" ref="CH3:CH34" ca="1" si="17">N3*$C3</f>
        <v>0</v>
      </c>
      <c r="CI3" s="20">
        <f t="shared" ref="CI3:CI34" ca="1" si="18">O3*$C3</f>
        <v>0</v>
      </c>
      <c r="CJ3" s="20">
        <f t="shared" ref="CJ3:CJ34" ca="1" si="19">P3*$C3</f>
        <v>11578792771.167343</v>
      </c>
      <c r="CK3" s="20">
        <f t="shared" ref="CK3:CK34" ca="1" si="20">Q3*$C3</f>
        <v>0</v>
      </c>
      <c r="CL3" s="20">
        <f t="shared" ref="CL3:CL34" ca="1" si="21">R3*$C3</f>
        <v>0</v>
      </c>
      <c r="CM3" s="20">
        <f t="shared" ref="CM3:CM34" ca="1" si="22">S3*$C3</f>
        <v>0</v>
      </c>
      <c r="CN3" s="20">
        <f t="shared" ref="CN3:CN34" ca="1" si="23">T3*$C3</f>
        <v>0</v>
      </c>
      <c r="CO3" s="20">
        <f t="shared" ref="CO3:CO34" ca="1" si="24">U3*$C3</f>
        <v>0</v>
      </c>
      <c r="CP3" s="20">
        <f t="shared" ref="CP3:CP34" ca="1" si="25">V3*$C3</f>
        <v>0</v>
      </c>
      <c r="CQ3" s="20">
        <f t="shared" ref="CQ3:CQ34" ca="1" si="26">W3*$C3</f>
        <v>0</v>
      </c>
      <c r="CR3" s="20">
        <f t="shared" ref="CR3:CR34" ca="1" si="27">X3*$C3</f>
        <v>1439555152277.3948</v>
      </c>
      <c r="CS3" s="20">
        <f t="shared" ref="CS3:CS34" ca="1" si="28">Y3*$C3</f>
        <v>0</v>
      </c>
      <c r="CT3" s="20">
        <f t="shared" ref="CT3:CT34" ca="1" si="29">Z3*$C3</f>
        <v>0</v>
      </c>
      <c r="CU3" s="20">
        <f t="shared" ref="CU3:CU34" ca="1" si="30">AA3*$C3</f>
        <v>0</v>
      </c>
      <c r="CV3" s="20">
        <f t="shared" ref="CV3:CV34" ca="1" si="31">AB3*$C3</f>
        <v>0</v>
      </c>
      <c r="CW3" s="20">
        <f t="shared" ref="CW3:CW34" ca="1" si="32">AC3*$C3</f>
        <v>0</v>
      </c>
      <c r="CX3" s="20">
        <f t="shared" ref="CX3:CX34" ca="1" si="33">AD3*$C3</f>
        <v>10314871823.371271</v>
      </c>
      <c r="CY3" s="20">
        <f t="shared" ref="CY3:CY34" ca="1" si="34">AE3*$C3</f>
        <v>0</v>
      </c>
      <c r="CZ3" s="20">
        <f t="shared" ref="CZ3:CZ34" ca="1" si="35">AF3*$C3</f>
        <v>2583259416.2140155</v>
      </c>
      <c r="DA3" s="20">
        <f t="shared" ref="DA3:DA34" ca="1" si="36">AG3*$C3</f>
        <v>0</v>
      </c>
      <c r="DB3" s="20">
        <f t="shared" ref="DB3:DB34" ca="1" si="37">AH3*$C3</f>
        <v>53029268404.032898</v>
      </c>
      <c r="DC3" s="20">
        <f t="shared" ref="DC3:DC34" ca="1" si="38">AI3*$C3</f>
        <v>0</v>
      </c>
      <c r="DD3" s="20">
        <f t="shared" ref="DD3:DD34" ca="1" si="39">AJ3*$C3</f>
        <v>0</v>
      </c>
      <c r="DE3" s="20">
        <f t="shared" ref="DE3:DE34" ca="1" si="40">AK3*$C3</f>
        <v>0</v>
      </c>
      <c r="DF3" s="20">
        <f t="shared" ref="DF3:DF34" ca="1" si="41">AL3*$C3</f>
        <v>1430207391548.3208</v>
      </c>
      <c r="DG3" s="20">
        <f t="shared" ref="DG3:DG34" ca="1" si="42">AM3*$C3</f>
        <v>0</v>
      </c>
      <c r="DH3" s="20">
        <f t="shared" ref="DH3:DH34" ca="1" si="43">AN3*$C3</f>
        <v>1439994576927.0522</v>
      </c>
      <c r="DI3" s="20">
        <f t="shared" ref="DI3:DI34" ca="1" si="44">AO3*$C3</f>
        <v>0</v>
      </c>
      <c r="DJ3" s="20">
        <f t="shared" ref="DJ3:DJ34" ca="1" si="45">AP3*$C3</f>
        <v>0</v>
      </c>
      <c r="DK3" s="20">
        <f t="shared" ref="DK3:DK34" ca="1" si="46">AQ3*$C3</f>
        <v>0</v>
      </c>
      <c r="DL3" s="20">
        <f t="shared" ref="DL3:DL34" ca="1" si="47">AR3*$C3</f>
        <v>0</v>
      </c>
      <c r="DM3" s="20">
        <f t="shared" ref="DM3:DM34" ca="1" si="48">AS3*$C3</f>
        <v>1471729541625.5303</v>
      </c>
      <c r="DN3" s="20">
        <f t="shared" ref="DN3:DN34" ca="1" si="49">AT3*$C3</f>
        <v>0</v>
      </c>
      <c r="DO3" s="20">
        <f t="shared" ref="DO3:DO34" ca="1" si="50">AU3*$C3</f>
        <v>0</v>
      </c>
      <c r="DP3" s="20">
        <f t="shared" ref="DP3:DP34" ca="1" si="51">AV3*$C3</f>
        <v>0</v>
      </c>
      <c r="DQ3" s="20">
        <f t="shared" ref="DQ3:DQ34" ca="1" si="52">AW3*$C3</f>
        <v>0</v>
      </c>
      <c r="DR3" s="20">
        <f t="shared" ref="DR3:DR34" ca="1" si="53">AX3*$C3</f>
        <v>0</v>
      </c>
      <c r="DS3" s="20">
        <f t="shared" ref="DS3:DS34" ca="1" si="54">AY3*$C3</f>
        <v>0</v>
      </c>
      <c r="DT3" s="20">
        <f t="shared" ref="DT3:DT34" ca="1" si="55">AZ3*$C3</f>
        <v>0</v>
      </c>
      <c r="DU3" s="20">
        <f t="shared" ref="DU3:DU34" ca="1" si="56">BA3*$C3</f>
        <v>1464852157626.2183</v>
      </c>
      <c r="DV3" s="20">
        <f t="shared" ref="DV3:DV34" ca="1" si="57">BB3*$C3</f>
        <v>0</v>
      </c>
      <c r="DW3" s="20">
        <f t="shared" ref="DW3:DW34" ca="1" si="58">BC3*$C3</f>
        <v>0</v>
      </c>
      <c r="DX3" s="20">
        <f t="shared" ref="DX3:DX34" ca="1" si="59">BD3*$C3</f>
        <v>0</v>
      </c>
      <c r="DY3" s="20">
        <f t="shared" ref="DY3:DY34" ca="1" si="60">BE3*$C3</f>
        <v>0</v>
      </c>
      <c r="DZ3" s="20">
        <f t="shared" ref="DZ3:DZ34" ca="1" si="61">BF3*$C3</f>
        <v>0</v>
      </c>
      <c r="EA3" s="20">
        <f t="shared" ref="EA3:EA34" ca="1" si="62">BG3*$C3</f>
        <v>0</v>
      </c>
      <c r="EB3" s="20">
        <f t="shared" ref="EB3:EB34" ca="1" si="63">BH3*$C3</f>
        <v>0</v>
      </c>
      <c r="EC3" s="20">
        <f t="shared" ref="EC3:EC34" ca="1" si="64">BI3*$C3</f>
        <v>0</v>
      </c>
      <c r="ED3" s="20">
        <f t="shared" ref="ED3:ED34" ca="1" si="65">BJ3*$C3</f>
        <v>0</v>
      </c>
      <c r="EE3" s="20">
        <f t="shared" ref="EE3:EE34" ca="1" si="66">BK3*$C3</f>
        <v>0</v>
      </c>
      <c r="EF3" s="20">
        <f t="shared" ref="EF3:EF34" ca="1" si="67">BL3*$C3</f>
        <v>0</v>
      </c>
      <c r="EG3" s="20">
        <f t="shared" ref="EG3:EG34" ca="1" si="68">BM3*$C3</f>
        <v>0</v>
      </c>
      <c r="EH3" s="20">
        <f t="shared" ref="EH3:EH34" ca="1" si="69">BN3*$C3</f>
        <v>0</v>
      </c>
      <c r="EI3" s="20">
        <f t="shared" ref="EI3:EI34" ca="1" si="70">BO3*$C3</f>
        <v>0</v>
      </c>
      <c r="EJ3" s="20">
        <f t="shared" ref="EJ3:EJ34" ca="1" si="71">BP3*$C3</f>
        <v>0</v>
      </c>
      <c r="EK3" s="20">
        <f t="shared" ref="EK3:EK34" ca="1" si="72">BQ3*$C3</f>
        <v>0</v>
      </c>
      <c r="EL3" s="20">
        <f t="shared" ref="EL3:EL34" ca="1" si="73">BR3*$C3</f>
        <v>0</v>
      </c>
      <c r="EM3" s="20">
        <f t="shared" ref="EM3:EM34" ca="1" si="74">BS3*$C3</f>
        <v>2141787129.9047744</v>
      </c>
      <c r="EN3" s="20">
        <f t="shared" ref="EN3:EN34" ca="1" si="75">BT3*$C3</f>
        <v>0</v>
      </c>
      <c r="EO3" s="20">
        <f t="shared" ref="EO3:EO34" ca="1" si="76">BU3*$C3</f>
        <v>0</v>
      </c>
      <c r="EP3" s="20">
        <f t="shared" ref="EP3:EP34" ca="1" si="77">BV3*$C3</f>
        <v>0</v>
      </c>
      <c r="EQ3" s="17" t="s">
        <v>85</v>
      </c>
      <c r="ER3" s="19">
        <v>544256239043.66302</v>
      </c>
      <c r="ES3" s="20">
        <f t="shared" si="6"/>
        <v>27.022686000557442</v>
      </c>
    </row>
    <row r="4" spans="1:149" ht="15">
      <c r="A4" s="21" t="s">
        <v>159</v>
      </c>
      <c r="B4" s="14">
        <f>LN(C4)</f>
        <v>26.671300826127059</v>
      </c>
      <c r="C4" s="14">
        <v>383000000000</v>
      </c>
      <c r="D4" s="18">
        <f>Marketplace_customer!C4/Marketplace_customer!C$2</f>
        <v>0</v>
      </c>
      <c r="E4" s="18">
        <f>Marketplace_customer!D4/Marketplace_customer!D$2</f>
        <v>0</v>
      </c>
      <c r="F4" s="18">
        <f>Marketplace_customer!E4/Marketplace_customer!E$2</f>
        <v>0</v>
      </c>
      <c r="G4" s="18">
        <f>Marketplace_customer!F4/Marketplace_customer!F$2</f>
        <v>0</v>
      </c>
      <c r="H4" s="18">
        <f>Marketplace_customer!G4/Marketplace_customer!G$2</f>
        <v>0</v>
      </c>
      <c r="I4" s="18">
        <f>Marketplace_customer!H4/Marketplace_customer!H$2</f>
        <v>0</v>
      </c>
      <c r="J4" s="18">
        <f>Marketplace_customer!I4/Marketplace_customer!I$2</f>
        <v>1.4527845036319613E-2</v>
      </c>
      <c r="K4" s="18">
        <f>Marketplace_customer!J4/Marketplace_customer!J$2</f>
        <v>0</v>
      </c>
      <c r="L4" s="18">
        <f>Marketplace_customer!K4/Marketplace_customer!K$2</f>
        <v>0</v>
      </c>
      <c r="M4" s="18">
        <f>Marketplace_customer!L4/Marketplace_customer!L$2</f>
        <v>0</v>
      </c>
      <c r="N4" s="18">
        <f>Marketplace_customer!M4/Marketplace_customer!M$2</f>
        <v>0</v>
      </c>
      <c r="O4" s="18">
        <f>Marketplace_customer!N4/Marketplace_customer!N$2</f>
        <v>0</v>
      </c>
      <c r="P4" s="18">
        <f>Marketplace_customer!O4/Marketplace_customer!O$2</f>
        <v>3.2978723404255318E-3</v>
      </c>
      <c r="Q4" s="18">
        <f>Marketplace_customer!P4/Marketplace_customer!P$2</f>
        <v>0</v>
      </c>
      <c r="R4" s="18">
        <f>Marketplace_customer!Q4/Marketplace_customer!Q$2</f>
        <v>0</v>
      </c>
      <c r="S4" s="18">
        <f>Marketplace_customer!R4/Marketplace_customer!R$2</f>
        <v>0</v>
      </c>
      <c r="T4" s="18">
        <f>Marketplace_customer!S4/Marketplace_customer!S$2</f>
        <v>0</v>
      </c>
      <c r="U4" s="18">
        <f>Marketplace_customer!T4/Marketplace_customer!T$2</f>
        <v>0</v>
      </c>
      <c r="V4" s="18">
        <f>Marketplace_customer!U4/Marketplace_customer!U$2</f>
        <v>0</v>
      </c>
      <c r="W4" s="18">
        <f>Marketplace_customer!V4/Marketplace_customer!V$2</f>
        <v>0</v>
      </c>
      <c r="X4" s="18">
        <f>Marketplace_customer!W4/Marketplace_customer!W$2</f>
        <v>0</v>
      </c>
      <c r="Y4" s="18">
        <f>Marketplace_customer!X4/Marketplace_customer!X$2</f>
        <v>0</v>
      </c>
      <c r="Z4" s="18">
        <f>Marketplace_customer!Y4/Marketplace_customer!Y$2</f>
        <v>0</v>
      </c>
      <c r="AA4" s="18">
        <f>Marketplace_customer!Z4/Marketplace_customer!Z$2</f>
        <v>0</v>
      </c>
      <c r="AB4" s="18">
        <f>Marketplace_customer!AA4/Marketplace_customer!AA$2</f>
        <v>0</v>
      </c>
      <c r="AC4" s="18">
        <f>Marketplace_customer!AB4/Marketplace_customer!AB$2</f>
        <v>0</v>
      </c>
      <c r="AD4" s="18">
        <f>Marketplace_customer!AC4/Marketplace_customer!AC$2</f>
        <v>2.5408805031446541E-3</v>
      </c>
      <c r="AE4" s="18">
        <f>Marketplace_customer!AD4/Marketplace_customer!AD$2</f>
        <v>5.2441229656419531E-3</v>
      </c>
      <c r="AF4" s="18">
        <f>Marketplace_customer!AE4/Marketplace_customer!AE$2</f>
        <v>0</v>
      </c>
      <c r="AG4" s="18">
        <f>Marketplace_customer!AF4/Marketplace_customer!AF$2</f>
        <v>0</v>
      </c>
      <c r="AH4" s="18">
        <f>Marketplace_customer!AG4/Marketplace_customer!AG$2</f>
        <v>0</v>
      </c>
      <c r="AI4" s="18">
        <f>Marketplace_customer!AH4/Marketplace_customer!AH$2</f>
        <v>0</v>
      </c>
      <c r="AJ4" s="18">
        <f>Marketplace_customer!AI4/Marketplace_customer!AI$2</f>
        <v>0</v>
      </c>
      <c r="AK4" s="18">
        <f>Marketplace_customer!AJ4/Marketplace_customer!AJ$2</f>
        <v>0</v>
      </c>
      <c r="AL4" s="18">
        <f>Marketplace_customer!AK4/Marketplace_customer!AK$2</f>
        <v>0</v>
      </c>
      <c r="AM4" s="18">
        <f>Marketplace_customer!AL4/Marketplace_customer!AL$2</f>
        <v>0</v>
      </c>
      <c r="AN4" s="18">
        <f>Marketplace_customer!AM4/Marketplace_customer!AM$2</f>
        <v>0</v>
      </c>
      <c r="AO4" s="18">
        <f>Marketplace_customer!AN4/Marketplace_customer!AN$2</f>
        <v>0</v>
      </c>
      <c r="AP4" s="18">
        <f>Marketplace_customer!AO4/Marketplace_customer!AO$2</f>
        <v>0</v>
      </c>
      <c r="AQ4" s="18">
        <f>Marketplace_customer!AP4/Marketplace_customer!AP$2</f>
        <v>0</v>
      </c>
      <c r="AR4" s="18">
        <f>Marketplace_customer!AQ4/Marketplace_customer!AQ$2</f>
        <v>0</v>
      </c>
      <c r="AS4" s="18">
        <f>Marketplace_customer!AR4/Marketplace_customer!AR$2</f>
        <v>0</v>
      </c>
      <c r="AT4" s="18">
        <f>Marketplace_customer!AS4/Marketplace_customer!AS$2</f>
        <v>0</v>
      </c>
      <c r="AU4" s="18">
        <f>Marketplace_customer!AT4/Marketplace_customer!AT$2</f>
        <v>0</v>
      </c>
      <c r="AV4" s="18">
        <f>Marketplace_customer!AU4/Marketplace_customer!AU$2</f>
        <v>0</v>
      </c>
      <c r="AW4" s="18">
        <f>Marketplace_customer!AV4/Marketplace_customer!AV$2</f>
        <v>0</v>
      </c>
      <c r="AX4" s="18">
        <f>Marketplace_customer!AW4/Marketplace_customer!AW$2</f>
        <v>0</v>
      </c>
      <c r="AY4" s="18">
        <f>Marketplace_customer!AX4/Marketplace_customer!AX$2</f>
        <v>0</v>
      </c>
      <c r="AZ4" s="18">
        <f>Marketplace_customer!AY4/Marketplace_customer!AY$2</f>
        <v>0.28662789734413574</v>
      </c>
      <c r="BA4" s="18">
        <f>Marketplace_customer!AZ4/Marketplace_customer!AZ$2</f>
        <v>0</v>
      </c>
      <c r="BB4" s="18">
        <f>Marketplace_customer!BA4/Marketplace_customer!BA$2</f>
        <v>0</v>
      </c>
      <c r="BC4" s="18">
        <f>Marketplace_customer!BB4/Marketplace_customer!BB$2</f>
        <v>0</v>
      </c>
      <c r="BD4" s="18">
        <f>Marketplace_customer!BC4/Marketplace_customer!BC$2</f>
        <v>0</v>
      </c>
      <c r="BE4" s="18">
        <f>Marketplace_customer!BD4/Marketplace_customer!BD$2</f>
        <v>0</v>
      </c>
      <c r="BF4" s="18">
        <f>Marketplace_customer!BE4/Marketplace_customer!BE$2</f>
        <v>0</v>
      </c>
      <c r="BG4" s="18">
        <f>Marketplace_customer!BF4/Marketplace_customer!BF$2</f>
        <v>0</v>
      </c>
      <c r="BH4" s="18">
        <f>Marketplace_customer!BG4/Marketplace_customer!BG$2</f>
        <v>0</v>
      </c>
      <c r="BI4" s="18">
        <f>Marketplace_customer!BH4/Marketplace_customer!BH$2</f>
        <v>0</v>
      </c>
      <c r="BJ4" s="18">
        <f>Marketplace_customer!BI4/Marketplace_customer!BI$2</f>
        <v>0</v>
      </c>
      <c r="BK4" s="18">
        <f>Marketplace_customer!BJ4/Marketplace_customer!BJ$2</f>
        <v>0</v>
      </c>
      <c r="BL4" s="18">
        <f>Marketplace_customer!BK4/Marketplace_customer!BK$2</f>
        <v>0</v>
      </c>
      <c r="BM4" s="18">
        <f>Marketplace_customer!BL4/Marketplace_customer!BL$2</f>
        <v>0</v>
      </c>
      <c r="BN4" s="18">
        <f>Marketplace_customer!BM4/Marketplace_customer!BM$2</f>
        <v>0</v>
      </c>
      <c r="BO4" s="18">
        <f>Marketplace_customer!BN4/Marketplace_customer!BN$2</f>
        <v>0</v>
      </c>
      <c r="BP4" s="18">
        <f>Marketplace_customer!BO4/Marketplace_customer!BO$2</f>
        <v>0</v>
      </c>
      <c r="BQ4" s="18">
        <f>Marketplace_customer!BP4/Marketplace_customer!BP$2</f>
        <v>0</v>
      </c>
      <c r="BR4" s="18">
        <f>Marketplace_customer!BQ4/Marketplace_customer!BQ$2</f>
        <v>0</v>
      </c>
      <c r="BS4" s="18">
        <f>Marketplace_customer!BR4/Marketplace_customer!BR$2</f>
        <v>0</v>
      </c>
      <c r="BT4" s="18">
        <f>Marketplace_customer!BS4/Marketplace_customer!BS$2</f>
        <v>0</v>
      </c>
      <c r="BU4" s="18">
        <f>Marketplace_customer!BT4/Marketplace_customer!BT$2</f>
        <v>0</v>
      </c>
      <c r="BV4" s="18">
        <f>Marketplace_customer!BU4/Marketplace_customer!BU$2</f>
        <v>0</v>
      </c>
      <c r="BW4" s="19"/>
      <c r="BX4" s="20">
        <f t="shared" si="7"/>
        <v>0</v>
      </c>
      <c r="BY4" s="20">
        <f t="shared" si="8"/>
        <v>0</v>
      </c>
      <c r="BZ4" s="20">
        <f t="shared" si="9"/>
        <v>0</v>
      </c>
      <c r="CA4" s="20">
        <f t="shared" si="10"/>
        <v>0</v>
      </c>
      <c r="CB4" s="20">
        <f t="shared" si="11"/>
        <v>0</v>
      </c>
      <c r="CC4" s="20">
        <f t="shared" si="12"/>
        <v>0</v>
      </c>
      <c r="CD4" s="20">
        <f t="shared" si="13"/>
        <v>5564164648.9104118</v>
      </c>
      <c r="CE4" s="20">
        <f t="shared" si="14"/>
        <v>0</v>
      </c>
      <c r="CF4" s="20">
        <f t="shared" si="15"/>
        <v>0</v>
      </c>
      <c r="CG4" s="20">
        <f t="shared" si="16"/>
        <v>0</v>
      </c>
      <c r="CH4" s="20">
        <f t="shared" si="17"/>
        <v>0</v>
      </c>
      <c r="CI4" s="20">
        <f t="shared" si="18"/>
        <v>0</v>
      </c>
      <c r="CJ4" s="20">
        <f t="shared" si="19"/>
        <v>1263085106.3829787</v>
      </c>
      <c r="CK4" s="20">
        <f t="shared" si="20"/>
        <v>0</v>
      </c>
      <c r="CL4" s="20">
        <f t="shared" si="21"/>
        <v>0</v>
      </c>
      <c r="CM4" s="20">
        <f t="shared" si="22"/>
        <v>0</v>
      </c>
      <c r="CN4" s="20">
        <f t="shared" si="23"/>
        <v>0</v>
      </c>
      <c r="CO4" s="20">
        <f t="shared" si="24"/>
        <v>0</v>
      </c>
      <c r="CP4" s="20">
        <f t="shared" si="25"/>
        <v>0</v>
      </c>
      <c r="CQ4" s="20">
        <f t="shared" si="26"/>
        <v>0</v>
      </c>
      <c r="CR4" s="20">
        <f t="shared" si="27"/>
        <v>0</v>
      </c>
      <c r="CS4" s="20">
        <f t="shared" si="28"/>
        <v>0</v>
      </c>
      <c r="CT4" s="20">
        <f t="shared" si="29"/>
        <v>0</v>
      </c>
      <c r="CU4" s="20">
        <f t="shared" si="30"/>
        <v>0</v>
      </c>
      <c r="CV4" s="20">
        <f t="shared" si="31"/>
        <v>0</v>
      </c>
      <c r="CW4" s="20">
        <f t="shared" si="32"/>
        <v>0</v>
      </c>
      <c r="CX4" s="20">
        <f t="shared" si="33"/>
        <v>973157232.70440257</v>
      </c>
      <c r="CY4" s="20">
        <f t="shared" si="34"/>
        <v>2008499095.840868</v>
      </c>
      <c r="CZ4" s="20">
        <f t="shared" si="35"/>
        <v>0</v>
      </c>
      <c r="DA4" s="20">
        <f t="shared" si="36"/>
        <v>0</v>
      </c>
      <c r="DB4" s="20">
        <f t="shared" si="37"/>
        <v>0</v>
      </c>
      <c r="DC4" s="20">
        <f t="shared" si="38"/>
        <v>0</v>
      </c>
      <c r="DD4" s="20">
        <f t="shared" si="39"/>
        <v>0</v>
      </c>
      <c r="DE4" s="20">
        <f t="shared" si="40"/>
        <v>0</v>
      </c>
      <c r="DF4" s="20">
        <f t="shared" si="41"/>
        <v>0</v>
      </c>
      <c r="DG4" s="20">
        <f t="shared" si="42"/>
        <v>0</v>
      </c>
      <c r="DH4" s="20">
        <f t="shared" si="43"/>
        <v>0</v>
      </c>
      <c r="DI4" s="20">
        <f t="shared" si="44"/>
        <v>0</v>
      </c>
      <c r="DJ4" s="20">
        <f t="shared" si="45"/>
        <v>0</v>
      </c>
      <c r="DK4" s="20">
        <f t="shared" si="46"/>
        <v>0</v>
      </c>
      <c r="DL4" s="20">
        <f t="shared" si="47"/>
        <v>0</v>
      </c>
      <c r="DM4" s="20">
        <f t="shared" si="48"/>
        <v>0</v>
      </c>
      <c r="DN4" s="20">
        <f t="shared" si="49"/>
        <v>0</v>
      </c>
      <c r="DO4" s="20">
        <f t="shared" si="50"/>
        <v>0</v>
      </c>
      <c r="DP4" s="20">
        <f t="shared" si="51"/>
        <v>0</v>
      </c>
      <c r="DQ4" s="20">
        <f t="shared" si="52"/>
        <v>0</v>
      </c>
      <c r="DR4" s="20">
        <f t="shared" si="53"/>
        <v>0</v>
      </c>
      <c r="DS4" s="20">
        <f t="shared" si="54"/>
        <v>0</v>
      </c>
      <c r="DT4" s="20">
        <f t="shared" si="55"/>
        <v>109778484682.80399</v>
      </c>
      <c r="DU4" s="20">
        <f t="shared" si="56"/>
        <v>0</v>
      </c>
      <c r="DV4" s="20">
        <f t="shared" si="57"/>
        <v>0</v>
      </c>
      <c r="DW4" s="20">
        <f t="shared" si="58"/>
        <v>0</v>
      </c>
      <c r="DX4" s="20">
        <f t="shared" si="59"/>
        <v>0</v>
      </c>
      <c r="DY4" s="20">
        <f t="shared" si="60"/>
        <v>0</v>
      </c>
      <c r="DZ4" s="20">
        <f t="shared" si="61"/>
        <v>0</v>
      </c>
      <c r="EA4" s="20">
        <f t="shared" si="62"/>
        <v>0</v>
      </c>
      <c r="EB4" s="20">
        <f t="shared" si="63"/>
        <v>0</v>
      </c>
      <c r="EC4" s="20">
        <f t="shared" si="64"/>
        <v>0</v>
      </c>
      <c r="ED4" s="20">
        <f t="shared" si="65"/>
        <v>0</v>
      </c>
      <c r="EE4" s="20">
        <f t="shared" si="66"/>
        <v>0</v>
      </c>
      <c r="EF4" s="20">
        <f t="shared" si="67"/>
        <v>0</v>
      </c>
      <c r="EG4" s="20">
        <f t="shared" si="68"/>
        <v>0</v>
      </c>
      <c r="EH4" s="20">
        <f t="shared" si="69"/>
        <v>0</v>
      </c>
      <c r="EI4" s="20">
        <f t="shared" si="70"/>
        <v>0</v>
      </c>
      <c r="EJ4" s="20">
        <f t="shared" si="71"/>
        <v>0</v>
      </c>
      <c r="EK4" s="20">
        <f t="shared" si="72"/>
        <v>0</v>
      </c>
      <c r="EL4" s="20">
        <f t="shared" si="73"/>
        <v>0</v>
      </c>
      <c r="EM4" s="20">
        <f t="shared" si="74"/>
        <v>0</v>
      </c>
      <c r="EN4" s="20">
        <f t="shared" si="75"/>
        <v>0</v>
      </c>
      <c r="EO4" s="20">
        <f t="shared" si="76"/>
        <v>0</v>
      </c>
      <c r="EP4" s="20">
        <f t="shared" si="77"/>
        <v>0</v>
      </c>
      <c r="EQ4" s="17" t="s">
        <v>86</v>
      </c>
      <c r="ER4" s="19">
        <v>1478549974696.8401</v>
      </c>
      <c r="ES4" s="20">
        <f t="shared" si="6"/>
        <v>28.022082976612474</v>
      </c>
    </row>
    <row r="5" spans="1:149" ht="15">
      <c r="A5" s="21" t="s">
        <v>160</v>
      </c>
      <c r="B5" s="14">
        <f ca="1">IFERROR(__xludf.dummyfunction("QUERY('Countries markets attractivenes'!A:C, ""SELECT C WHERE A = '""&amp;A5&amp;""'"",0)"),26.6800323817443)</f>
        <v>26.680032381744301</v>
      </c>
      <c r="C5" s="14">
        <f t="shared" ref="C5:C43" ca="1" si="78">EXP(1)^B5</f>
        <v>386358828359.97443</v>
      </c>
      <c r="D5" s="18">
        <f>Marketplace_customer!C5/Marketplace_customer!C$2</f>
        <v>0</v>
      </c>
      <c r="E5" s="18">
        <f>Marketplace_customer!D5/Marketplace_customer!D$2</f>
        <v>0</v>
      </c>
      <c r="F5" s="18">
        <f>Marketplace_customer!E5/Marketplace_customer!E$2</f>
        <v>0</v>
      </c>
      <c r="G5" s="18">
        <f>Marketplace_customer!F5/Marketplace_customer!F$2</f>
        <v>0</v>
      </c>
      <c r="H5" s="18">
        <f>Marketplace_customer!G5/Marketplace_customer!G$2</f>
        <v>0</v>
      </c>
      <c r="I5" s="18">
        <f>Marketplace_customer!H5/Marketplace_customer!H$2</f>
        <v>6.136606189967983E-2</v>
      </c>
      <c r="J5" s="18">
        <f>Marketplace_customer!I5/Marketplace_customer!I$2</f>
        <v>0</v>
      </c>
      <c r="K5" s="18">
        <f>Marketplace_customer!J5/Marketplace_customer!J$2</f>
        <v>0</v>
      </c>
      <c r="L5" s="18">
        <f>Marketplace_customer!K5/Marketplace_customer!K$2</f>
        <v>0</v>
      </c>
      <c r="M5" s="18">
        <f>Marketplace_customer!L5/Marketplace_customer!L$2</f>
        <v>0</v>
      </c>
      <c r="N5" s="18">
        <f>Marketplace_customer!M5/Marketplace_customer!M$2</f>
        <v>0</v>
      </c>
      <c r="O5" s="18">
        <f>Marketplace_customer!N5/Marketplace_customer!N$2</f>
        <v>0</v>
      </c>
      <c r="P5" s="18">
        <f>Marketplace_customer!O5/Marketplace_customer!O$2</f>
        <v>1.7765957446808512E-4</v>
      </c>
      <c r="Q5" s="18">
        <f>Marketplace_customer!P5/Marketplace_customer!P$2</f>
        <v>0</v>
      </c>
      <c r="R5" s="18">
        <f>Marketplace_customer!Q5/Marketplace_customer!Q$2</f>
        <v>0</v>
      </c>
      <c r="S5" s="18">
        <f>Marketplace_customer!R5/Marketplace_customer!R$2</f>
        <v>0</v>
      </c>
      <c r="T5" s="18">
        <f>Marketplace_customer!S5/Marketplace_customer!S$2</f>
        <v>0</v>
      </c>
      <c r="U5" s="18">
        <f>Marketplace_customer!T5/Marketplace_customer!T$2</f>
        <v>0</v>
      </c>
      <c r="V5" s="18">
        <f>Marketplace_customer!U5/Marketplace_customer!U$2</f>
        <v>0</v>
      </c>
      <c r="W5" s="18">
        <f>Marketplace_customer!V5/Marketplace_customer!V$2</f>
        <v>0</v>
      </c>
      <c r="X5" s="18">
        <f>Marketplace_customer!W5/Marketplace_customer!W$2</f>
        <v>0</v>
      </c>
      <c r="Y5" s="18">
        <f>Marketplace_customer!X5/Marketplace_customer!X$2</f>
        <v>0</v>
      </c>
      <c r="Z5" s="18">
        <f>Marketplace_customer!Y5/Marketplace_customer!Y$2</f>
        <v>0</v>
      </c>
      <c r="AA5" s="18">
        <f>Marketplace_customer!Z5/Marketplace_customer!Z$2</f>
        <v>0</v>
      </c>
      <c r="AB5" s="18">
        <f>Marketplace_customer!AA5/Marketplace_customer!AA$2</f>
        <v>0</v>
      </c>
      <c r="AC5" s="18">
        <f>Marketplace_customer!AB5/Marketplace_customer!AB$2</f>
        <v>0</v>
      </c>
      <c r="AD5" s="18">
        <f>Marketplace_customer!AC5/Marketplace_customer!AC$2</f>
        <v>0</v>
      </c>
      <c r="AE5" s="18">
        <f>Marketplace_customer!AD5/Marketplace_customer!AD$2</f>
        <v>0</v>
      </c>
      <c r="AF5" s="18">
        <f>Marketplace_customer!AE5/Marketplace_customer!AE$2</f>
        <v>0</v>
      </c>
      <c r="AG5" s="18">
        <f>Marketplace_customer!AF5/Marketplace_customer!AF$2</f>
        <v>0</v>
      </c>
      <c r="AH5" s="18">
        <f>Marketplace_customer!AG5/Marketplace_customer!AG$2</f>
        <v>2.6134020618556702E-3</v>
      </c>
      <c r="AI5" s="18">
        <f>Marketplace_customer!AH5/Marketplace_customer!AH$2</f>
        <v>0</v>
      </c>
      <c r="AJ5" s="18">
        <f>Marketplace_customer!AI5/Marketplace_customer!AI$2</f>
        <v>0</v>
      </c>
      <c r="AK5" s="18">
        <f>Marketplace_customer!AJ5/Marketplace_customer!AJ$2</f>
        <v>0</v>
      </c>
      <c r="AL5" s="18">
        <f>Marketplace_customer!AK5/Marketplace_customer!AK$2</f>
        <v>0</v>
      </c>
      <c r="AM5" s="18">
        <f>Marketplace_customer!AL5/Marketplace_customer!AL$2</f>
        <v>0</v>
      </c>
      <c r="AN5" s="18">
        <f>Marketplace_customer!AM5/Marketplace_customer!AM$2</f>
        <v>0</v>
      </c>
      <c r="AO5" s="18">
        <f>Marketplace_customer!AN5/Marketplace_customer!AN$2</f>
        <v>0</v>
      </c>
      <c r="AP5" s="18">
        <f>Marketplace_customer!AO5/Marketplace_customer!AO$2</f>
        <v>0</v>
      </c>
      <c r="AQ5" s="18">
        <f>Marketplace_customer!AP5/Marketplace_customer!AP$2</f>
        <v>0</v>
      </c>
      <c r="AR5" s="18">
        <f>Marketplace_customer!AQ5/Marketplace_customer!AQ$2</f>
        <v>0</v>
      </c>
      <c r="AS5" s="18">
        <f>Marketplace_customer!AR5/Marketplace_customer!AR$2</f>
        <v>0</v>
      </c>
      <c r="AT5" s="18">
        <f>Marketplace_customer!AS5/Marketplace_customer!AS$2</f>
        <v>0</v>
      </c>
      <c r="AU5" s="18">
        <f>Marketplace_customer!AT5/Marketplace_customer!AT$2</f>
        <v>0</v>
      </c>
      <c r="AV5" s="18">
        <f>Marketplace_customer!AU5/Marketplace_customer!AU$2</f>
        <v>0</v>
      </c>
      <c r="AW5" s="18">
        <f>Marketplace_customer!AV5/Marketplace_customer!AV$2</f>
        <v>0</v>
      </c>
      <c r="AX5" s="18">
        <f>Marketplace_customer!AW5/Marketplace_customer!AW$2</f>
        <v>0</v>
      </c>
      <c r="AY5" s="18">
        <f>Marketplace_customer!AX5/Marketplace_customer!AX$2</f>
        <v>0</v>
      </c>
      <c r="AZ5" s="18">
        <f>Marketplace_customer!AY5/Marketplace_customer!AY$2</f>
        <v>0</v>
      </c>
      <c r="BA5" s="18">
        <f>Marketplace_customer!AZ5/Marketplace_customer!AZ$2</f>
        <v>0</v>
      </c>
      <c r="BB5" s="18">
        <f>Marketplace_customer!BA5/Marketplace_customer!BA$2</f>
        <v>0</v>
      </c>
      <c r="BC5" s="18">
        <f>Marketplace_customer!BB5/Marketplace_customer!BB$2</f>
        <v>0</v>
      </c>
      <c r="BD5" s="18">
        <f>Marketplace_customer!BC5/Marketplace_customer!BC$2</f>
        <v>1.6194968553459119E-2</v>
      </c>
      <c r="BE5" s="18">
        <f>Marketplace_customer!BD5/Marketplace_customer!BD$2</f>
        <v>0</v>
      </c>
      <c r="BF5" s="18">
        <f>Marketplace_customer!BE5/Marketplace_customer!BE$2</f>
        <v>0</v>
      </c>
      <c r="BG5" s="18">
        <f>Marketplace_customer!BF5/Marketplace_customer!BF$2</f>
        <v>0</v>
      </c>
      <c r="BH5" s="18">
        <f>Marketplace_customer!BG5/Marketplace_customer!BG$2</f>
        <v>0</v>
      </c>
      <c r="BI5" s="18">
        <f>Marketplace_customer!BH5/Marketplace_customer!BH$2</f>
        <v>0</v>
      </c>
      <c r="BJ5" s="18">
        <f>Marketplace_customer!BI5/Marketplace_customer!BI$2</f>
        <v>0</v>
      </c>
      <c r="BK5" s="18">
        <f>Marketplace_customer!BJ5/Marketplace_customer!BJ$2</f>
        <v>0</v>
      </c>
      <c r="BL5" s="18">
        <f>Marketplace_customer!BK5/Marketplace_customer!BK$2</f>
        <v>0</v>
      </c>
      <c r="BM5" s="18">
        <f>Marketplace_customer!BL5/Marketplace_customer!BL$2</f>
        <v>0</v>
      </c>
      <c r="BN5" s="18">
        <f>Marketplace_customer!BM5/Marketplace_customer!BM$2</f>
        <v>0</v>
      </c>
      <c r="BO5" s="18">
        <f>Marketplace_customer!BN5/Marketplace_customer!BN$2</f>
        <v>0</v>
      </c>
      <c r="BP5" s="18">
        <f>Marketplace_customer!BO5/Marketplace_customer!BO$2</f>
        <v>0</v>
      </c>
      <c r="BQ5" s="18">
        <f>Marketplace_customer!BP5/Marketplace_customer!BP$2</f>
        <v>0</v>
      </c>
      <c r="BR5" s="18">
        <f>Marketplace_customer!BQ5/Marketplace_customer!BQ$2</f>
        <v>0</v>
      </c>
      <c r="BS5" s="18">
        <f>Marketplace_customer!BR5/Marketplace_customer!BR$2</f>
        <v>0</v>
      </c>
      <c r="BT5" s="18">
        <f>Marketplace_customer!BS5/Marketplace_customer!BS$2</f>
        <v>0</v>
      </c>
      <c r="BU5" s="18">
        <f>Marketplace_customer!BT5/Marketplace_customer!BT$2</f>
        <v>0</v>
      </c>
      <c r="BV5" s="18">
        <f>Marketplace_customer!BU5/Marketplace_customer!BU$2</f>
        <v>0</v>
      </c>
      <c r="BW5" s="19"/>
      <c r="BX5" s="20">
        <f t="shared" ca="1" si="7"/>
        <v>0</v>
      </c>
      <c r="BY5" s="20">
        <f t="shared" ca="1" si="8"/>
        <v>0</v>
      </c>
      <c r="BZ5" s="20">
        <f t="shared" ca="1" si="9"/>
        <v>0</v>
      </c>
      <c r="CA5" s="20">
        <f t="shared" ca="1" si="10"/>
        <v>0</v>
      </c>
      <c r="CB5" s="20">
        <f t="shared" ca="1" si="11"/>
        <v>0</v>
      </c>
      <c r="CC5" s="20">
        <f t="shared" ca="1" si="12"/>
        <v>23709319776.625965</v>
      </c>
      <c r="CD5" s="20">
        <f t="shared" ca="1" si="13"/>
        <v>0</v>
      </c>
      <c r="CE5" s="20">
        <f t="shared" ca="1" si="14"/>
        <v>0</v>
      </c>
      <c r="CF5" s="20">
        <f t="shared" ca="1" si="15"/>
        <v>0</v>
      </c>
      <c r="CG5" s="20">
        <f t="shared" ca="1" si="16"/>
        <v>0</v>
      </c>
      <c r="CH5" s="20">
        <f t="shared" ca="1" si="17"/>
        <v>0</v>
      </c>
      <c r="CI5" s="20">
        <f t="shared" ca="1" si="18"/>
        <v>0</v>
      </c>
      <c r="CJ5" s="20">
        <f t="shared" ca="1" si="19"/>
        <v>68640345.03842099</v>
      </c>
      <c r="CK5" s="20">
        <f t="shared" ca="1" si="20"/>
        <v>0</v>
      </c>
      <c r="CL5" s="20">
        <f t="shared" ca="1" si="21"/>
        <v>0</v>
      </c>
      <c r="CM5" s="20">
        <f t="shared" ca="1" si="22"/>
        <v>0</v>
      </c>
      <c r="CN5" s="20">
        <f t="shared" ca="1" si="23"/>
        <v>0</v>
      </c>
      <c r="CO5" s="20">
        <f t="shared" ca="1" si="24"/>
        <v>0</v>
      </c>
      <c r="CP5" s="20">
        <f t="shared" ca="1" si="25"/>
        <v>0</v>
      </c>
      <c r="CQ5" s="20">
        <f t="shared" ca="1" si="26"/>
        <v>0</v>
      </c>
      <c r="CR5" s="20">
        <f t="shared" ca="1" si="27"/>
        <v>0</v>
      </c>
      <c r="CS5" s="20">
        <f t="shared" ca="1" si="28"/>
        <v>0</v>
      </c>
      <c r="CT5" s="20">
        <f t="shared" ca="1" si="29"/>
        <v>0</v>
      </c>
      <c r="CU5" s="20">
        <f t="shared" ca="1" si="30"/>
        <v>0</v>
      </c>
      <c r="CV5" s="20">
        <f t="shared" ca="1" si="31"/>
        <v>0</v>
      </c>
      <c r="CW5" s="20">
        <f t="shared" ca="1" si="32"/>
        <v>0</v>
      </c>
      <c r="CX5" s="20">
        <f t="shared" ca="1" si="33"/>
        <v>0</v>
      </c>
      <c r="CY5" s="20">
        <f t="shared" ca="1" si="34"/>
        <v>0</v>
      </c>
      <c r="CZ5" s="20">
        <f t="shared" ca="1" si="35"/>
        <v>0</v>
      </c>
      <c r="DA5" s="20">
        <f t="shared" ca="1" si="36"/>
        <v>0</v>
      </c>
      <c r="DB5" s="20">
        <f t="shared" ca="1" si="37"/>
        <v>1009710958.6520982</v>
      </c>
      <c r="DC5" s="20">
        <f t="shared" ca="1" si="38"/>
        <v>0</v>
      </c>
      <c r="DD5" s="20">
        <f t="shared" ca="1" si="39"/>
        <v>0</v>
      </c>
      <c r="DE5" s="20">
        <f t="shared" ca="1" si="40"/>
        <v>0</v>
      </c>
      <c r="DF5" s="20">
        <f t="shared" ca="1" si="41"/>
        <v>0</v>
      </c>
      <c r="DG5" s="20">
        <f t="shared" ca="1" si="42"/>
        <v>0</v>
      </c>
      <c r="DH5" s="20">
        <f t="shared" ca="1" si="43"/>
        <v>0</v>
      </c>
      <c r="DI5" s="20">
        <f t="shared" ca="1" si="44"/>
        <v>0</v>
      </c>
      <c r="DJ5" s="20">
        <f t="shared" ca="1" si="45"/>
        <v>0</v>
      </c>
      <c r="DK5" s="20">
        <f t="shared" ca="1" si="46"/>
        <v>0</v>
      </c>
      <c r="DL5" s="20">
        <f t="shared" ca="1" si="47"/>
        <v>0</v>
      </c>
      <c r="DM5" s="20">
        <f t="shared" ca="1" si="48"/>
        <v>0</v>
      </c>
      <c r="DN5" s="20">
        <f t="shared" ca="1" si="49"/>
        <v>0</v>
      </c>
      <c r="DO5" s="20">
        <f t="shared" ca="1" si="50"/>
        <v>0</v>
      </c>
      <c r="DP5" s="20">
        <f t="shared" ca="1" si="51"/>
        <v>0</v>
      </c>
      <c r="DQ5" s="20">
        <f t="shared" ca="1" si="52"/>
        <v>0</v>
      </c>
      <c r="DR5" s="20">
        <f t="shared" ca="1" si="53"/>
        <v>0</v>
      </c>
      <c r="DS5" s="20">
        <f t="shared" ca="1" si="54"/>
        <v>0</v>
      </c>
      <c r="DT5" s="20">
        <f t="shared" ca="1" si="55"/>
        <v>0</v>
      </c>
      <c r="DU5" s="20">
        <f t="shared" ca="1" si="56"/>
        <v>0</v>
      </c>
      <c r="DV5" s="20">
        <f t="shared" ca="1" si="57"/>
        <v>0</v>
      </c>
      <c r="DW5" s="20">
        <f t="shared" ca="1" si="58"/>
        <v>0</v>
      </c>
      <c r="DX5" s="20">
        <f t="shared" ca="1" si="59"/>
        <v>6257069075.6410952</v>
      </c>
      <c r="DY5" s="20">
        <f t="shared" ca="1" si="60"/>
        <v>0</v>
      </c>
      <c r="DZ5" s="20">
        <f t="shared" ca="1" si="61"/>
        <v>0</v>
      </c>
      <c r="EA5" s="20">
        <f t="shared" ca="1" si="62"/>
        <v>0</v>
      </c>
      <c r="EB5" s="20">
        <f t="shared" ca="1" si="63"/>
        <v>0</v>
      </c>
      <c r="EC5" s="20">
        <f t="shared" ca="1" si="64"/>
        <v>0</v>
      </c>
      <c r="ED5" s="20">
        <f t="shared" ca="1" si="65"/>
        <v>0</v>
      </c>
      <c r="EE5" s="20">
        <f t="shared" ca="1" si="66"/>
        <v>0</v>
      </c>
      <c r="EF5" s="20">
        <f t="shared" ca="1" si="67"/>
        <v>0</v>
      </c>
      <c r="EG5" s="20">
        <f t="shared" ca="1" si="68"/>
        <v>0</v>
      </c>
      <c r="EH5" s="20">
        <f t="shared" ca="1" si="69"/>
        <v>0</v>
      </c>
      <c r="EI5" s="20">
        <f t="shared" ca="1" si="70"/>
        <v>0</v>
      </c>
      <c r="EJ5" s="20">
        <f t="shared" ca="1" si="71"/>
        <v>0</v>
      </c>
      <c r="EK5" s="20">
        <f t="shared" ca="1" si="72"/>
        <v>0</v>
      </c>
      <c r="EL5" s="20">
        <f t="shared" ca="1" si="73"/>
        <v>0</v>
      </c>
      <c r="EM5" s="20">
        <f t="shared" ca="1" si="74"/>
        <v>0</v>
      </c>
      <c r="EN5" s="20">
        <f t="shared" ca="1" si="75"/>
        <v>0</v>
      </c>
      <c r="EO5" s="20">
        <f t="shared" ca="1" si="76"/>
        <v>0</v>
      </c>
      <c r="EP5" s="20">
        <f t="shared" ca="1" si="77"/>
        <v>0</v>
      </c>
      <c r="EQ5" s="17" t="s">
        <v>87</v>
      </c>
      <c r="ER5" s="19">
        <v>1735527955674.51</v>
      </c>
      <c r="ES5" s="20">
        <f t="shared" si="6"/>
        <v>28.182332780257099</v>
      </c>
    </row>
    <row r="6" spans="1:149" ht="15">
      <c r="A6" s="21" t="s">
        <v>161</v>
      </c>
      <c r="B6" s="14">
        <f ca="1">IFERROR(__xludf.dummyfunction("QUERY('Countries markets attractivenes'!A:C, ""SELECT C WHERE A = '""&amp;A6&amp;""'"",0)"),24.2260018201912)</f>
        <v>24.2260018201912</v>
      </c>
      <c r="C6" s="14">
        <f t="shared" ca="1" si="78"/>
        <v>33206179338.094097</v>
      </c>
      <c r="D6" s="18">
        <f>Marketplace_customer!C6/Marketplace_customer!C$2</f>
        <v>0</v>
      </c>
      <c r="E6" s="18">
        <f>Marketplace_customer!D6/Marketplace_customer!D$2</f>
        <v>0</v>
      </c>
      <c r="F6" s="18">
        <f>Marketplace_customer!E6/Marketplace_customer!E$2</f>
        <v>0</v>
      </c>
      <c r="G6" s="18">
        <f>Marketplace_customer!F6/Marketplace_customer!F$2</f>
        <v>0</v>
      </c>
      <c r="H6" s="18">
        <f>Marketplace_customer!G6/Marketplace_customer!G$2</f>
        <v>0</v>
      </c>
      <c r="I6" s="18">
        <f>Marketplace_customer!H6/Marketplace_customer!H$2</f>
        <v>0</v>
      </c>
      <c r="J6" s="18">
        <f>Marketplace_customer!I6/Marketplace_customer!I$2</f>
        <v>0</v>
      </c>
      <c r="K6" s="18">
        <f>Marketplace_customer!J6/Marketplace_customer!J$2</f>
        <v>0</v>
      </c>
      <c r="L6" s="18">
        <f>Marketplace_customer!K6/Marketplace_customer!K$2</f>
        <v>0</v>
      </c>
      <c r="M6" s="18">
        <f>Marketplace_customer!L6/Marketplace_customer!L$2</f>
        <v>0</v>
      </c>
      <c r="N6" s="18">
        <f>Marketplace_customer!M6/Marketplace_customer!M$2</f>
        <v>0</v>
      </c>
      <c r="O6" s="18">
        <f>Marketplace_customer!N6/Marketplace_customer!N$2</f>
        <v>0</v>
      </c>
      <c r="P6" s="18">
        <f>Marketplace_customer!O6/Marketplace_customer!O$2</f>
        <v>1.3191489361702127E-4</v>
      </c>
      <c r="Q6" s="18">
        <f>Marketplace_customer!P6/Marketplace_customer!P$2</f>
        <v>0</v>
      </c>
      <c r="R6" s="18">
        <f>Marketplace_customer!Q6/Marketplace_customer!Q$2</f>
        <v>0</v>
      </c>
      <c r="S6" s="18">
        <f>Marketplace_customer!R6/Marketplace_customer!R$2</f>
        <v>0</v>
      </c>
      <c r="T6" s="18">
        <f>Marketplace_customer!S6/Marketplace_customer!S$2</f>
        <v>0</v>
      </c>
      <c r="U6" s="18">
        <f>Marketplace_customer!T6/Marketplace_customer!T$2</f>
        <v>0</v>
      </c>
      <c r="V6" s="18">
        <f>Marketplace_customer!U6/Marketplace_customer!U$2</f>
        <v>0</v>
      </c>
      <c r="W6" s="18">
        <f>Marketplace_customer!V6/Marketplace_customer!V$2</f>
        <v>0</v>
      </c>
      <c r="X6" s="18">
        <f>Marketplace_customer!W6/Marketplace_customer!W$2</f>
        <v>0</v>
      </c>
      <c r="Y6" s="18">
        <f>Marketplace_customer!X6/Marketplace_customer!X$2</f>
        <v>0</v>
      </c>
      <c r="Z6" s="18">
        <f>Marketplace_customer!Y6/Marketplace_customer!Y$2</f>
        <v>0</v>
      </c>
      <c r="AA6" s="18">
        <f>Marketplace_customer!Z6/Marketplace_customer!Z$2</f>
        <v>0</v>
      </c>
      <c r="AB6" s="18">
        <f>Marketplace_customer!AA6/Marketplace_customer!AA$2</f>
        <v>0</v>
      </c>
      <c r="AC6" s="18">
        <f>Marketplace_customer!AB6/Marketplace_customer!AB$2</f>
        <v>0</v>
      </c>
      <c r="AD6" s="18">
        <f>Marketplace_customer!AC6/Marketplace_customer!AC$2</f>
        <v>0</v>
      </c>
      <c r="AE6" s="18">
        <f>Marketplace_customer!AD6/Marketplace_customer!AD$2</f>
        <v>0</v>
      </c>
      <c r="AF6" s="18">
        <f>Marketplace_customer!AE6/Marketplace_customer!AE$2</f>
        <v>0</v>
      </c>
      <c r="AG6" s="18">
        <f>Marketplace_customer!AF6/Marketplace_customer!AF$2</f>
        <v>0</v>
      </c>
      <c r="AH6" s="18">
        <f>Marketplace_customer!AG6/Marketplace_customer!AG$2</f>
        <v>0</v>
      </c>
      <c r="AI6" s="18">
        <f>Marketplace_customer!AH6/Marketplace_customer!AH$2</f>
        <v>0</v>
      </c>
      <c r="AJ6" s="18">
        <f>Marketplace_customer!AI6/Marketplace_customer!AI$2</f>
        <v>0</v>
      </c>
      <c r="AK6" s="18">
        <f>Marketplace_customer!AJ6/Marketplace_customer!AJ$2</f>
        <v>0</v>
      </c>
      <c r="AL6" s="18">
        <f>Marketplace_customer!AK6/Marketplace_customer!AK$2</f>
        <v>0</v>
      </c>
      <c r="AM6" s="18">
        <f>Marketplace_customer!AL6/Marketplace_customer!AL$2</f>
        <v>0</v>
      </c>
      <c r="AN6" s="18">
        <f>Marketplace_customer!AM6/Marketplace_customer!AM$2</f>
        <v>0</v>
      </c>
      <c r="AO6" s="18">
        <f>Marketplace_customer!AN6/Marketplace_customer!AN$2</f>
        <v>0</v>
      </c>
      <c r="AP6" s="18">
        <f>Marketplace_customer!AO6/Marketplace_customer!AO$2</f>
        <v>0</v>
      </c>
      <c r="AQ6" s="18">
        <f>Marketplace_customer!AP6/Marketplace_customer!AP$2</f>
        <v>0</v>
      </c>
      <c r="AR6" s="18">
        <f>Marketplace_customer!AQ6/Marketplace_customer!AQ$2</f>
        <v>0</v>
      </c>
      <c r="AS6" s="18">
        <f>Marketplace_customer!AR6/Marketplace_customer!AR$2</f>
        <v>0</v>
      </c>
      <c r="AT6" s="18">
        <f>Marketplace_customer!AS6/Marketplace_customer!AS$2</f>
        <v>0</v>
      </c>
      <c r="AU6" s="18">
        <f>Marketplace_customer!AT6/Marketplace_customer!AT$2</f>
        <v>0</v>
      </c>
      <c r="AV6" s="18">
        <f>Marketplace_customer!AU6/Marketplace_customer!AU$2</f>
        <v>0</v>
      </c>
      <c r="AW6" s="18">
        <f>Marketplace_customer!AV6/Marketplace_customer!AV$2</f>
        <v>0</v>
      </c>
      <c r="AX6" s="18">
        <f>Marketplace_customer!AW6/Marketplace_customer!AW$2</f>
        <v>0</v>
      </c>
      <c r="AY6" s="18">
        <f>Marketplace_customer!AX6/Marketplace_customer!AX$2</f>
        <v>0</v>
      </c>
      <c r="AZ6" s="18">
        <f>Marketplace_customer!AY6/Marketplace_customer!AY$2</f>
        <v>0</v>
      </c>
      <c r="BA6" s="18">
        <f>Marketplace_customer!AZ6/Marketplace_customer!AZ$2</f>
        <v>0</v>
      </c>
      <c r="BB6" s="18">
        <f>Marketplace_customer!BA6/Marketplace_customer!BA$2</f>
        <v>0</v>
      </c>
      <c r="BC6" s="18">
        <f>Marketplace_customer!BB6/Marketplace_customer!BB$2</f>
        <v>0</v>
      </c>
      <c r="BD6" s="18">
        <f>Marketplace_customer!BC6/Marketplace_customer!BC$2</f>
        <v>0</v>
      </c>
      <c r="BE6" s="18">
        <f>Marketplace_customer!BD6/Marketplace_customer!BD$2</f>
        <v>0</v>
      </c>
      <c r="BF6" s="18">
        <f>Marketplace_customer!BE6/Marketplace_customer!BE$2</f>
        <v>0</v>
      </c>
      <c r="BG6" s="18">
        <f>Marketplace_customer!BF6/Marketplace_customer!BF$2</f>
        <v>0</v>
      </c>
      <c r="BH6" s="18">
        <f>Marketplace_customer!BG6/Marketplace_customer!BG$2</f>
        <v>0</v>
      </c>
      <c r="BI6" s="18">
        <f>Marketplace_customer!BH6/Marketplace_customer!BH$2</f>
        <v>0</v>
      </c>
      <c r="BJ6" s="18">
        <f>Marketplace_customer!BI6/Marketplace_customer!BI$2</f>
        <v>0</v>
      </c>
      <c r="BK6" s="18">
        <f>Marketplace_customer!BJ6/Marketplace_customer!BJ$2</f>
        <v>0</v>
      </c>
      <c r="BL6" s="18">
        <f>Marketplace_customer!BK6/Marketplace_customer!BK$2</f>
        <v>0</v>
      </c>
      <c r="BM6" s="18">
        <f>Marketplace_customer!BL6/Marketplace_customer!BL$2</f>
        <v>0</v>
      </c>
      <c r="BN6" s="18">
        <f>Marketplace_customer!BM6/Marketplace_customer!BM$2</f>
        <v>0</v>
      </c>
      <c r="BO6" s="18">
        <f>Marketplace_customer!BN6/Marketplace_customer!BN$2</f>
        <v>0</v>
      </c>
      <c r="BP6" s="18">
        <f>Marketplace_customer!BO6/Marketplace_customer!BO$2</f>
        <v>0</v>
      </c>
      <c r="BQ6" s="18">
        <f>Marketplace_customer!BP6/Marketplace_customer!BP$2</f>
        <v>0</v>
      </c>
      <c r="BR6" s="18">
        <f>Marketplace_customer!BQ6/Marketplace_customer!BQ$2</f>
        <v>0</v>
      </c>
      <c r="BS6" s="18">
        <f>Marketplace_customer!BR6/Marketplace_customer!BR$2</f>
        <v>0</v>
      </c>
      <c r="BT6" s="18">
        <f>Marketplace_customer!BS6/Marketplace_customer!BS$2</f>
        <v>0</v>
      </c>
      <c r="BU6" s="18">
        <f>Marketplace_customer!BT6/Marketplace_customer!BT$2</f>
        <v>0</v>
      </c>
      <c r="BV6" s="18">
        <f>Marketplace_customer!BU6/Marketplace_customer!BU$2</f>
        <v>0</v>
      </c>
      <c r="BW6" s="19"/>
      <c r="BX6" s="20">
        <f t="shared" ca="1" si="7"/>
        <v>0</v>
      </c>
      <c r="BY6" s="20">
        <f t="shared" ca="1" si="8"/>
        <v>0</v>
      </c>
      <c r="BZ6" s="20">
        <f t="shared" ca="1" si="9"/>
        <v>0</v>
      </c>
      <c r="CA6" s="20">
        <f t="shared" ca="1" si="10"/>
        <v>0</v>
      </c>
      <c r="CB6" s="20">
        <f t="shared" ca="1" si="11"/>
        <v>0</v>
      </c>
      <c r="CC6" s="20">
        <f t="shared" ca="1" si="12"/>
        <v>0</v>
      </c>
      <c r="CD6" s="20">
        <f t="shared" ca="1" si="13"/>
        <v>0</v>
      </c>
      <c r="CE6" s="20">
        <f t="shared" ca="1" si="14"/>
        <v>0</v>
      </c>
      <c r="CF6" s="20">
        <f t="shared" ca="1" si="15"/>
        <v>0</v>
      </c>
      <c r="CG6" s="20">
        <f t="shared" ca="1" si="16"/>
        <v>0</v>
      </c>
      <c r="CH6" s="20">
        <f t="shared" ca="1" si="17"/>
        <v>0</v>
      </c>
      <c r="CI6" s="20">
        <f t="shared" ca="1" si="18"/>
        <v>0</v>
      </c>
      <c r="CJ6" s="20">
        <f t="shared" ca="1" si="19"/>
        <v>4380389.6148124123</v>
      </c>
      <c r="CK6" s="20">
        <f t="shared" ca="1" si="20"/>
        <v>0</v>
      </c>
      <c r="CL6" s="20">
        <f t="shared" ca="1" si="21"/>
        <v>0</v>
      </c>
      <c r="CM6" s="20">
        <f t="shared" ca="1" si="22"/>
        <v>0</v>
      </c>
      <c r="CN6" s="20">
        <f t="shared" ca="1" si="23"/>
        <v>0</v>
      </c>
      <c r="CO6" s="20">
        <f t="shared" ca="1" si="24"/>
        <v>0</v>
      </c>
      <c r="CP6" s="20">
        <f t="shared" ca="1" si="25"/>
        <v>0</v>
      </c>
      <c r="CQ6" s="20">
        <f t="shared" ca="1" si="26"/>
        <v>0</v>
      </c>
      <c r="CR6" s="20">
        <f t="shared" ca="1" si="27"/>
        <v>0</v>
      </c>
      <c r="CS6" s="20">
        <f t="shared" ca="1" si="28"/>
        <v>0</v>
      </c>
      <c r="CT6" s="20">
        <f t="shared" ca="1" si="29"/>
        <v>0</v>
      </c>
      <c r="CU6" s="20">
        <f t="shared" ca="1" si="30"/>
        <v>0</v>
      </c>
      <c r="CV6" s="20">
        <f t="shared" ca="1" si="31"/>
        <v>0</v>
      </c>
      <c r="CW6" s="20">
        <f t="shared" ca="1" si="32"/>
        <v>0</v>
      </c>
      <c r="CX6" s="20">
        <f t="shared" ca="1" si="33"/>
        <v>0</v>
      </c>
      <c r="CY6" s="20">
        <f t="shared" ca="1" si="34"/>
        <v>0</v>
      </c>
      <c r="CZ6" s="20">
        <f t="shared" ca="1" si="35"/>
        <v>0</v>
      </c>
      <c r="DA6" s="20">
        <f t="shared" ca="1" si="36"/>
        <v>0</v>
      </c>
      <c r="DB6" s="20">
        <f t="shared" ca="1" si="37"/>
        <v>0</v>
      </c>
      <c r="DC6" s="20">
        <f t="shared" ca="1" si="38"/>
        <v>0</v>
      </c>
      <c r="DD6" s="20">
        <f t="shared" ca="1" si="39"/>
        <v>0</v>
      </c>
      <c r="DE6" s="20">
        <f t="shared" ca="1" si="40"/>
        <v>0</v>
      </c>
      <c r="DF6" s="20">
        <f t="shared" ca="1" si="41"/>
        <v>0</v>
      </c>
      <c r="DG6" s="20">
        <f t="shared" ca="1" si="42"/>
        <v>0</v>
      </c>
      <c r="DH6" s="20">
        <f t="shared" ca="1" si="43"/>
        <v>0</v>
      </c>
      <c r="DI6" s="20">
        <f t="shared" ca="1" si="44"/>
        <v>0</v>
      </c>
      <c r="DJ6" s="20">
        <f t="shared" ca="1" si="45"/>
        <v>0</v>
      </c>
      <c r="DK6" s="20">
        <f t="shared" ca="1" si="46"/>
        <v>0</v>
      </c>
      <c r="DL6" s="20">
        <f t="shared" ca="1" si="47"/>
        <v>0</v>
      </c>
      <c r="DM6" s="20">
        <f t="shared" ca="1" si="48"/>
        <v>0</v>
      </c>
      <c r="DN6" s="20">
        <f t="shared" ca="1" si="49"/>
        <v>0</v>
      </c>
      <c r="DO6" s="20">
        <f t="shared" ca="1" si="50"/>
        <v>0</v>
      </c>
      <c r="DP6" s="20">
        <f t="shared" ca="1" si="51"/>
        <v>0</v>
      </c>
      <c r="DQ6" s="20">
        <f t="shared" ca="1" si="52"/>
        <v>0</v>
      </c>
      <c r="DR6" s="20">
        <f t="shared" ca="1" si="53"/>
        <v>0</v>
      </c>
      <c r="DS6" s="20">
        <f t="shared" ca="1" si="54"/>
        <v>0</v>
      </c>
      <c r="DT6" s="20">
        <f t="shared" ca="1" si="55"/>
        <v>0</v>
      </c>
      <c r="DU6" s="20">
        <f t="shared" ca="1" si="56"/>
        <v>0</v>
      </c>
      <c r="DV6" s="20">
        <f t="shared" ca="1" si="57"/>
        <v>0</v>
      </c>
      <c r="DW6" s="20">
        <f t="shared" ca="1" si="58"/>
        <v>0</v>
      </c>
      <c r="DX6" s="20">
        <f t="shared" ca="1" si="59"/>
        <v>0</v>
      </c>
      <c r="DY6" s="20">
        <f t="shared" ca="1" si="60"/>
        <v>0</v>
      </c>
      <c r="DZ6" s="20">
        <f t="shared" ca="1" si="61"/>
        <v>0</v>
      </c>
      <c r="EA6" s="20">
        <f t="shared" ca="1" si="62"/>
        <v>0</v>
      </c>
      <c r="EB6" s="20">
        <f t="shared" ca="1" si="63"/>
        <v>0</v>
      </c>
      <c r="EC6" s="20">
        <f t="shared" ca="1" si="64"/>
        <v>0</v>
      </c>
      <c r="ED6" s="20">
        <f t="shared" ca="1" si="65"/>
        <v>0</v>
      </c>
      <c r="EE6" s="20">
        <f t="shared" ca="1" si="66"/>
        <v>0</v>
      </c>
      <c r="EF6" s="20">
        <f t="shared" ca="1" si="67"/>
        <v>0</v>
      </c>
      <c r="EG6" s="20">
        <f t="shared" ca="1" si="68"/>
        <v>0</v>
      </c>
      <c r="EH6" s="20">
        <f t="shared" ca="1" si="69"/>
        <v>0</v>
      </c>
      <c r="EI6" s="20">
        <f t="shared" ca="1" si="70"/>
        <v>0</v>
      </c>
      <c r="EJ6" s="20">
        <f t="shared" ca="1" si="71"/>
        <v>0</v>
      </c>
      <c r="EK6" s="20">
        <f t="shared" ca="1" si="72"/>
        <v>0</v>
      </c>
      <c r="EL6" s="20">
        <f t="shared" ca="1" si="73"/>
        <v>0</v>
      </c>
      <c r="EM6" s="20">
        <f t="shared" ca="1" si="74"/>
        <v>0</v>
      </c>
      <c r="EN6" s="20">
        <f t="shared" ca="1" si="75"/>
        <v>0</v>
      </c>
      <c r="EO6" s="20">
        <f t="shared" ca="1" si="76"/>
        <v>0</v>
      </c>
      <c r="EP6" s="20">
        <f t="shared" ca="1" si="77"/>
        <v>0</v>
      </c>
      <c r="EQ6" s="17" t="s">
        <v>88</v>
      </c>
      <c r="ER6" s="19">
        <v>1823264106191.3101</v>
      </c>
      <c r="ES6" s="20">
        <f t="shared" si="6"/>
        <v>28.231649475619609</v>
      </c>
    </row>
    <row r="7" spans="1:149" ht="15">
      <c r="A7" s="21" t="s">
        <v>162</v>
      </c>
      <c r="B7" s="14">
        <f ca="1">IFERROR(__xludf.dummyfunction("QUERY('Countries markets attractivenes'!A:C, ""SELECT C WHERE A = '""&amp;A7&amp;""'"",0)"),26.868843080556)</f>
        <v>26.868843080556001</v>
      </c>
      <c r="C7" s="14">
        <f t="shared" ca="1" si="78"/>
        <v>466648941451.3299</v>
      </c>
      <c r="D7" s="18">
        <f>Marketplace_customer!C7/Marketplace_customer!C$2</f>
        <v>0</v>
      </c>
      <c r="E7" s="18">
        <f>Marketplace_customer!D7/Marketplace_customer!D$2</f>
        <v>0</v>
      </c>
      <c r="F7" s="18">
        <f>Marketplace_customer!E7/Marketplace_customer!E$2</f>
        <v>0</v>
      </c>
      <c r="G7" s="18">
        <f>Marketplace_customer!F7/Marketplace_customer!F$2</f>
        <v>0</v>
      </c>
      <c r="H7" s="18">
        <f>Marketplace_customer!G7/Marketplace_customer!G$2</f>
        <v>0</v>
      </c>
      <c r="I7" s="18">
        <f>Marketplace_customer!H7/Marketplace_customer!H$2</f>
        <v>0</v>
      </c>
      <c r="J7" s="18">
        <f>Marketplace_customer!I7/Marketplace_customer!I$2</f>
        <v>0</v>
      </c>
      <c r="K7" s="18">
        <f>Marketplace_customer!J7/Marketplace_customer!J$2</f>
        <v>0</v>
      </c>
      <c r="L7" s="18">
        <f>Marketplace_customer!K7/Marketplace_customer!K$2</f>
        <v>0</v>
      </c>
      <c r="M7" s="18">
        <f>Marketplace_customer!L7/Marketplace_customer!L$2</f>
        <v>0</v>
      </c>
      <c r="N7" s="18">
        <f>Marketplace_customer!M7/Marketplace_customer!M$2</f>
        <v>0.44444444444444442</v>
      </c>
      <c r="O7" s="18">
        <f>Marketplace_customer!N7/Marketplace_customer!N$2</f>
        <v>0</v>
      </c>
      <c r="P7" s="18">
        <f>Marketplace_customer!O7/Marketplace_customer!O$2</f>
        <v>7.6170212765957449E-4</v>
      </c>
      <c r="Q7" s="18">
        <f>Marketplace_customer!P7/Marketplace_customer!P$2</f>
        <v>0</v>
      </c>
      <c r="R7" s="18">
        <f>Marketplace_customer!Q7/Marketplace_customer!Q$2</f>
        <v>0</v>
      </c>
      <c r="S7" s="18">
        <f>Marketplace_customer!R7/Marketplace_customer!R$2</f>
        <v>0</v>
      </c>
      <c r="T7" s="18">
        <f>Marketplace_customer!S7/Marketplace_customer!S$2</f>
        <v>0.19385342789598109</v>
      </c>
      <c r="U7" s="18">
        <f>Marketplace_customer!T7/Marketplace_customer!T$2</f>
        <v>0</v>
      </c>
      <c r="V7" s="18">
        <f>Marketplace_customer!U7/Marketplace_customer!U$2</f>
        <v>0</v>
      </c>
      <c r="W7" s="18">
        <f>Marketplace_customer!V7/Marketplace_customer!V$2</f>
        <v>0</v>
      </c>
      <c r="X7" s="18">
        <f>Marketplace_customer!W7/Marketplace_customer!W$2</f>
        <v>0</v>
      </c>
      <c r="Y7" s="18">
        <f>Marketplace_customer!X7/Marketplace_customer!X$2</f>
        <v>1.1174004192872117E-2</v>
      </c>
      <c r="Z7" s="18">
        <f>Marketplace_customer!Y7/Marketplace_customer!Y$2</f>
        <v>0</v>
      </c>
      <c r="AA7" s="18">
        <f>Marketplace_customer!Z7/Marketplace_customer!Z$2</f>
        <v>0</v>
      </c>
      <c r="AB7" s="18">
        <f>Marketplace_customer!AA7/Marketplace_customer!AA$2</f>
        <v>0</v>
      </c>
      <c r="AC7" s="18">
        <f>Marketplace_customer!AB7/Marketplace_customer!AB$2</f>
        <v>0</v>
      </c>
      <c r="AD7" s="18">
        <f>Marketplace_customer!AC7/Marketplace_customer!AC$2</f>
        <v>0</v>
      </c>
      <c r="AE7" s="18">
        <f>Marketplace_customer!AD7/Marketplace_customer!AD$2</f>
        <v>0</v>
      </c>
      <c r="AF7" s="18">
        <f>Marketplace_customer!AE7/Marketplace_customer!AE$2</f>
        <v>0</v>
      </c>
      <c r="AG7" s="18">
        <f>Marketplace_customer!AF7/Marketplace_customer!AF$2</f>
        <v>0</v>
      </c>
      <c r="AH7" s="18">
        <f>Marketplace_customer!AG7/Marketplace_customer!AG$2</f>
        <v>2.7010309278350515E-3</v>
      </c>
      <c r="AI7" s="18">
        <f>Marketplace_customer!AH7/Marketplace_customer!AH$2</f>
        <v>0</v>
      </c>
      <c r="AJ7" s="18">
        <f>Marketplace_customer!AI7/Marketplace_customer!AI$2</f>
        <v>0</v>
      </c>
      <c r="AK7" s="18">
        <f>Marketplace_customer!AJ7/Marketplace_customer!AJ$2</f>
        <v>0</v>
      </c>
      <c r="AL7" s="18">
        <f>Marketplace_customer!AK7/Marketplace_customer!AK$2</f>
        <v>0</v>
      </c>
      <c r="AM7" s="18">
        <f>Marketplace_customer!AL7/Marketplace_customer!AL$2</f>
        <v>0</v>
      </c>
      <c r="AN7" s="18">
        <f>Marketplace_customer!AM7/Marketplace_customer!AM$2</f>
        <v>0</v>
      </c>
      <c r="AO7" s="18">
        <f>Marketplace_customer!AN7/Marketplace_customer!AN$2</f>
        <v>0</v>
      </c>
      <c r="AP7" s="18">
        <f>Marketplace_customer!AO7/Marketplace_customer!AO$2</f>
        <v>0</v>
      </c>
      <c r="AQ7" s="18">
        <f>Marketplace_customer!AP7/Marketplace_customer!AP$2</f>
        <v>0</v>
      </c>
      <c r="AR7" s="18">
        <f>Marketplace_customer!AQ7/Marketplace_customer!AQ$2</f>
        <v>0</v>
      </c>
      <c r="AS7" s="18">
        <f>Marketplace_customer!AR7/Marketplace_customer!AR$2</f>
        <v>0</v>
      </c>
      <c r="AT7" s="18">
        <f>Marketplace_customer!AS7/Marketplace_customer!AS$2</f>
        <v>0</v>
      </c>
      <c r="AU7" s="18">
        <f>Marketplace_customer!AT7/Marketplace_customer!AT$2</f>
        <v>0</v>
      </c>
      <c r="AV7" s="18">
        <f>Marketplace_customer!AU7/Marketplace_customer!AU$2</f>
        <v>0</v>
      </c>
      <c r="AW7" s="18">
        <f>Marketplace_customer!AV7/Marketplace_customer!AV$2</f>
        <v>0</v>
      </c>
      <c r="AX7" s="18">
        <f>Marketplace_customer!AW7/Marketplace_customer!AW$2</f>
        <v>0</v>
      </c>
      <c r="AY7" s="18">
        <f>Marketplace_customer!AX7/Marketplace_customer!AX$2</f>
        <v>0.05</v>
      </c>
      <c r="AZ7" s="18">
        <f>Marketplace_customer!AY7/Marketplace_customer!AY$2</f>
        <v>0</v>
      </c>
      <c r="BA7" s="18">
        <f>Marketplace_customer!AZ7/Marketplace_customer!AZ$2</f>
        <v>0</v>
      </c>
      <c r="BB7" s="18">
        <f>Marketplace_customer!BA7/Marketplace_customer!BA$2</f>
        <v>0</v>
      </c>
      <c r="BC7" s="18">
        <f>Marketplace_customer!BB7/Marketplace_customer!BB$2</f>
        <v>0</v>
      </c>
      <c r="BD7" s="18">
        <f>Marketplace_customer!BC7/Marketplace_customer!BC$2</f>
        <v>0</v>
      </c>
      <c r="BE7" s="18">
        <f>Marketplace_customer!BD7/Marketplace_customer!BD$2</f>
        <v>0</v>
      </c>
      <c r="BF7" s="18">
        <f>Marketplace_customer!BE7/Marketplace_customer!BE$2</f>
        <v>0</v>
      </c>
      <c r="BG7" s="18">
        <f>Marketplace_customer!BF7/Marketplace_customer!BF$2</f>
        <v>0</v>
      </c>
      <c r="BH7" s="18">
        <f>Marketplace_customer!BG7/Marketplace_customer!BG$2</f>
        <v>0</v>
      </c>
      <c r="BI7" s="18">
        <f>Marketplace_customer!BH7/Marketplace_customer!BH$2</f>
        <v>0</v>
      </c>
      <c r="BJ7" s="18">
        <f>Marketplace_customer!BI7/Marketplace_customer!BI$2</f>
        <v>0</v>
      </c>
      <c r="BK7" s="18">
        <f>Marketplace_customer!BJ7/Marketplace_customer!BJ$2</f>
        <v>0</v>
      </c>
      <c r="BL7" s="18">
        <f>Marketplace_customer!BK7/Marketplace_customer!BK$2</f>
        <v>0</v>
      </c>
      <c r="BM7" s="18">
        <f>Marketplace_customer!BL7/Marketplace_customer!BL$2</f>
        <v>0</v>
      </c>
      <c r="BN7" s="18">
        <f>Marketplace_customer!BM7/Marketplace_customer!BM$2</f>
        <v>0</v>
      </c>
      <c r="BO7" s="18">
        <f>Marketplace_customer!BN7/Marketplace_customer!BN$2</f>
        <v>0</v>
      </c>
      <c r="BP7" s="18">
        <f>Marketplace_customer!BO7/Marketplace_customer!BO$2</f>
        <v>0</v>
      </c>
      <c r="BQ7" s="18">
        <f>Marketplace_customer!BP7/Marketplace_customer!BP$2</f>
        <v>0</v>
      </c>
      <c r="BR7" s="18">
        <f>Marketplace_customer!BQ7/Marketplace_customer!BQ$2</f>
        <v>0</v>
      </c>
      <c r="BS7" s="18">
        <f>Marketplace_customer!BR7/Marketplace_customer!BR$2</f>
        <v>0</v>
      </c>
      <c r="BT7" s="18">
        <f>Marketplace_customer!BS7/Marketplace_customer!BS$2</f>
        <v>0</v>
      </c>
      <c r="BU7" s="18">
        <f>Marketplace_customer!BT7/Marketplace_customer!BT$2</f>
        <v>0</v>
      </c>
      <c r="BV7" s="18">
        <f>Marketplace_customer!BU7/Marketplace_customer!BU$2</f>
        <v>0</v>
      </c>
      <c r="BW7" s="19"/>
      <c r="BX7" s="20">
        <f t="shared" ca="1" si="7"/>
        <v>0</v>
      </c>
      <c r="BY7" s="20">
        <f t="shared" ca="1" si="8"/>
        <v>0</v>
      </c>
      <c r="BZ7" s="20">
        <f t="shared" ca="1" si="9"/>
        <v>0</v>
      </c>
      <c r="CA7" s="20">
        <f t="shared" ca="1" si="10"/>
        <v>0</v>
      </c>
      <c r="CB7" s="20">
        <f t="shared" ca="1" si="11"/>
        <v>0</v>
      </c>
      <c r="CC7" s="20">
        <f t="shared" ca="1" si="12"/>
        <v>0</v>
      </c>
      <c r="CD7" s="20">
        <f t="shared" ca="1" si="13"/>
        <v>0</v>
      </c>
      <c r="CE7" s="20">
        <f t="shared" ca="1" si="14"/>
        <v>0</v>
      </c>
      <c r="CF7" s="20">
        <f t="shared" ca="1" si="15"/>
        <v>0</v>
      </c>
      <c r="CG7" s="20">
        <f t="shared" ca="1" si="16"/>
        <v>0</v>
      </c>
      <c r="CH7" s="20">
        <f t="shared" ca="1" si="17"/>
        <v>207399529533.92438</v>
      </c>
      <c r="CI7" s="20">
        <f t="shared" ca="1" si="18"/>
        <v>0</v>
      </c>
      <c r="CJ7" s="20">
        <f t="shared" ca="1" si="19"/>
        <v>355447491.5735662</v>
      </c>
      <c r="CK7" s="20">
        <f t="shared" ca="1" si="20"/>
        <v>0</v>
      </c>
      <c r="CL7" s="20">
        <f t="shared" ca="1" si="21"/>
        <v>0</v>
      </c>
      <c r="CM7" s="20">
        <f t="shared" ca="1" si="22"/>
        <v>0</v>
      </c>
      <c r="CN7" s="20">
        <f t="shared" ca="1" si="23"/>
        <v>90461496924.371277</v>
      </c>
      <c r="CO7" s="20">
        <f t="shared" ca="1" si="24"/>
        <v>0</v>
      </c>
      <c r="CP7" s="20">
        <f t="shared" ca="1" si="25"/>
        <v>0</v>
      </c>
      <c r="CQ7" s="20">
        <f t="shared" ca="1" si="26"/>
        <v>0</v>
      </c>
      <c r="CR7" s="20">
        <f t="shared" ca="1" si="27"/>
        <v>0</v>
      </c>
      <c r="CS7" s="20">
        <f t="shared" ca="1" si="28"/>
        <v>5214337228.3764954</v>
      </c>
      <c r="CT7" s="20">
        <f t="shared" ca="1" si="29"/>
        <v>0</v>
      </c>
      <c r="CU7" s="20">
        <f t="shared" ca="1" si="30"/>
        <v>0</v>
      </c>
      <c r="CV7" s="20">
        <f t="shared" ca="1" si="31"/>
        <v>0</v>
      </c>
      <c r="CW7" s="20">
        <f t="shared" ca="1" si="32"/>
        <v>0</v>
      </c>
      <c r="CX7" s="20">
        <f t="shared" ca="1" si="33"/>
        <v>0</v>
      </c>
      <c r="CY7" s="20">
        <f t="shared" ca="1" si="34"/>
        <v>0</v>
      </c>
      <c r="CZ7" s="20">
        <f t="shared" ca="1" si="35"/>
        <v>0</v>
      </c>
      <c r="DA7" s="20">
        <f t="shared" ca="1" si="36"/>
        <v>0</v>
      </c>
      <c r="DB7" s="20">
        <f t="shared" ca="1" si="37"/>
        <v>1260433223.3015301</v>
      </c>
      <c r="DC7" s="20">
        <f t="shared" ca="1" si="38"/>
        <v>0</v>
      </c>
      <c r="DD7" s="20">
        <f t="shared" ca="1" si="39"/>
        <v>0</v>
      </c>
      <c r="DE7" s="20">
        <f t="shared" ca="1" si="40"/>
        <v>0</v>
      </c>
      <c r="DF7" s="20">
        <f t="shared" ca="1" si="41"/>
        <v>0</v>
      </c>
      <c r="DG7" s="20">
        <f t="shared" ca="1" si="42"/>
        <v>0</v>
      </c>
      <c r="DH7" s="20">
        <f t="shared" ca="1" si="43"/>
        <v>0</v>
      </c>
      <c r="DI7" s="20">
        <f t="shared" ca="1" si="44"/>
        <v>0</v>
      </c>
      <c r="DJ7" s="20">
        <f t="shared" ca="1" si="45"/>
        <v>0</v>
      </c>
      <c r="DK7" s="20">
        <f t="shared" ca="1" si="46"/>
        <v>0</v>
      </c>
      <c r="DL7" s="20">
        <f t="shared" ca="1" si="47"/>
        <v>0</v>
      </c>
      <c r="DM7" s="20">
        <f t="shared" ca="1" si="48"/>
        <v>0</v>
      </c>
      <c r="DN7" s="20">
        <f t="shared" ca="1" si="49"/>
        <v>0</v>
      </c>
      <c r="DO7" s="20">
        <f t="shared" ca="1" si="50"/>
        <v>0</v>
      </c>
      <c r="DP7" s="20">
        <f t="shared" ca="1" si="51"/>
        <v>0</v>
      </c>
      <c r="DQ7" s="20">
        <f t="shared" ca="1" si="52"/>
        <v>0</v>
      </c>
      <c r="DR7" s="20">
        <f t="shared" ca="1" si="53"/>
        <v>0</v>
      </c>
      <c r="DS7" s="20">
        <f t="shared" ca="1" si="54"/>
        <v>23332447072.566498</v>
      </c>
      <c r="DT7" s="20">
        <f t="shared" ca="1" si="55"/>
        <v>0</v>
      </c>
      <c r="DU7" s="20">
        <f t="shared" ca="1" si="56"/>
        <v>0</v>
      </c>
      <c r="DV7" s="20">
        <f t="shared" ca="1" si="57"/>
        <v>0</v>
      </c>
      <c r="DW7" s="20">
        <f t="shared" ca="1" si="58"/>
        <v>0</v>
      </c>
      <c r="DX7" s="20">
        <f t="shared" ca="1" si="59"/>
        <v>0</v>
      </c>
      <c r="DY7" s="20">
        <f t="shared" ca="1" si="60"/>
        <v>0</v>
      </c>
      <c r="DZ7" s="20">
        <f t="shared" ca="1" si="61"/>
        <v>0</v>
      </c>
      <c r="EA7" s="20">
        <f t="shared" ca="1" si="62"/>
        <v>0</v>
      </c>
      <c r="EB7" s="20">
        <f t="shared" ca="1" si="63"/>
        <v>0</v>
      </c>
      <c r="EC7" s="20">
        <f t="shared" ca="1" si="64"/>
        <v>0</v>
      </c>
      <c r="ED7" s="20">
        <f t="shared" ca="1" si="65"/>
        <v>0</v>
      </c>
      <c r="EE7" s="20">
        <f t="shared" ca="1" si="66"/>
        <v>0</v>
      </c>
      <c r="EF7" s="20">
        <f t="shared" ca="1" si="67"/>
        <v>0</v>
      </c>
      <c r="EG7" s="20">
        <f t="shared" ca="1" si="68"/>
        <v>0</v>
      </c>
      <c r="EH7" s="20">
        <f t="shared" ca="1" si="69"/>
        <v>0</v>
      </c>
      <c r="EI7" s="20">
        <f t="shared" ca="1" si="70"/>
        <v>0</v>
      </c>
      <c r="EJ7" s="20">
        <f t="shared" ca="1" si="71"/>
        <v>0</v>
      </c>
      <c r="EK7" s="20">
        <f t="shared" ca="1" si="72"/>
        <v>0</v>
      </c>
      <c r="EL7" s="20">
        <f t="shared" ca="1" si="73"/>
        <v>0</v>
      </c>
      <c r="EM7" s="20">
        <f t="shared" ca="1" si="74"/>
        <v>0</v>
      </c>
      <c r="EN7" s="20">
        <f t="shared" ca="1" si="75"/>
        <v>0</v>
      </c>
      <c r="EO7" s="20">
        <f t="shared" ca="1" si="76"/>
        <v>0</v>
      </c>
      <c r="EP7" s="20">
        <f t="shared" ca="1" si="77"/>
        <v>0</v>
      </c>
      <c r="EQ7" s="17" t="s">
        <v>89</v>
      </c>
      <c r="ER7" s="19">
        <v>3182446938568.6001</v>
      </c>
      <c r="ES7" s="20">
        <f t="shared" si="6"/>
        <v>28.788671494361871</v>
      </c>
    </row>
    <row r="8" spans="1:149" ht="15">
      <c r="A8" s="21" t="s">
        <v>163</v>
      </c>
      <c r="B8" s="14">
        <f ca="1">IFERROR(__xludf.dummyfunction("QUERY('Countries markets attractivenes'!A:C, ""SELECT C WHERE A = '""&amp;A8&amp;""'"",0)"),22.5821573326411)</f>
        <v>22.582157332641099</v>
      </c>
      <c r="C8" s="14">
        <f t="shared" ca="1" si="78"/>
        <v>6416619976.7893114</v>
      </c>
      <c r="D8" s="18">
        <f>Marketplace_customer!C8/Marketplace_customer!C$2</f>
        <v>0</v>
      </c>
      <c r="E8" s="18">
        <f>Marketplace_customer!D8/Marketplace_customer!D$2</f>
        <v>0</v>
      </c>
      <c r="F8" s="18">
        <f>Marketplace_customer!E8/Marketplace_customer!E$2</f>
        <v>0</v>
      </c>
      <c r="G8" s="18">
        <f>Marketplace_customer!F8/Marketplace_customer!F$2</f>
        <v>0</v>
      </c>
      <c r="H8" s="18">
        <f>Marketplace_customer!G8/Marketplace_customer!G$2</f>
        <v>0</v>
      </c>
      <c r="I8" s="18">
        <f>Marketplace_customer!H8/Marketplace_customer!H$2</f>
        <v>0</v>
      </c>
      <c r="J8" s="18">
        <f>Marketplace_customer!I8/Marketplace_customer!I$2</f>
        <v>0</v>
      </c>
      <c r="K8" s="18">
        <f>Marketplace_customer!J8/Marketplace_customer!J$2</f>
        <v>0</v>
      </c>
      <c r="L8" s="18">
        <f>Marketplace_customer!K8/Marketplace_customer!K$2</f>
        <v>0</v>
      </c>
      <c r="M8" s="18">
        <f>Marketplace_customer!L8/Marketplace_customer!L$2</f>
        <v>0</v>
      </c>
      <c r="N8" s="18">
        <f>Marketplace_customer!M8/Marketplace_customer!M$2</f>
        <v>0</v>
      </c>
      <c r="O8" s="18">
        <f>Marketplace_customer!N8/Marketplace_customer!N$2</f>
        <v>0</v>
      </c>
      <c r="P8" s="18">
        <f>Marketplace_customer!O8/Marketplace_customer!O$2</f>
        <v>1.0638297872340427E-4</v>
      </c>
      <c r="Q8" s="18">
        <f>Marketplace_customer!P8/Marketplace_customer!P$2</f>
        <v>0</v>
      </c>
      <c r="R8" s="18">
        <f>Marketplace_customer!Q8/Marketplace_customer!Q$2</f>
        <v>0</v>
      </c>
      <c r="S8" s="18">
        <f>Marketplace_customer!R8/Marketplace_customer!R$2</f>
        <v>0</v>
      </c>
      <c r="T8" s="18">
        <f>Marketplace_customer!S8/Marketplace_customer!S$2</f>
        <v>0</v>
      </c>
      <c r="U8" s="18">
        <f>Marketplace_customer!T8/Marketplace_customer!T$2</f>
        <v>0</v>
      </c>
      <c r="V8" s="18">
        <f>Marketplace_customer!U8/Marketplace_customer!U$2</f>
        <v>0</v>
      </c>
      <c r="W8" s="18">
        <f>Marketplace_customer!V8/Marketplace_customer!V$2</f>
        <v>0</v>
      </c>
      <c r="X8" s="18">
        <f>Marketplace_customer!W8/Marketplace_customer!W$2</f>
        <v>0</v>
      </c>
      <c r="Y8" s="18">
        <f>Marketplace_customer!X8/Marketplace_customer!X$2</f>
        <v>0</v>
      </c>
      <c r="Z8" s="18">
        <f>Marketplace_customer!Y8/Marketplace_customer!Y$2</f>
        <v>0</v>
      </c>
      <c r="AA8" s="18">
        <f>Marketplace_customer!Z8/Marketplace_customer!Z$2</f>
        <v>0</v>
      </c>
      <c r="AB8" s="18">
        <f>Marketplace_customer!AA8/Marketplace_customer!AA$2</f>
        <v>0</v>
      </c>
      <c r="AC8" s="18">
        <f>Marketplace_customer!AB8/Marketplace_customer!AB$2</f>
        <v>0</v>
      </c>
      <c r="AD8" s="18">
        <f>Marketplace_customer!AC8/Marketplace_customer!AC$2</f>
        <v>0</v>
      </c>
      <c r="AE8" s="18">
        <f>Marketplace_customer!AD8/Marketplace_customer!AD$2</f>
        <v>0</v>
      </c>
      <c r="AF8" s="18">
        <f>Marketplace_customer!AE8/Marketplace_customer!AE$2</f>
        <v>0</v>
      </c>
      <c r="AG8" s="18">
        <f>Marketplace_customer!AF8/Marketplace_customer!AF$2</f>
        <v>0</v>
      </c>
      <c r="AH8" s="18">
        <f>Marketplace_customer!AG8/Marketplace_customer!AG$2</f>
        <v>0</v>
      </c>
      <c r="AI8" s="18">
        <f>Marketplace_customer!AH8/Marketplace_customer!AH$2</f>
        <v>0</v>
      </c>
      <c r="AJ8" s="18">
        <f>Marketplace_customer!AI8/Marketplace_customer!AI$2</f>
        <v>0</v>
      </c>
      <c r="AK8" s="18">
        <f>Marketplace_customer!AJ8/Marketplace_customer!AJ$2</f>
        <v>0</v>
      </c>
      <c r="AL8" s="18">
        <f>Marketplace_customer!AK8/Marketplace_customer!AK$2</f>
        <v>0</v>
      </c>
      <c r="AM8" s="18">
        <f>Marketplace_customer!AL8/Marketplace_customer!AL$2</f>
        <v>0</v>
      </c>
      <c r="AN8" s="18">
        <f>Marketplace_customer!AM8/Marketplace_customer!AM$2</f>
        <v>0</v>
      </c>
      <c r="AO8" s="18">
        <f>Marketplace_customer!AN8/Marketplace_customer!AN$2</f>
        <v>0</v>
      </c>
      <c r="AP8" s="18">
        <f>Marketplace_customer!AO8/Marketplace_customer!AO$2</f>
        <v>0</v>
      </c>
      <c r="AQ8" s="18">
        <f>Marketplace_customer!AP8/Marketplace_customer!AP$2</f>
        <v>0</v>
      </c>
      <c r="AR8" s="18">
        <f>Marketplace_customer!AQ8/Marketplace_customer!AQ$2</f>
        <v>0</v>
      </c>
      <c r="AS8" s="18">
        <f>Marketplace_customer!AR8/Marketplace_customer!AR$2</f>
        <v>0</v>
      </c>
      <c r="AT8" s="18">
        <f>Marketplace_customer!AS8/Marketplace_customer!AS$2</f>
        <v>0</v>
      </c>
      <c r="AU8" s="18">
        <f>Marketplace_customer!AT8/Marketplace_customer!AT$2</f>
        <v>0</v>
      </c>
      <c r="AV8" s="18">
        <f>Marketplace_customer!AU8/Marketplace_customer!AU$2</f>
        <v>0</v>
      </c>
      <c r="AW8" s="18">
        <f>Marketplace_customer!AV8/Marketplace_customer!AV$2</f>
        <v>0</v>
      </c>
      <c r="AX8" s="18">
        <f>Marketplace_customer!AW8/Marketplace_customer!AW$2</f>
        <v>0</v>
      </c>
      <c r="AY8" s="18">
        <f>Marketplace_customer!AX8/Marketplace_customer!AX$2</f>
        <v>0</v>
      </c>
      <c r="AZ8" s="18">
        <f>Marketplace_customer!AY8/Marketplace_customer!AY$2</f>
        <v>0</v>
      </c>
      <c r="BA8" s="18">
        <f>Marketplace_customer!AZ8/Marketplace_customer!AZ$2</f>
        <v>0</v>
      </c>
      <c r="BB8" s="18">
        <f>Marketplace_customer!BA8/Marketplace_customer!BA$2</f>
        <v>0</v>
      </c>
      <c r="BC8" s="18">
        <f>Marketplace_customer!BB8/Marketplace_customer!BB$2</f>
        <v>0</v>
      </c>
      <c r="BD8" s="18">
        <f>Marketplace_customer!BC8/Marketplace_customer!BC$2</f>
        <v>0</v>
      </c>
      <c r="BE8" s="18">
        <f>Marketplace_customer!BD8/Marketplace_customer!BD$2</f>
        <v>0</v>
      </c>
      <c r="BF8" s="18">
        <f>Marketplace_customer!BE8/Marketplace_customer!BE$2</f>
        <v>0</v>
      </c>
      <c r="BG8" s="18">
        <f>Marketplace_customer!BF8/Marketplace_customer!BF$2</f>
        <v>0</v>
      </c>
      <c r="BH8" s="18">
        <f>Marketplace_customer!BG8/Marketplace_customer!BG$2</f>
        <v>0</v>
      </c>
      <c r="BI8" s="18">
        <f>Marketplace_customer!BH8/Marketplace_customer!BH$2</f>
        <v>0</v>
      </c>
      <c r="BJ8" s="18">
        <f>Marketplace_customer!BI8/Marketplace_customer!BI$2</f>
        <v>0</v>
      </c>
      <c r="BK8" s="18">
        <f>Marketplace_customer!BJ8/Marketplace_customer!BJ$2</f>
        <v>0</v>
      </c>
      <c r="BL8" s="18">
        <f>Marketplace_customer!BK8/Marketplace_customer!BK$2</f>
        <v>0</v>
      </c>
      <c r="BM8" s="18">
        <f>Marketplace_customer!BL8/Marketplace_customer!BL$2</f>
        <v>0</v>
      </c>
      <c r="BN8" s="18">
        <f>Marketplace_customer!BM8/Marketplace_customer!BM$2</f>
        <v>0</v>
      </c>
      <c r="BO8" s="18">
        <f>Marketplace_customer!BN8/Marketplace_customer!BN$2</f>
        <v>0</v>
      </c>
      <c r="BP8" s="18">
        <f>Marketplace_customer!BO8/Marketplace_customer!BO$2</f>
        <v>0</v>
      </c>
      <c r="BQ8" s="18">
        <f>Marketplace_customer!BP8/Marketplace_customer!BP$2</f>
        <v>0</v>
      </c>
      <c r="BR8" s="18">
        <f>Marketplace_customer!BQ8/Marketplace_customer!BQ$2</f>
        <v>0</v>
      </c>
      <c r="BS8" s="18">
        <f>Marketplace_customer!BR8/Marketplace_customer!BR$2</f>
        <v>0</v>
      </c>
      <c r="BT8" s="18">
        <f>Marketplace_customer!BS8/Marketplace_customer!BS$2</f>
        <v>0</v>
      </c>
      <c r="BU8" s="18">
        <f>Marketplace_customer!BT8/Marketplace_customer!BT$2</f>
        <v>0</v>
      </c>
      <c r="BV8" s="18">
        <f>Marketplace_customer!BU8/Marketplace_customer!BU$2</f>
        <v>0</v>
      </c>
      <c r="BW8" s="19"/>
      <c r="BX8" s="20">
        <f t="shared" ca="1" si="7"/>
        <v>0</v>
      </c>
      <c r="BY8" s="20">
        <f t="shared" ca="1" si="8"/>
        <v>0</v>
      </c>
      <c r="BZ8" s="20">
        <f t="shared" ca="1" si="9"/>
        <v>0</v>
      </c>
      <c r="CA8" s="20">
        <f t="shared" ca="1" si="10"/>
        <v>0</v>
      </c>
      <c r="CB8" s="20">
        <f t="shared" ca="1" si="11"/>
        <v>0</v>
      </c>
      <c r="CC8" s="20">
        <f t="shared" ca="1" si="12"/>
        <v>0</v>
      </c>
      <c r="CD8" s="20">
        <f t="shared" ca="1" si="13"/>
        <v>0</v>
      </c>
      <c r="CE8" s="20">
        <f t="shared" ca="1" si="14"/>
        <v>0</v>
      </c>
      <c r="CF8" s="20">
        <f t="shared" ca="1" si="15"/>
        <v>0</v>
      </c>
      <c r="CG8" s="20">
        <f t="shared" ca="1" si="16"/>
        <v>0</v>
      </c>
      <c r="CH8" s="20">
        <f t="shared" ca="1" si="17"/>
        <v>0</v>
      </c>
      <c r="CI8" s="20">
        <f t="shared" ca="1" si="18"/>
        <v>0</v>
      </c>
      <c r="CJ8" s="20">
        <f t="shared" ca="1" si="19"/>
        <v>682619.14646694809</v>
      </c>
      <c r="CK8" s="20">
        <f t="shared" ca="1" si="20"/>
        <v>0</v>
      </c>
      <c r="CL8" s="20">
        <f t="shared" ca="1" si="21"/>
        <v>0</v>
      </c>
      <c r="CM8" s="20">
        <f t="shared" ca="1" si="22"/>
        <v>0</v>
      </c>
      <c r="CN8" s="20">
        <f t="shared" ca="1" si="23"/>
        <v>0</v>
      </c>
      <c r="CO8" s="20">
        <f t="shared" ca="1" si="24"/>
        <v>0</v>
      </c>
      <c r="CP8" s="20">
        <f t="shared" ca="1" si="25"/>
        <v>0</v>
      </c>
      <c r="CQ8" s="20">
        <f t="shared" ca="1" si="26"/>
        <v>0</v>
      </c>
      <c r="CR8" s="20">
        <f t="shared" ca="1" si="27"/>
        <v>0</v>
      </c>
      <c r="CS8" s="20">
        <f t="shared" ca="1" si="28"/>
        <v>0</v>
      </c>
      <c r="CT8" s="20">
        <f t="shared" ca="1" si="29"/>
        <v>0</v>
      </c>
      <c r="CU8" s="20">
        <f t="shared" ca="1" si="30"/>
        <v>0</v>
      </c>
      <c r="CV8" s="20">
        <f t="shared" ca="1" si="31"/>
        <v>0</v>
      </c>
      <c r="CW8" s="20">
        <f t="shared" ca="1" si="32"/>
        <v>0</v>
      </c>
      <c r="CX8" s="20">
        <f t="shared" ca="1" si="33"/>
        <v>0</v>
      </c>
      <c r="CY8" s="20">
        <f t="shared" ca="1" si="34"/>
        <v>0</v>
      </c>
      <c r="CZ8" s="20">
        <f t="shared" ca="1" si="35"/>
        <v>0</v>
      </c>
      <c r="DA8" s="20">
        <f t="shared" ca="1" si="36"/>
        <v>0</v>
      </c>
      <c r="DB8" s="20">
        <f t="shared" ca="1" si="37"/>
        <v>0</v>
      </c>
      <c r="DC8" s="20">
        <f t="shared" ca="1" si="38"/>
        <v>0</v>
      </c>
      <c r="DD8" s="20">
        <f t="shared" ca="1" si="39"/>
        <v>0</v>
      </c>
      <c r="DE8" s="20">
        <f t="shared" ca="1" si="40"/>
        <v>0</v>
      </c>
      <c r="DF8" s="20">
        <f t="shared" ca="1" si="41"/>
        <v>0</v>
      </c>
      <c r="DG8" s="20">
        <f t="shared" ca="1" si="42"/>
        <v>0</v>
      </c>
      <c r="DH8" s="20">
        <f t="shared" ca="1" si="43"/>
        <v>0</v>
      </c>
      <c r="DI8" s="20">
        <f t="shared" ca="1" si="44"/>
        <v>0</v>
      </c>
      <c r="DJ8" s="20">
        <f t="shared" ca="1" si="45"/>
        <v>0</v>
      </c>
      <c r="DK8" s="20">
        <f t="shared" ca="1" si="46"/>
        <v>0</v>
      </c>
      <c r="DL8" s="20">
        <f t="shared" ca="1" si="47"/>
        <v>0</v>
      </c>
      <c r="DM8" s="20">
        <f t="shared" ca="1" si="48"/>
        <v>0</v>
      </c>
      <c r="DN8" s="20">
        <f t="shared" ca="1" si="49"/>
        <v>0</v>
      </c>
      <c r="DO8" s="20">
        <f t="shared" ca="1" si="50"/>
        <v>0</v>
      </c>
      <c r="DP8" s="20">
        <f t="shared" ca="1" si="51"/>
        <v>0</v>
      </c>
      <c r="DQ8" s="20">
        <f t="shared" ca="1" si="52"/>
        <v>0</v>
      </c>
      <c r="DR8" s="20">
        <f t="shared" ca="1" si="53"/>
        <v>0</v>
      </c>
      <c r="DS8" s="20">
        <f t="shared" ca="1" si="54"/>
        <v>0</v>
      </c>
      <c r="DT8" s="20">
        <f t="shared" ca="1" si="55"/>
        <v>0</v>
      </c>
      <c r="DU8" s="20">
        <f t="shared" ca="1" si="56"/>
        <v>0</v>
      </c>
      <c r="DV8" s="20">
        <f t="shared" ca="1" si="57"/>
        <v>0</v>
      </c>
      <c r="DW8" s="20">
        <f t="shared" ca="1" si="58"/>
        <v>0</v>
      </c>
      <c r="DX8" s="20">
        <f t="shared" ca="1" si="59"/>
        <v>0</v>
      </c>
      <c r="DY8" s="20">
        <f t="shared" ca="1" si="60"/>
        <v>0</v>
      </c>
      <c r="DZ8" s="20">
        <f t="shared" ca="1" si="61"/>
        <v>0</v>
      </c>
      <c r="EA8" s="20">
        <f t="shared" ca="1" si="62"/>
        <v>0</v>
      </c>
      <c r="EB8" s="20">
        <f t="shared" ca="1" si="63"/>
        <v>0</v>
      </c>
      <c r="EC8" s="20">
        <f t="shared" ca="1" si="64"/>
        <v>0</v>
      </c>
      <c r="ED8" s="20">
        <f t="shared" ca="1" si="65"/>
        <v>0</v>
      </c>
      <c r="EE8" s="20">
        <f t="shared" ca="1" si="66"/>
        <v>0</v>
      </c>
      <c r="EF8" s="20">
        <f t="shared" ca="1" si="67"/>
        <v>0</v>
      </c>
      <c r="EG8" s="20">
        <f t="shared" ca="1" si="68"/>
        <v>0</v>
      </c>
      <c r="EH8" s="20">
        <f t="shared" ca="1" si="69"/>
        <v>0</v>
      </c>
      <c r="EI8" s="20">
        <f t="shared" ca="1" si="70"/>
        <v>0</v>
      </c>
      <c r="EJ8" s="20">
        <f t="shared" ca="1" si="71"/>
        <v>0</v>
      </c>
      <c r="EK8" s="20">
        <f t="shared" ca="1" si="72"/>
        <v>0</v>
      </c>
      <c r="EL8" s="20">
        <f t="shared" ca="1" si="73"/>
        <v>0</v>
      </c>
      <c r="EM8" s="20">
        <f t="shared" ca="1" si="74"/>
        <v>0</v>
      </c>
      <c r="EN8" s="20">
        <f t="shared" ca="1" si="75"/>
        <v>0</v>
      </c>
      <c r="EO8" s="20">
        <f t="shared" ca="1" si="76"/>
        <v>0</v>
      </c>
      <c r="EP8" s="20">
        <f t="shared" ca="1" si="77"/>
        <v>0</v>
      </c>
      <c r="EQ8" s="17" t="s">
        <v>90</v>
      </c>
      <c r="ER8" s="19">
        <v>1264189235376.3401</v>
      </c>
      <c r="ES8" s="20">
        <f t="shared" si="6"/>
        <v>27.865452111979476</v>
      </c>
    </row>
    <row r="9" spans="1:149" ht="15">
      <c r="A9" s="21" t="s">
        <v>164</v>
      </c>
      <c r="B9" s="14">
        <f ca="1">IFERROR(__xludf.dummyfunction("QUERY('Countries markets attractivenes'!A:C, ""SELECT C WHERE A = '""&amp;A9&amp;""'"",0)"),28.1901251855789)</f>
        <v>28.1901251855789</v>
      </c>
      <c r="C9" s="14">
        <f t="shared" ca="1" si="78"/>
        <v>1749104722085.7014</v>
      </c>
      <c r="D9" s="18">
        <f>Marketplace_customer!C9/Marketplace_customer!C$2</f>
        <v>0</v>
      </c>
      <c r="E9" s="18">
        <f>Marketplace_customer!D9/Marketplace_customer!D$2</f>
        <v>0</v>
      </c>
      <c r="F9" s="18">
        <f>Marketplace_customer!E9/Marketplace_customer!E$2</f>
        <v>0</v>
      </c>
      <c r="G9" s="18">
        <f>Marketplace_customer!F9/Marketplace_customer!F$2</f>
        <v>0.98299319727891155</v>
      </c>
      <c r="H9" s="18">
        <f>Marketplace_customer!G9/Marketplace_customer!G$2</f>
        <v>0</v>
      </c>
      <c r="I9" s="18">
        <f>Marketplace_customer!H9/Marketplace_customer!H$2</f>
        <v>0</v>
      </c>
      <c r="J9" s="18">
        <f>Marketplace_customer!I9/Marketplace_customer!I$2</f>
        <v>0</v>
      </c>
      <c r="K9" s="18">
        <f>Marketplace_customer!J9/Marketplace_customer!J$2</f>
        <v>0</v>
      </c>
      <c r="L9" s="18">
        <f>Marketplace_customer!K9/Marketplace_customer!K$2</f>
        <v>0</v>
      </c>
      <c r="M9" s="18">
        <f>Marketplace_customer!L9/Marketplace_customer!L$2</f>
        <v>0</v>
      </c>
      <c r="N9" s="18">
        <f>Marketplace_customer!M9/Marketplace_customer!M$2</f>
        <v>0</v>
      </c>
      <c r="O9" s="18">
        <f>Marketplace_customer!N9/Marketplace_customer!N$2</f>
        <v>0</v>
      </c>
      <c r="P9" s="18">
        <f>Marketplace_customer!O9/Marketplace_customer!O$2</f>
        <v>2.872340425531915E-3</v>
      </c>
      <c r="Q9" s="18">
        <f>Marketplace_customer!P9/Marketplace_customer!P$2</f>
        <v>0.99660633484162886</v>
      </c>
      <c r="R9" s="18">
        <f>Marketplace_customer!Q9/Marketplace_customer!Q$2</f>
        <v>0</v>
      </c>
      <c r="S9" s="18">
        <f>Marketplace_customer!R9/Marketplace_customer!R$2</f>
        <v>0</v>
      </c>
      <c r="T9" s="18">
        <f>Marketplace_customer!S9/Marketplace_customer!S$2</f>
        <v>0</v>
      </c>
      <c r="U9" s="18">
        <f>Marketplace_customer!T9/Marketplace_customer!T$2</f>
        <v>0</v>
      </c>
      <c r="V9" s="18">
        <f>Marketplace_customer!U9/Marketplace_customer!U$2</f>
        <v>0</v>
      </c>
      <c r="W9" s="18">
        <f>Marketplace_customer!V9/Marketplace_customer!V$2</f>
        <v>0.99716713881019847</v>
      </c>
      <c r="X9" s="18">
        <f>Marketplace_customer!W9/Marketplace_customer!W$2</f>
        <v>0</v>
      </c>
      <c r="Y9" s="18">
        <f>Marketplace_customer!X9/Marketplace_customer!X$2</f>
        <v>2.3689727463312368E-3</v>
      </c>
      <c r="Z9" s="18">
        <f>Marketplace_customer!Y9/Marketplace_customer!Y$2</f>
        <v>0</v>
      </c>
      <c r="AA9" s="18">
        <f>Marketplace_customer!Z9/Marketplace_customer!Z$2</f>
        <v>0</v>
      </c>
      <c r="AB9" s="18">
        <f>Marketplace_customer!AA9/Marketplace_customer!AA$2</f>
        <v>2.6582278481012658E-2</v>
      </c>
      <c r="AC9" s="18">
        <f>Marketplace_customer!AB9/Marketplace_customer!AB$2</f>
        <v>0</v>
      </c>
      <c r="AD9" s="18">
        <f>Marketplace_customer!AC9/Marketplace_customer!AC$2</f>
        <v>6.918238993710692E-3</v>
      </c>
      <c r="AE9" s="18">
        <f>Marketplace_customer!AD9/Marketplace_customer!AD$2</f>
        <v>0</v>
      </c>
      <c r="AF9" s="18">
        <f>Marketplace_customer!AE9/Marketplace_customer!AE$2</f>
        <v>0</v>
      </c>
      <c r="AG9" s="18">
        <f>Marketplace_customer!AF9/Marketplace_customer!AF$2</f>
        <v>0</v>
      </c>
      <c r="AH9" s="18">
        <f>Marketplace_customer!AG9/Marketplace_customer!AG$2</f>
        <v>0</v>
      </c>
      <c r="AI9" s="18">
        <f>Marketplace_customer!AH9/Marketplace_customer!AH$2</f>
        <v>0.99305555555555558</v>
      </c>
      <c r="AJ9" s="18">
        <f>Marketplace_customer!AI9/Marketplace_customer!AI$2</f>
        <v>0</v>
      </c>
      <c r="AK9" s="18">
        <f>Marketplace_customer!AJ9/Marketplace_customer!AJ$2</f>
        <v>0</v>
      </c>
      <c r="AL9" s="18">
        <f>Marketplace_customer!AK9/Marketplace_customer!AK$2</f>
        <v>0</v>
      </c>
      <c r="AM9" s="18">
        <f>Marketplace_customer!AL9/Marketplace_customer!AL$2</f>
        <v>3.6153846153846154E-2</v>
      </c>
      <c r="AN9" s="18">
        <f>Marketplace_customer!AM9/Marketplace_customer!AM$2</f>
        <v>0</v>
      </c>
      <c r="AO9" s="18">
        <f>Marketplace_customer!AN9/Marketplace_customer!AN$2</f>
        <v>0</v>
      </c>
      <c r="AP9" s="18">
        <f>Marketplace_customer!AO9/Marketplace_customer!AO$2</f>
        <v>0</v>
      </c>
      <c r="AQ9" s="18">
        <f>Marketplace_customer!AP9/Marketplace_customer!AP$2</f>
        <v>0</v>
      </c>
      <c r="AR9" s="18">
        <f>Marketplace_customer!AQ9/Marketplace_customer!AQ$2</f>
        <v>0</v>
      </c>
      <c r="AS9" s="18">
        <f>Marketplace_customer!AR9/Marketplace_customer!AR$2</f>
        <v>0</v>
      </c>
      <c r="AT9" s="18">
        <f>Marketplace_customer!AS9/Marketplace_customer!AS$2</f>
        <v>0</v>
      </c>
      <c r="AU9" s="18">
        <f>Marketplace_customer!AT9/Marketplace_customer!AT$2</f>
        <v>0</v>
      </c>
      <c r="AV9" s="18">
        <f>Marketplace_customer!AU9/Marketplace_customer!AU$2</f>
        <v>0</v>
      </c>
      <c r="AW9" s="18">
        <f>Marketplace_customer!AV9/Marketplace_customer!AV$2</f>
        <v>0</v>
      </c>
      <c r="AX9" s="18">
        <f>Marketplace_customer!AW9/Marketplace_customer!AW$2</f>
        <v>0.99504950495049516</v>
      </c>
      <c r="AY9" s="18">
        <f>Marketplace_customer!AX9/Marketplace_customer!AX$2</f>
        <v>0</v>
      </c>
      <c r="AZ9" s="18">
        <f>Marketplace_customer!AY9/Marketplace_customer!AY$2</f>
        <v>0.48378812730917703</v>
      </c>
      <c r="BA9" s="18">
        <f>Marketplace_customer!AZ9/Marketplace_customer!AZ$2</f>
        <v>0</v>
      </c>
      <c r="BB9" s="18">
        <f>Marketplace_customer!BA9/Marketplace_customer!BA$2</f>
        <v>0</v>
      </c>
      <c r="BC9" s="18">
        <f>Marketplace_customer!BB9/Marketplace_customer!BB$2</f>
        <v>0</v>
      </c>
      <c r="BD9" s="18">
        <f>Marketplace_customer!BC9/Marketplace_customer!BC$2</f>
        <v>0</v>
      </c>
      <c r="BE9" s="18">
        <f>Marketplace_customer!BD9/Marketplace_customer!BD$2</f>
        <v>0</v>
      </c>
      <c r="BF9" s="18">
        <f>Marketplace_customer!BE9/Marketplace_customer!BE$2</f>
        <v>0</v>
      </c>
      <c r="BG9" s="18">
        <f>Marketplace_customer!BF9/Marketplace_customer!BF$2</f>
        <v>0.98876404494382031</v>
      </c>
      <c r="BH9" s="18">
        <f>Marketplace_customer!BG9/Marketplace_customer!BG$2</f>
        <v>0</v>
      </c>
      <c r="BI9" s="18">
        <f>Marketplace_customer!BH9/Marketplace_customer!BH$2</f>
        <v>0</v>
      </c>
      <c r="BJ9" s="18">
        <f>Marketplace_customer!BI9/Marketplace_customer!BI$2</f>
        <v>0</v>
      </c>
      <c r="BK9" s="18">
        <f>Marketplace_customer!BJ9/Marketplace_customer!BJ$2</f>
        <v>0.2265970800026425</v>
      </c>
      <c r="BL9" s="18">
        <f>Marketplace_customer!BK9/Marketplace_customer!BK$2</f>
        <v>1</v>
      </c>
      <c r="BM9" s="18">
        <f>Marketplace_customer!BL9/Marketplace_customer!BL$2</f>
        <v>0</v>
      </c>
      <c r="BN9" s="18">
        <f>Marketplace_customer!BM9/Marketplace_customer!BM$2</f>
        <v>0</v>
      </c>
      <c r="BO9" s="18">
        <f>Marketplace_customer!BN9/Marketplace_customer!BN$2</f>
        <v>0</v>
      </c>
      <c r="BP9" s="18">
        <f>Marketplace_customer!BO9/Marketplace_customer!BO$2</f>
        <v>0</v>
      </c>
      <c r="BQ9" s="18">
        <f>Marketplace_customer!BP9/Marketplace_customer!BP$2</f>
        <v>0</v>
      </c>
      <c r="BR9" s="18">
        <f>Marketplace_customer!BQ9/Marketplace_customer!BQ$2</f>
        <v>0</v>
      </c>
      <c r="BS9" s="18">
        <f>Marketplace_customer!BR9/Marketplace_customer!BR$2</f>
        <v>1.2341269841269842E-3</v>
      </c>
      <c r="BT9" s="18">
        <f>Marketplace_customer!BS9/Marketplace_customer!BS$2</f>
        <v>0</v>
      </c>
      <c r="BU9" s="18">
        <f>Marketplace_customer!BT9/Marketplace_customer!BT$2</f>
        <v>0</v>
      </c>
      <c r="BV9" s="18">
        <f>Marketplace_customer!BU9/Marketplace_customer!BU$2</f>
        <v>0</v>
      </c>
      <c r="BW9" s="19"/>
      <c r="BX9" s="20">
        <f t="shared" ca="1" si="7"/>
        <v>0</v>
      </c>
      <c r="BY9" s="20">
        <f t="shared" ca="1" si="8"/>
        <v>0</v>
      </c>
      <c r="BZ9" s="20">
        <f t="shared" ca="1" si="9"/>
        <v>0</v>
      </c>
      <c r="CA9" s="20">
        <f t="shared" ca="1" si="10"/>
        <v>1719358043138.6655</v>
      </c>
      <c r="CB9" s="20">
        <f t="shared" ca="1" si="11"/>
        <v>0</v>
      </c>
      <c r="CC9" s="20">
        <f t="shared" ca="1" si="12"/>
        <v>0</v>
      </c>
      <c r="CD9" s="20">
        <f t="shared" ca="1" si="13"/>
        <v>0</v>
      </c>
      <c r="CE9" s="20">
        <f t="shared" ca="1" si="14"/>
        <v>0</v>
      </c>
      <c r="CF9" s="20">
        <f t="shared" ca="1" si="15"/>
        <v>0</v>
      </c>
      <c r="CG9" s="20">
        <f t="shared" ca="1" si="16"/>
        <v>0</v>
      </c>
      <c r="CH9" s="20">
        <f t="shared" ca="1" si="17"/>
        <v>0</v>
      </c>
      <c r="CI9" s="20">
        <f t="shared" ca="1" si="18"/>
        <v>0</v>
      </c>
      <c r="CJ9" s="20">
        <f t="shared" ca="1" si="19"/>
        <v>5024024201.7355251</v>
      </c>
      <c r="CK9" s="20">
        <f t="shared" ca="1" si="20"/>
        <v>1743168846332.0168</v>
      </c>
      <c r="CL9" s="20">
        <f t="shared" ca="1" si="21"/>
        <v>0</v>
      </c>
      <c r="CM9" s="20">
        <f t="shared" ca="1" si="22"/>
        <v>0</v>
      </c>
      <c r="CN9" s="20">
        <f t="shared" ca="1" si="23"/>
        <v>0</v>
      </c>
      <c r="CO9" s="20">
        <f t="shared" ca="1" si="24"/>
        <v>0</v>
      </c>
      <c r="CP9" s="20">
        <f t="shared" ca="1" si="25"/>
        <v>0</v>
      </c>
      <c r="CQ9" s="20">
        <f t="shared" ca="1" si="26"/>
        <v>1744149751201.6062</v>
      </c>
      <c r="CR9" s="20">
        <f t="shared" ca="1" si="27"/>
        <v>0</v>
      </c>
      <c r="CS9" s="20">
        <f t="shared" ca="1" si="28"/>
        <v>4143581417.1002989</v>
      </c>
      <c r="CT9" s="20">
        <f t="shared" ca="1" si="29"/>
        <v>0</v>
      </c>
      <c r="CU9" s="20">
        <f t="shared" ca="1" si="30"/>
        <v>0</v>
      </c>
      <c r="CV9" s="20">
        <f t="shared" ca="1" si="31"/>
        <v>46495188814.936363</v>
      </c>
      <c r="CW9" s="20">
        <f t="shared" ca="1" si="32"/>
        <v>0</v>
      </c>
      <c r="CX9" s="20">
        <f t="shared" ca="1" si="33"/>
        <v>12100724492.416803</v>
      </c>
      <c r="CY9" s="20">
        <f t="shared" ca="1" si="34"/>
        <v>0</v>
      </c>
      <c r="CZ9" s="20">
        <f t="shared" ca="1" si="35"/>
        <v>0</v>
      </c>
      <c r="DA9" s="20">
        <f t="shared" ca="1" si="36"/>
        <v>0</v>
      </c>
      <c r="DB9" s="20">
        <f t="shared" ca="1" si="37"/>
        <v>0</v>
      </c>
      <c r="DC9" s="20">
        <f t="shared" ca="1" si="38"/>
        <v>1736958161515.6619</v>
      </c>
      <c r="DD9" s="20">
        <f t="shared" ca="1" si="39"/>
        <v>0</v>
      </c>
      <c r="DE9" s="20">
        <f t="shared" ca="1" si="40"/>
        <v>0</v>
      </c>
      <c r="DF9" s="20">
        <f t="shared" ca="1" si="41"/>
        <v>0</v>
      </c>
      <c r="DG9" s="20">
        <f t="shared" ca="1" si="42"/>
        <v>63236863029.252281</v>
      </c>
      <c r="DH9" s="20">
        <f t="shared" ca="1" si="43"/>
        <v>0</v>
      </c>
      <c r="DI9" s="20">
        <f t="shared" ca="1" si="44"/>
        <v>0</v>
      </c>
      <c r="DJ9" s="20">
        <f t="shared" ca="1" si="45"/>
        <v>0</v>
      </c>
      <c r="DK9" s="20">
        <f t="shared" ca="1" si="46"/>
        <v>0</v>
      </c>
      <c r="DL9" s="20">
        <f t="shared" ca="1" si="47"/>
        <v>0</v>
      </c>
      <c r="DM9" s="20">
        <f t="shared" ca="1" si="48"/>
        <v>0</v>
      </c>
      <c r="DN9" s="20">
        <f t="shared" ca="1" si="49"/>
        <v>0</v>
      </c>
      <c r="DO9" s="20">
        <f t="shared" ca="1" si="50"/>
        <v>0</v>
      </c>
      <c r="DP9" s="20">
        <f t="shared" ca="1" si="51"/>
        <v>0</v>
      </c>
      <c r="DQ9" s="20">
        <f t="shared" ca="1" si="52"/>
        <v>0</v>
      </c>
      <c r="DR9" s="20">
        <f t="shared" ca="1" si="53"/>
        <v>1740445787817.9507</v>
      </c>
      <c r="DS9" s="20">
        <f t="shared" ca="1" si="54"/>
        <v>0</v>
      </c>
      <c r="DT9" s="20">
        <f t="shared" ca="1" si="55"/>
        <v>846196097965.47998</v>
      </c>
      <c r="DU9" s="20">
        <f t="shared" ca="1" si="56"/>
        <v>0</v>
      </c>
      <c r="DV9" s="20">
        <f t="shared" ca="1" si="57"/>
        <v>0</v>
      </c>
      <c r="DW9" s="20">
        <f t="shared" ca="1" si="58"/>
        <v>0</v>
      </c>
      <c r="DX9" s="20">
        <f t="shared" ca="1" si="59"/>
        <v>0</v>
      </c>
      <c r="DY9" s="20">
        <f t="shared" ca="1" si="60"/>
        <v>0</v>
      </c>
      <c r="DZ9" s="20">
        <f t="shared" ca="1" si="61"/>
        <v>0</v>
      </c>
      <c r="EA9" s="20">
        <f t="shared" ca="1" si="62"/>
        <v>1729451860039.7949</v>
      </c>
      <c r="EB9" s="20">
        <f t="shared" ca="1" si="63"/>
        <v>0</v>
      </c>
      <c r="EC9" s="20">
        <f t="shared" ca="1" si="64"/>
        <v>0</v>
      </c>
      <c r="ED9" s="20">
        <f t="shared" ca="1" si="65"/>
        <v>0</v>
      </c>
      <c r="EE9" s="20">
        <f t="shared" ca="1" si="66"/>
        <v>396342022643.45349</v>
      </c>
      <c r="EF9" s="20">
        <f t="shared" ca="1" si="67"/>
        <v>1749104722085.7014</v>
      </c>
      <c r="EG9" s="20">
        <f t="shared" ca="1" si="68"/>
        <v>0</v>
      </c>
      <c r="EH9" s="20">
        <f t="shared" ca="1" si="69"/>
        <v>0</v>
      </c>
      <c r="EI9" s="20">
        <f t="shared" ca="1" si="70"/>
        <v>0</v>
      </c>
      <c r="EJ9" s="20">
        <f t="shared" ca="1" si="71"/>
        <v>0</v>
      </c>
      <c r="EK9" s="20">
        <f t="shared" ca="1" si="72"/>
        <v>0</v>
      </c>
      <c r="EL9" s="20">
        <f t="shared" ca="1" si="73"/>
        <v>0</v>
      </c>
      <c r="EM9" s="20">
        <f t="shared" ca="1" si="74"/>
        <v>2158617335.5898933</v>
      </c>
      <c r="EN9" s="20">
        <f t="shared" ca="1" si="75"/>
        <v>0</v>
      </c>
      <c r="EO9" s="20">
        <f t="shared" ca="1" si="76"/>
        <v>0</v>
      </c>
      <c r="EP9" s="20">
        <f t="shared" ca="1" si="77"/>
        <v>0</v>
      </c>
      <c r="EQ9" s="17" t="s">
        <v>91</v>
      </c>
      <c r="ER9" s="19">
        <v>1739525780684.6599</v>
      </c>
      <c r="ES9" s="20">
        <f t="shared" si="6"/>
        <v>28.184633652172852</v>
      </c>
    </row>
    <row r="10" spans="1:149" ht="15">
      <c r="A10" s="21" t="s">
        <v>165</v>
      </c>
      <c r="B10" s="14">
        <f ca="1">IFERROR(__xludf.dummyfunction("QUERY('Countries markets attractivenes'!A:C, ""SELECT C WHERE A = '""&amp;A10&amp;""'"",0)"),28.1012317204341)</f>
        <v>28.1012317204341</v>
      </c>
      <c r="C10" s="14">
        <f t="shared" ca="1" si="78"/>
        <v>1600331194689.0774</v>
      </c>
      <c r="D10" s="18">
        <f>Marketplace_customer!C10/Marketplace_customer!C$2</f>
        <v>0</v>
      </c>
      <c r="E10" s="18">
        <f>Marketplace_customer!D10/Marketplace_customer!D$2</f>
        <v>0</v>
      </c>
      <c r="F10" s="18">
        <f>Marketplace_customer!E10/Marketplace_customer!E$2</f>
        <v>0</v>
      </c>
      <c r="G10" s="18">
        <f>Marketplace_customer!F10/Marketplace_customer!F$2</f>
        <v>0</v>
      </c>
      <c r="H10" s="18">
        <f>Marketplace_customer!G10/Marketplace_customer!G$2</f>
        <v>0.97095435684647291</v>
      </c>
      <c r="I10" s="18">
        <f>Marketplace_customer!H10/Marketplace_customer!H$2</f>
        <v>0</v>
      </c>
      <c r="J10" s="18">
        <f>Marketplace_customer!I10/Marketplace_customer!I$2</f>
        <v>0</v>
      </c>
      <c r="K10" s="18">
        <f>Marketplace_customer!J10/Marketplace_customer!J$2</f>
        <v>0</v>
      </c>
      <c r="L10" s="18">
        <f>Marketplace_customer!K10/Marketplace_customer!K$2</f>
        <v>0</v>
      </c>
      <c r="M10" s="18">
        <f>Marketplace_customer!L10/Marketplace_customer!L$2</f>
        <v>0</v>
      </c>
      <c r="N10" s="18">
        <f>Marketplace_customer!M10/Marketplace_customer!M$2</f>
        <v>0</v>
      </c>
      <c r="O10" s="18">
        <f>Marketplace_customer!N10/Marketplace_customer!N$2</f>
        <v>0</v>
      </c>
      <c r="P10" s="18">
        <f>Marketplace_customer!O10/Marketplace_customer!O$2</f>
        <v>1.1914893617021275E-2</v>
      </c>
      <c r="Q10" s="18">
        <f>Marketplace_customer!P10/Marketplace_customer!P$2</f>
        <v>0</v>
      </c>
      <c r="R10" s="18">
        <f>Marketplace_customer!Q10/Marketplace_customer!Q$2</f>
        <v>0</v>
      </c>
      <c r="S10" s="18">
        <f>Marketplace_customer!R10/Marketplace_customer!R$2</f>
        <v>0</v>
      </c>
      <c r="T10" s="18">
        <f>Marketplace_customer!S10/Marketplace_customer!S$2</f>
        <v>0</v>
      </c>
      <c r="U10" s="18">
        <f>Marketplace_customer!T10/Marketplace_customer!T$2</f>
        <v>0</v>
      </c>
      <c r="V10" s="18">
        <f>Marketplace_customer!U10/Marketplace_customer!U$2</f>
        <v>0.98809523809523814</v>
      </c>
      <c r="W10" s="18">
        <f>Marketplace_customer!V10/Marketplace_customer!V$2</f>
        <v>0</v>
      </c>
      <c r="X10" s="18">
        <f>Marketplace_customer!W10/Marketplace_customer!W$2</f>
        <v>0</v>
      </c>
      <c r="Y10" s="18">
        <f>Marketplace_customer!X10/Marketplace_customer!X$2</f>
        <v>0</v>
      </c>
      <c r="Z10" s="18">
        <f>Marketplace_customer!Y10/Marketplace_customer!Y$2</f>
        <v>0</v>
      </c>
      <c r="AA10" s="18">
        <f>Marketplace_customer!Z10/Marketplace_customer!Z$2</f>
        <v>0</v>
      </c>
      <c r="AB10" s="18">
        <f>Marketplace_customer!AA10/Marketplace_customer!AA$2</f>
        <v>0</v>
      </c>
      <c r="AC10" s="18">
        <f>Marketplace_customer!AB10/Marketplace_customer!AB$2</f>
        <v>0.96842105263157885</v>
      </c>
      <c r="AD10" s="18">
        <f>Marketplace_customer!AC10/Marketplace_customer!AC$2</f>
        <v>7.5471698113207548E-3</v>
      </c>
      <c r="AE10" s="18">
        <f>Marketplace_customer!AD10/Marketplace_customer!AD$2</f>
        <v>0</v>
      </c>
      <c r="AF10" s="18">
        <f>Marketplace_customer!AE10/Marketplace_customer!AE$2</f>
        <v>0</v>
      </c>
      <c r="AG10" s="18">
        <f>Marketplace_customer!AF10/Marketplace_customer!AF$2</f>
        <v>0</v>
      </c>
      <c r="AH10" s="18">
        <f>Marketplace_customer!AG10/Marketplace_customer!AG$2</f>
        <v>3.5051546391752578E-2</v>
      </c>
      <c r="AI10" s="18">
        <f>Marketplace_customer!AH10/Marketplace_customer!AH$2</f>
        <v>0</v>
      </c>
      <c r="AJ10" s="18">
        <f>Marketplace_customer!AI10/Marketplace_customer!AI$2</f>
        <v>0</v>
      </c>
      <c r="AK10" s="18">
        <f>Marketplace_customer!AJ10/Marketplace_customer!AJ$2</f>
        <v>0</v>
      </c>
      <c r="AL10" s="18">
        <f>Marketplace_customer!AK10/Marketplace_customer!AK$2</f>
        <v>0</v>
      </c>
      <c r="AM10" s="18">
        <f>Marketplace_customer!AL10/Marketplace_customer!AL$2</f>
        <v>0</v>
      </c>
      <c r="AN10" s="18">
        <f>Marketplace_customer!AM10/Marketplace_customer!AM$2</f>
        <v>0</v>
      </c>
      <c r="AO10" s="18">
        <f>Marketplace_customer!AN10/Marketplace_customer!AN$2</f>
        <v>0</v>
      </c>
      <c r="AP10" s="18">
        <f>Marketplace_customer!AO10/Marketplace_customer!AO$2</f>
        <v>0</v>
      </c>
      <c r="AQ10" s="18">
        <f>Marketplace_customer!AP10/Marketplace_customer!AP$2</f>
        <v>0</v>
      </c>
      <c r="AR10" s="18">
        <f>Marketplace_customer!AQ10/Marketplace_customer!AQ$2</f>
        <v>0.97424892703862653</v>
      </c>
      <c r="AS10" s="18">
        <f>Marketplace_customer!AR10/Marketplace_customer!AR$2</f>
        <v>0</v>
      </c>
      <c r="AT10" s="18">
        <f>Marketplace_customer!AS10/Marketplace_customer!AS$2</f>
        <v>4.0157480314960631E-3</v>
      </c>
      <c r="AU10" s="18">
        <f>Marketplace_customer!AT10/Marketplace_customer!AT$2</f>
        <v>0</v>
      </c>
      <c r="AV10" s="18">
        <f>Marketplace_customer!AU10/Marketplace_customer!AU$2</f>
        <v>0</v>
      </c>
      <c r="AW10" s="18">
        <f>Marketplace_customer!AV10/Marketplace_customer!AV$2</f>
        <v>0</v>
      </c>
      <c r="AX10" s="18">
        <f>Marketplace_customer!AW10/Marketplace_customer!AW$2</f>
        <v>0</v>
      </c>
      <c r="AY10" s="18">
        <f>Marketplace_customer!AX10/Marketplace_customer!AX$2</f>
        <v>0</v>
      </c>
      <c r="AZ10" s="18">
        <f>Marketplace_customer!AY10/Marketplace_customer!AY$2</f>
        <v>0</v>
      </c>
      <c r="BA10" s="18">
        <f>Marketplace_customer!AZ10/Marketplace_customer!AZ$2</f>
        <v>0</v>
      </c>
      <c r="BB10" s="18">
        <f>Marketplace_customer!BA10/Marketplace_customer!BA$2</f>
        <v>0.97491039426523296</v>
      </c>
      <c r="BC10" s="18">
        <f>Marketplace_customer!BB10/Marketplace_customer!BB$2</f>
        <v>0</v>
      </c>
      <c r="BD10" s="18">
        <f>Marketplace_customer!BC10/Marketplace_customer!BC$2</f>
        <v>0</v>
      </c>
      <c r="BE10" s="18">
        <f>Marketplace_customer!BD10/Marketplace_customer!BD$2</f>
        <v>0</v>
      </c>
      <c r="BF10" s="18">
        <f>Marketplace_customer!BE10/Marketplace_customer!BE$2</f>
        <v>0</v>
      </c>
      <c r="BG10" s="18">
        <f>Marketplace_customer!BF10/Marketplace_customer!BF$2</f>
        <v>0</v>
      </c>
      <c r="BH10" s="18">
        <f>Marketplace_customer!BG10/Marketplace_customer!BG$2</f>
        <v>0</v>
      </c>
      <c r="BI10" s="18">
        <f>Marketplace_customer!BH10/Marketplace_customer!BH$2</f>
        <v>5.4933446017325169E-3</v>
      </c>
      <c r="BJ10" s="18">
        <f>Marketplace_customer!BI10/Marketplace_customer!BI$2</f>
        <v>0</v>
      </c>
      <c r="BK10" s="18">
        <f>Marketplace_customer!BJ10/Marketplace_customer!BJ$2</f>
        <v>0</v>
      </c>
      <c r="BL10" s="18">
        <f>Marketplace_customer!BK10/Marketplace_customer!BK$2</f>
        <v>0</v>
      </c>
      <c r="BM10" s="18">
        <f>Marketplace_customer!BL10/Marketplace_customer!BL$2</f>
        <v>0</v>
      </c>
      <c r="BN10" s="18">
        <f>Marketplace_customer!BM10/Marketplace_customer!BM$2</f>
        <v>0</v>
      </c>
      <c r="BO10" s="18">
        <f>Marketplace_customer!BN10/Marketplace_customer!BN$2</f>
        <v>0</v>
      </c>
      <c r="BP10" s="18">
        <f>Marketplace_customer!BO10/Marketplace_customer!BO$2</f>
        <v>0</v>
      </c>
      <c r="BQ10" s="18">
        <f>Marketplace_customer!BP10/Marketplace_customer!BP$2</f>
        <v>0</v>
      </c>
      <c r="BR10" s="18">
        <f>Marketplace_customer!BQ10/Marketplace_customer!BQ$2</f>
        <v>0</v>
      </c>
      <c r="BS10" s="18">
        <f>Marketplace_customer!BR10/Marketplace_customer!BR$2</f>
        <v>1.2698412698412698E-2</v>
      </c>
      <c r="BT10" s="18">
        <f>Marketplace_customer!BS10/Marketplace_customer!BS$2</f>
        <v>0.97272727272727266</v>
      </c>
      <c r="BU10" s="18">
        <f>Marketplace_customer!BT10/Marketplace_customer!BT$2</f>
        <v>0</v>
      </c>
      <c r="BV10" s="18">
        <f>Marketplace_customer!BU10/Marketplace_customer!BU$2</f>
        <v>0</v>
      </c>
      <c r="BW10" s="19"/>
      <c r="BX10" s="20">
        <f t="shared" ca="1" si="7"/>
        <v>0</v>
      </c>
      <c r="BY10" s="20">
        <f t="shared" ca="1" si="8"/>
        <v>0</v>
      </c>
      <c r="BZ10" s="20">
        <f t="shared" ca="1" si="9"/>
        <v>0</v>
      </c>
      <c r="CA10" s="20">
        <f t="shared" ca="1" si="10"/>
        <v>0</v>
      </c>
      <c r="CB10" s="20">
        <f t="shared" ca="1" si="11"/>
        <v>1553848545880.6807</v>
      </c>
      <c r="CC10" s="20">
        <f t="shared" ca="1" si="12"/>
        <v>0</v>
      </c>
      <c r="CD10" s="20">
        <f t="shared" ca="1" si="13"/>
        <v>0</v>
      </c>
      <c r="CE10" s="20">
        <f t="shared" ca="1" si="14"/>
        <v>0</v>
      </c>
      <c r="CF10" s="20">
        <f t="shared" ca="1" si="15"/>
        <v>0</v>
      </c>
      <c r="CG10" s="20">
        <f t="shared" ca="1" si="16"/>
        <v>0</v>
      </c>
      <c r="CH10" s="20">
        <f t="shared" ca="1" si="17"/>
        <v>0</v>
      </c>
      <c r="CI10" s="20">
        <f t="shared" ca="1" si="18"/>
        <v>0</v>
      </c>
      <c r="CJ10" s="20">
        <f t="shared" ca="1" si="19"/>
        <v>19067775936.720921</v>
      </c>
      <c r="CK10" s="20">
        <f t="shared" ca="1" si="20"/>
        <v>0</v>
      </c>
      <c r="CL10" s="20">
        <f t="shared" ca="1" si="21"/>
        <v>0</v>
      </c>
      <c r="CM10" s="20">
        <f t="shared" ca="1" si="22"/>
        <v>0</v>
      </c>
      <c r="CN10" s="20">
        <f t="shared" ca="1" si="23"/>
        <v>0</v>
      </c>
      <c r="CO10" s="20">
        <f t="shared" ca="1" si="24"/>
        <v>0</v>
      </c>
      <c r="CP10" s="20">
        <f t="shared" ca="1" si="25"/>
        <v>1581279632847.5408</v>
      </c>
      <c r="CQ10" s="20">
        <f t="shared" ca="1" si="26"/>
        <v>0</v>
      </c>
      <c r="CR10" s="20">
        <f t="shared" ca="1" si="27"/>
        <v>0</v>
      </c>
      <c r="CS10" s="20">
        <f t="shared" ca="1" si="28"/>
        <v>0</v>
      </c>
      <c r="CT10" s="20">
        <f t="shared" ca="1" si="29"/>
        <v>0</v>
      </c>
      <c r="CU10" s="20">
        <f t="shared" ca="1" si="30"/>
        <v>0</v>
      </c>
      <c r="CV10" s="20">
        <f t="shared" ca="1" si="31"/>
        <v>0</v>
      </c>
      <c r="CW10" s="20">
        <f t="shared" ca="1" si="32"/>
        <v>1549794420119.9485</v>
      </c>
      <c r="CX10" s="20">
        <f t="shared" ca="1" si="33"/>
        <v>12077971280.672283</v>
      </c>
      <c r="CY10" s="20">
        <f t="shared" ca="1" si="34"/>
        <v>0</v>
      </c>
      <c r="CZ10" s="20">
        <f t="shared" ca="1" si="35"/>
        <v>0</v>
      </c>
      <c r="DA10" s="20">
        <f t="shared" ca="1" si="36"/>
        <v>0</v>
      </c>
      <c r="DB10" s="20">
        <f t="shared" ca="1" si="37"/>
        <v>56094083112.813019</v>
      </c>
      <c r="DC10" s="20">
        <f t="shared" ca="1" si="38"/>
        <v>0</v>
      </c>
      <c r="DD10" s="20">
        <f t="shared" ca="1" si="39"/>
        <v>0</v>
      </c>
      <c r="DE10" s="20">
        <f t="shared" ca="1" si="40"/>
        <v>0</v>
      </c>
      <c r="DF10" s="20">
        <f t="shared" ca="1" si="41"/>
        <v>0</v>
      </c>
      <c r="DG10" s="20">
        <f t="shared" ca="1" si="42"/>
        <v>0</v>
      </c>
      <c r="DH10" s="20">
        <f t="shared" ca="1" si="43"/>
        <v>0</v>
      </c>
      <c r="DI10" s="20">
        <f t="shared" ca="1" si="44"/>
        <v>0</v>
      </c>
      <c r="DJ10" s="20">
        <f t="shared" ca="1" si="45"/>
        <v>0</v>
      </c>
      <c r="DK10" s="20">
        <f t="shared" ca="1" si="46"/>
        <v>0</v>
      </c>
      <c r="DL10" s="20">
        <f t="shared" ca="1" si="47"/>
        <v>1559120949332.2771</v>
      </c>
      <c r="DM10" s="20">
        <f t="shared" ca="1" si="48"/>
        <v>0</v>
      </c>
      <c r="DN10" s="20">
        <f t="shared" ca="1" si="49"/>
        <v>6426526844.8144054</v>
      </c>
      <c r="DO10" s="20">
        <f t="shared" ca="1" si="50"/>
        <v>0</v>
      </c>
      <c r="DP10" s="20">
        <f t="shared" ca="1" si="51"/>
        <v>0</v>
      </c>
      <c r="DQ10" s="20">
        <f t="shared" ca="1" si="52"/>
        <v>0</v>
      </c>
      <c r="DR10" s="20">
        <f t="shared" ca="1" si="53"/>
        <v>0</v>
      </c>
      <c r="DS10" s="20">
        <f t="shared" ca="1" si="54"/>
        <v>0</v>
      </c>
      <c r="DT10" s="20">
        <f t="shared" ca="1" si="55"/>
        <v>0</v>
      </c>
      <c r="DU10" s="20">
        <f t="shared" ca="1" si="56"/>
        <v>0</v>
      </c>
      <c r="DV10" s="20">
        <f t="shared" ca="1" si="57"/>
        <v>1560179515969.2798</v>
      </c>
      <c r="DW10" s="20">
        <f t="shared" ca="1" si="58"/>
        <v>0</v>
      </c>
      <c r="DX10" s="20">
        <f t="shared" ca="1" si="59"/>
        <v>0</v>
      </c>
      <c r="DY10" s="20">
        <f t="shared" ca="1" si="60"/>
        <v>0</v>
      </c>
      <c r="DZ10" s="20">
        <f t="shared" ca="1" si="61"/>
        <v>0</v>
      </c>
      <c r="EA10" s="20">
        <f t="shared" ca="1" si="62"/>
        <v>0</v>
      </c>
      <c r="EB10" s="20">
        <f t="shared" ca="1" si="63"/>
        <v>0</v>
      </c>
      <c r="EC10" s="20">
        <f t="shared" ca="1" si="64"/>
        <v>8791170729.3293934</v>
      </c>
      <c r="ED10" s="20">
        <f t="shared" ca="1" si="65"/>
        <v>0</v>
      </c>
      <c r="EE10" s="20">
        <f t="shared" ca="1" si="66"/>
        <v>0</v>
      </c>
      <c r="EF10" s="20">
        <f t="shared" ca="1" si="67"/>
        <v>0</v>
      </c>
      <c r="EG10" s="20">
        <f t="shared" ca="1" si="68"/>
        <v>0</v>
      </c>
      <c r="EH10" s="20">
        <f t="shared" ca="1" si="69"/>
        <v>0</v>
      </c>
      <c r="EI10" s="20">
        <f t="shared" ca="1" si="70"/>
        <v>0</v>
      </c>
      <c r="EJ10" s="20">
        <f t="shared" ca="1" si="71"/>
        <v>0</v>
      </c>
      <c r="EK10" s="20">
        <f t="shared" ca="1" si="72"/>
        <v>0</v>
      </c>
      <c r="EL10" s="20">
        <f t="shared" ca="1" si="73"/>
        <v>0</v>
      </c>
      <c r="EM10" s="20">
        <f t="shared" ca="1" si="74"/>
        <v>20321665964.305744</v>
      </c>
      <c r="EN10" s="20">
        <f t="shared" ca="1" si="75"/>
        <v>1556685798470.2842</v>
      </c>
      <c r="EO10" s="20">
        <f t="shared" ca="1" si="76"/>
        <v>0</v>
      </c>
      <c r="EP10" s="20">
        <f t="shared" ca="1" si="77"/>
        <v>0</v>
      </c>
      <c r="EQ10" s="17" t="s">
        <v>92</v>
      </c>
      <c r="ER10" s="19">
        <v>4358468479678.6802</v>
      </c>
      <c r="ES10" s="20">
        <f t="shared" si="6"/>
        <v>29.103141845452349</v>
      </c>
    </row>
    <row r="11" spans="1:149" ht="15">
      <c r="A11" s="21" t="s">
        <v>166</v>
      </c>
      <c r="B11" s="14">
        <f ca="1">IFERROR(__xludf.dummyfunction("QUERY('Countries markets attractivenes'!A:C, ""SELECT C WHERE A = '""&amp;A11&amp;""'"",0)"),26.2352383629389)</f>
        <v>26.235238362938901</v>
      </c>
      <c r="C11" s="14">
        <f t="shared" ca="1" si="78"/>
        <v>247639120221.20154</v>
      </c>
      <c r="D11" s="18">
        <f>Marketplace_customer!C11/Marketplace_customer!C$2</f>
        <v>0</v>
      </c>
      <c r="E11" s="18">
        <f>Marketplace_customer!D11/Marketplace_customer!D$2</f>
        <v>0</v>
      </c>
      <c r="F11" s="18">
        <f>Marketplace_customer!E11/Marketplace_customer!E$2</f>
        <v>0</v>
      </c>
      <c r="G11" s="18">
        <f>Marketplace_customer!F11/Marketplace_customer!F$2</f>
        <v>0</v>
      </c>
      <c r="H11" s="18">
        <f>Marketplace_customer!G11/Marketplace_customer!G$2</f>
        <v>0</v>
      </c>
      <c r="I11" s="18">
        <f>Marketplace_customer!H11/Marketplace_customer!H$2</f>
        <v>0</v>
      </c>
      <c r="J11" s="18">
        <f>Marketplace_customer!I11/Marketplace_customer!I$2</f>
        <v>1.0653753026634384E-2</v>
      </c>
      <c r="K11" s="18">
        <f>Marketplace_customer!J11/Marketplace_customer!J$2</f>
        <v>0</v>
      </c>
      <c r="L11" s="18">
        <f>Marketplace_customer!K11/Marketplace_customer!K$2</f>
        <v>0</v>
      </c>
      <c r="M11" s="18">
        <f>Marketplace_customer!L11/Marketplace_customer!L$2</f>
        <v>0</v>
      </c>
      <c r="N11" s="18">
        <f>Marketplace_customer!M11/Marketplace_customer!M$2</f>
        <v>0</v>
      </c>
      <c r="O11" s="18">
        <f>Marketplace_customer!N11/Marketplace_customer!N$2</f>
        <v>0</v>
      </c>
      <c r="P11" s="18">
        <f>Marketplace_customer!O11/Marketplace_customer!O$2</f>
        <v>3.4042553191489366E-3</v>
      </c>
      <c r="Q11" s="18">
        <f>Marketplace_customer!P11/Marketplace_customer!P$2</f>
        <v>0</v>
      </c>
      <c r="R11" s="18">
        <f>Marketplace_customer!Q11/Marketplace_customer!Q$2</f>
        <v>0</v>
      </c>
      <c r="S11" s="18">
        <f>Marketplace_customer!R11/Marketplace_customer!R$2</f>
        <v>0</v>
      </c>
      <c r="T11" s="18">
        <f>Marketplace_customer!S11/Marketplace_customer!S$2</f>
        <v>0</v>
      </c>
      <c r="U11" s="18">
        <f>Marketplace_customer!T11/Marketplace_customer!T$2</f>
        <v>0</v>
      </c>
      <c r="V11" s="18">
        <f>Marketplace_customer!U11/Marketplace_customer!U$2</f>
        <v>0</v>
      </c>
      <c r="W11" s="18">
        <f>Marketplace_customer!V11/Marketplace_customer!V$2</f>
        <v>0</v>
      </c>
      <c r="X11" s="18">
        <f>Marketplace_customer!W11/Marketplace_customer!W$2</f>
        <v>0</v>
      </c>
      <c r="Y11" s="18">
        <f>Marketplace_customer!X11/Marketplace_customer!X$2</f>
        <v>0</v>
      </c>
      <c r="Z11" s="18">
        <f>Marketplace_customer!Y11/Marketplace_customer!Y$2</f>
        <v>0</v>
      </c>
      <c r="AA11" s="18">
        <f>Marketplace_customer!Z11/Marketplace_customer!Z$2</f>
        <v>0</v>
      </c>
      <c r="AB11" s="18">
        <f>Marketplace_customer!AA11/Marketplace_customer!AA$2</f>
        <v>0</v>
      </c>
      <c r="AC11" s="18">
        <f>Marketplace_customer!AB11/Marketplace_customer!AB$2</f>
        <v>0</v>
      </c>
      <c r="AD11" s="18">
        <f>Marketplace_customer!AC11/Marketplace_customer!AC$2</f>
        <v>3.534591194968554E-3</v>
      </c>
      <c r="AE11" s="18">
        <f>Marketplace_customer!AD11/Marketplace_customer!AD$2</f>
        <v>0</v>
      </c>
      <c r="AF11" s="18">
        <f>Marketplace_customer!AE11/Marketplace_customer!AE$2</f>
        <v>0</v>
      </c>
      <c r="AG11" s="18">
        <f>Marketplace_customer!AF11/Marketplace_customer!AF$2</f>
        <v>2.4444444444444444E-3</v>
      </c>
      <c r="AH11" s="18">
        <f>Marketplace_customer!AG11/Marketplace_customer!AG$2</f>
        <v>0</v>
      </c>
      <c r="AI11" s="18">
        <f>Marketplace_customer!AH11/Marketplace_customer!AH$2</f>
        <v>0</v>
      </c>
      <c r="AJ11" s="18">
        <f>Marketplace_customer!AI11/Marketplace_customer!AI$2</f>
        <v>0.94736842105263142</v>
      </c>
      <c r="AK11" s="18">
        <f>Marketplace_customer!AJ11/Marketplace_customer!AJ$2</f>
        <v>0</v>
      </c>
      <c r="AL11" s="18">
        <f>Marketplace_customer!AK11/Marketplace_customer!AK$2</f>
        <v>0</v>
      </c>
      <c r="AM11" s="18">
        <f>Marketplace_customer!AL11/Marketplace_customer!AL$2</f>
        <v>0</v>
      </c>
      <c r="AN11" s="18">
        <f>Marketplace_customer!AM11/Marketplace_customer!AM$2</f>
        <v>0</v>
      </c>
      <c r="AO11" s="18">
        <f>Marketplace_customer!AN11/Marketplace_customer!AN$2</f>
        <v>0</v>
      </c>
      <c r="AP11" s="18">
        <f>Marketplace_customer!AO11/Marketplace_customer!AO$2</f>
        <v>0</v>
      </c>
      <c r="AQ11" s="18">
        <f>Marketplace_customer!AP11/Marketplace_customer!AP$2</f>
        <v>0</v>
      </c>
      <c r="AR11" s="18">
        <f>Marketplace_customer!AQ11/Marketplace_customer!AQ$2</f>
        <v>0</v>
      </c>
      <c r="AS11" s="18">
        <f>Marketplace_customer!AR11/Marketplace_customer!AR$2</f>
        <v>0</v>
      </c>
      <c r="AT11" s="18">
        <f>Marketplace_customer!AS11/Marketplace_customer!AS$2</f>
        <v>0</v>
      </c>
      <c r="AU11" s="18">
        <f>Marketplace_customer!AT11/Marketplace_customer!AT$2</f>
        <v>0</v>
      </c>
      <c r="AV11" s="18">
        <f>Marketplace_customer!AU11/Marketplace_customer!AU$2</f>
        <v>0.29032258064516131</v>
      </c>
      <c r="AW11" s="18">
        <f>Marketplace_customer!AV11/Marketplace_customer!AV$2</f>
        <v>0</v>
      </c>
      <c r="AX11" s="18">
        <f>Marketplace_customer!AW11/Marketplace_customer!AW$2</f>
        <v>0</v>
      </c>
      <c r="AY11" s="18">
        <f>Marketplace_customer!AX11/Marketplace_customer!AX$2</f>
        <v>0</v>
      </c>
      <c r="AZ11" s="18">
        <f>Marketplace_customer!AY11/Marketplace_customer!AY$2</f>
        <v>4.3077025034378782E-2</v>
      </c>
      <c r="BA11" s="18">
        <f>Marketplace_customer!AZ11/Marketplace_customer!AZ$2</f>
        <v>0</v>
      </c>
      <c r="BB11" s="18">
        <f>Marketplace_customer!BA11/Marketplace_customer!BA$2</f>
        <v>0</v>
      </c>
      <c r="BC11" s="18">
        <f>Marketplace_customer!BB11/Marketplace_customer!BB$2</f>
        <v>0</v>
      </c>
      <c r="BD11" s="18">
        <f>Marketplace_customer!BC11/Marketplace_customer!BC$2</f>
        <v>0</v>
      </c>
      <c r="BE11" s="18">
        <f>Marketplace_customer!BD11/Marketplace_customer!BD$2</f>
        <v>0</v>
      </c>
      <c r="BF11" s="18">
        <f>Marketplace_customer!BE11/Marketplace_customer!BE$2</f>
        <v>0</v>
      </c>
      <c r="BG11" s="18">
        <f>Marketplace_customer!BF11/Marketplace_customer!BF$2</f>
        <v>0</v>
      </c>
      <c r="BH11" s="18">
        <f>Marketplace_customer!BG11/Marketplace_customer!BG$2</f>
        <v>0</v>
      </c>
      <c r="BI11" s="18">
        <f>Marketplace_customer!BH11/Marketplace_customer!BH$2</f>
        <v>0</v>
      </c>
      <c r="BJ11" s="18">
        <f>Marketplace_customer!BI11/Marketplace_customer!BI$2</f>
        <v>0</v>
      </c>
      <c r="BK11" s="18">
        <f>Marketplace_customer!BJ11/Marketplace_customer!BJ$2</f>
        <v>1.1561075510338904E-3</v>
      </c>
      <c r="BL11" s="18">
        <f>Marketplace_customer!BK11/Marketplace_customer!BK$2</f>
        <v>0</v>
      </c>
      <c r="BM11" s="18">
        <f>Marketplace_customer!BL11/Marketplace_customer!BL$2</f>
        <v>0</v>
      </c>
      <c r="BN11" s="18">
        <f>Marketplace_customer!BM11/Marketplace_customer!BM$2</f>
        <v>0</v>
      </c>
      <c r="BO11" s="18">
        <f>Marketplace_customer!BN11/Marketplace_customer!BN$2</f>
        <v>0</v>
      </c>
      <c r="BP11" s="18">
        <f>Marketplace_customer!BO11/Marketplace_customer!BO$2</f>
        <v>0</v>
      </c>
      <c r="BQ11" s="18">
        <f>Marketplace_customer!BP11/Marketplace_customer!BP$2</f>
        <v>0</v>
      </c>
      <c r="BR11" s="18">
        <f>Marketplace_customer!BQ11/Marketplace_customer!BQ$2</f>
        <v>0</v>
      </c>
      <c r="BS11" s="18">
        <f>Marketplace_customer!BR11/Marketplace_customer!BR$2</f>
        <v>0</v>
      </c>
      <c r="BT11" s="18">
        <f>Marketplace_customer!BS11/Marketplace_customer!BS$2</f>
        <v>0</v>
      </c>
      <c r="BU11" s="18">
        <f>Marketplace_customer!BT11/Marketplace_customer!BT$2</f>
        <v>0</v>
      </c>
      <c r="BV11" s="18">
        <f>Marketplace_customer!BU11/Marketplace_customer!BU$2</f>
        <v>0</v>
      </c>
      <c r="BW11" s="19"/>
      <c r="BX11" s="20">
        <f t="shared" ca="1" si="7"/>
        <v>0</v>
      </c>
      <c r="BY11" s="20">
        <f t="shared" ca="1" si="8"/>
        <v>0</v>
      </c>
      <c r="BZ11" s="20">
        <f t="shared" ca="1" si="9"/>
        <v>0</v>
      </c>
      <c r="CA11" s="20">
        <f t="shared" ca="1" si="10"/>
        <v>0</v>
      </c>
      <c r="CB11" s="20">
        <f t="shared" ca="1" si="11"/>
        <v>0</v>
      </c>
      <c r="CC11" s="20">
        <f t="shared" ca="1" si="12"/>
        <v>0</v>
      </c>
      <c r="CD11" s="20">
        <f t="shared" ca="1" si="13"/>
        <v>2638286026.5697021</v>
      </c>
      <c r="CE11" s="20">
        <f t="shared" ca="1" si="14"/>
        <v>0</v>
      </c>
      <c r="CF11" s="20">
        <f t="shared" ca="1" si="15"/>
        <v>0</v>
      </c>
      <c r="CG11" s="20">
        <f t="shared" ca="1" si="16"/>
        <v>0</v>
      </c>
      <c r="CH11" s="20">
        <f t="shared" ca="1" si="17"/>
        <v>0</v>
      </c>
      <c r="CI11" s="20">
        <f t="shared" ca="1" si="18"/>
        <v>0</v>
      </c>
      <c r="CJ11" s="20">
        <f t="shared" ca="1" si="19"/>
        <v>843026792.24238837</v>
      </c>
      <c r="CK11" s="20">
        <f t="shared" ca="1" si="20"/>
        <v>0</v>
      </c>
      <c r="CL11" s="20">
        <f t="shared" ca="1" si="21"/>
        <v>0</v>
      </c>
      <c r="CM11" s="20">
        <f t="shared" ca="1" si="22"/>
        <v>0</v>
      </c>
      <c r="CN11" s="20">
        <f t="shared" ca="1" si="23"/>
        <v>0</v>
      </c>
      <c r="CO11" s="20">
        <f t="shared" ca="1" si="24"/>
        <v>0</v>
      </c>
      <c r="CP11" s="20">
        <f t="shared" ca="1" si="25"/>
        <v>0</v>
      </c>
      <c r="CQ11" s="20">
        <f t="shared" ca="1" si="26"/>
        <v>0</v>
      </c>
      <c r="CR11" s="20">
        <f t="shared" ca="1" si="27"/>
        <v>0</v>
      </c>
      <c r="CS11" s="20">
        <f t="shared" ca="1" si="28"/>
        <v>0</v>
      </c>
      <c r="CT11" s="20">
        <f t="shared" ca="1" si="29"/>
        <v>0</v>
      </c>
      <c r="CU11" s="20">
        <f t="shared" ca="1" si="30"/>
        <v>0</v>
      </c>
      <c r="CV11" s="20">
        <f t="shared" ca="1" si="31"/>
        <v>0</v>
      </c>
      <c r="CW11" s="20">
        <f t="shared" ca="1" si="32"/>
        <v>0</v>
      </c>
      <c r="CX11" s="20">
        <f t="shared" ca="1" si="33"/>
        <v>875303053.86361814</v>
      </c>
      <c r="CY11" s="20">
        <f t="shared" ca="1" si="34"/>
        <v>0</v>
      </c>
      <c r="CZ11" s="20">
        <f t="shared" ca="1" si="35"/>
        <v>0</v>
      </c>
      <c r="DA11" s="20">
        <f t="shared" ca="1" si="36"/>
        <v>605340071.65182602</v>
      </c>
      <c r="DB11" s="20">
        <f t="shared" ca="1" si="37"/>
        <v>0</v>
      </c>
      <c r="DC11" s="20">
        <f t="shared" ca="1" si="38"/>
        <v>0</v>
      </c>
      <c r="DD11" s="20">
        <f t="shared" ca="1" si="39"/>
        <v>234605482314.82248</v>
      </c>
      <c r="DE11" s="20">
        <f t="shared" ca="1" si="40"/>
        <v>0</v>
      </c>
      <c r="DF11" s="20">
        <f t="shared" ca="1" si="41"/>
        <v>0</v>
      </c>
      <c r="DG11" s="20">
        <f t="shared" ca="1" si="42"/>
        <v>0</v>
      </c>
      <c r="DH11" s="20">
        <f t="shared" ca="1" si="43"/>
        <v>0</v>
      </c>
      <c r="DI11" s="20">
        <f t="shared" ca="1" si="44"/>
        <v>0</v>
      </c>
      <c r="DJ11" s="20">
        <f t="shared" ca="1" si="45"/>
        <v>0</v>
      </c>
      <c r="DK11" s="20">
        <f t="shared" ca="1" si="46"/>
        <v>0</v>
      </c>
      <c r="DL11" s="20">
        <f t="shared" ca="1" si="47"/>
        <v>0</v>
      </c>
      <c r="DM11" s="20">
        <f t="shared" ca="1" si="48"/>
        <v>0</v>
      </c>
      <c r="DN11" s="20">
        <f t="shared" ca="1" si="49"/>
        <v>0</v>
      </c>
      <c r="DO11" s="20">
        <f t="shared" ca="1" si="50"/>
        <v>0</v>
      </c>
      <c r="DP11" s="20">
        <f t="shared" ca="1" si="51"/>
        <v>71895228451.316574</v>
      </c>
      <c r="DQ11" s="20">
        <f t="shared" ca="1" si="52"/>
        <v>0</v>
      </c>
      <c r="DR11" s="20">
        <f t="shared" ca="1" si="53"/>
        <v>0</v>
      </c>
      <c r="DS11" s="20">
        <f t="shared" ca="1" si="54"/>
        <v>0</v>
      </c>
      <c r="DT11" s="20">
        <f t="shared" ca="1" si="55"/>
        <v>10667556581.260235</v>
      </c>
      <c r="DU11" s="20">
        <f t="shared" ca="1" si="56"/>
        <v>0</v>
      </c>
      <c r="DV11" s="20">
        <f t="shared" ca="1" si="57"/>
        <v>0</v>
      </c>
      <c r="DW11" s="20">
        <f t="shared" ca="1" si="58"/>
        <v>0</v>
      </c>
      <c r="DX11" s="20">
        <f t="shared" ca="1" si="59"/>
        <v>0</v>
      </c>
      <c r="DY11" s="20">
        <f t="shared" ca="1" si="60"/>
        <v>0</v>
      </c>
      <c r="DZ11" s="20">
        <f t="shared" ca="1" si="61"/>
        <v>0</v>
      </c>
      <c r="EA11" s="20">
        <f t="shared" ca="1" si="62"/>
        <v>0</v>
      </c>
      <c r="EB11" s="20">
        <f t="shared" ca="1" si="63"/>
        <v>0</v>
      </c>
      <c r="EC11" s="20">
        <f t="shared" ca="1" si="64"/>
        <v>0</v>
      </c>
      <c r="ED11" s="20">
        <f t="shared" ca="1" si="65"/>
        <v>0</v>
      </c>
      <c r="EE11" s="20">
        <f t="shared" ca="1" si="66"/>
        <v>286297456.81912047</v>
      </c>
      <c r="EF11" s="20">
        <f t="shared" ca="1" si="67"/>
        <v>0</v>
      </c>
      <c r="EG11" s="20">
        <f t="shared" ca="1" si="68"/>
        <v>0</v>
      </c>
      <c r="EH11" s="20">
        <f t="shared" ca="1" si="69"/>
        <v>0</v>
      </c>
      <c r="EI11" s="20">
        <f t="shared" ca="1" si="70"/>
        <v>0</v>
      </c>
      <c r="EJ11" s="20">
        <f t="shared" ca="1" si="71"/>
        <v>0</v>
      </c>
      <c r="EK11" s="20">
        <f t="shared" ca="1" si="72"/>
        <v>0</v>
      </c>
      <c r="EL11" s="20">
        <f t="shared" ca="1" si="73"/>
        <v>0</v>
      </c>
      <c r="EM11" s="20">
        <f t="shared" ca="1" si="74"/>
        <v>0</v>
      </c>
      <c r="EN11" s="20">
        <f t="shared" ca="1" si="75"/>
        <v>0</v>
      </c>
      <c r="EO11" s="20">
        <f t="shared" ca="1" si="76"/>
        <v>0</v>
      </c>
      <c r="EP11" s="20">
        <f t="shared" ca="1" si="77"/>
        <v>0</v>
      </c>
      <c r="EQ11" s="17" t="s">
        <v>93</v>
      </c>
      <c r="ER11" s="19">
        <v>1141506887322.5</v>
      </c>
      <c r="ES11" s="20">
        <f t="shared" si="6"/>
        <v>27.763370336470114</v>
      </c>
    </row>
    <row r="12" spans="1:149" ht="15">
      <c r="A12" s="21" t="s">
        <v>167</v>
      </c>
      <c r="B12" s="14">
        <f ca="1">IFERROR(__xludf.dummyfunction("QUERY('Countries markets attractivenes'!A:C, ""SELECT C WHERE A = '""&amp;A12&amp;""'"",0)"),26.4264696760249)</f>
        <v>26.426469676024901</v>
      </c>
      <c r="C12" s="14">
        <f t="shared" ca="1" si="78"/>
        <v>299826459539.87085</v>
      </c>
      <c r="D12" s="18">
        <f>Marketplace_customer!C12/Marketplace_customer!C$2</f>
        <v>0</v>
      </c>
      <c r="E12" s="18">
        <f>Marketplace_customer!D12/Marketplace_customer!D$2</f>
        <v>0</v>
      </c>
      <c r="F12" s="18">
        <f>Marketplace_customer!E12/Marketplace_customer!E$2</f>
        <v>0</v>
      </c>
      <c r="G12" s="18">
        <f>Marketplace_customer!F12/Marketplace_customer!F$2</f>
        <v>0</v>
      </c>
      <c r="H12" s="18">
        <f>Marketplace_customer!G12/Marketplace_customer!G$2</f>
        <v>0</v>
      </c>
      <c r="I12" s="18">
        <f>Marketplace_customer!H12/Marketplace_customer!H$2</f>
        <v>0</v>
      </c>
      <c r="J12" s="18">
        <f>Marketplace_customer!I12/Marketplace_customer!I$2</f>
        <v>1.331719128329298E-2</v>
      </c>
      <c r="K12" s="18">
        <f>Marketplace_customer!J12/Marketplace_customer!J$2</f>
        <v>0</v>
      </c>
      <c r="L12" s="18">
        <f>Marketplace_customer!K12/Marketplace_customer!K$2</f>
        <v>0</v>
      </c>
      <c r="M12" s="18">
        <f>Marketplace_customer!L12/Marketplace_customer!L$2</f>
        <v>0</v>
      </c>
      <c r="N12" s="18">
        <f>Marketplace_customer!M12/Marketplace_customer!M$2</f>
        <v>0</v>
      </c>
      <c r="O12" s="18">
        <f>Marketplace_customer!N12/Marketplace_customer!N$2</f>
        <v>0</v>
      </c>
      <c r="P12" s="18">
        <f>Marketplace_customer!O12/Marketplace_customer!O$2</f>
        <v>5.3191489361702126E-3</v>
      </c>
      <c r="Q12" s="18">
        <f>Marketplace_customer!P12/Marketplace_customer!P$2</f>
        <v>0</v>
      </c>
      <c r="R12" s="18">
        <f>Marketplace_customer!Q12/Marketplace_customer!Q$2</f>
        <v>0</v>
      </c>
      <c r="S12" s="18">
        <f>Marketplace_customer!R12/Marketplace_customer!R$2</f>
        <v>0</v>
      </c>
      <c r="T12" s="18">
        <f>Marketplace_customer!S12/Marketplace_customer!S$2</f>
        <v>0</v>
      </c>
      <c r="U12" s="18">
        <f>Marketplace_customer!T12/Marketplace_customer!T$2</f>
        <v>0</v>
      </c>
      <c r="V12" s="18">
        <f>Marketplace_customer!U12/Marketplace_customer!U$2</f>
        <v>0</v>
      </c>
      <c r="W12" s="18">
        <f>Marketplace_customer!V12/Marketplace_customer!V$2</f>
        <v>0</v>
      </c>
      <c r="X12" s="18">
        <f>Marketplace_customer!W12/Marketplace_customer!W$2</f>
        <v>0</v>
      </c>
      <c r="Y12" s="18">
        <f>Marketplace_customer!X12/Marketplace_customer!X$2</f>
        <v>0</v>
      </c>
      <c r="Z12" s="18">
        <f>Marketplace_customer!Y12/Marketplace_customer!Y$2</f>
        <v>0</v>
      </c>
      <c r="AA12" s="18">
        <f>Marketplace_customer!Z12/Marketplace_customer!Z$2</f>
        <v>0</v>
      </c>
      <c r="AB12" s="18">
        <f>Marketplace_customer!AA12/Marketplace_customer!AA$2</f>
        <v>0</v>
      </c>
      <c r="AC12" s="18">
        <f>Marketplace_customer!AB12/Marketplace_customer!AB$2</f>
        <v>0</v>
      </c>
      <c r="AD12" s="18">
        <f>Marketplace_customer!AC12/Marketplace_customer!AC$2</f>
        <v>3.6666666666666666E-3</v>
      </c>
      <c r="AE12" s="18">
        <f>Marketplace_customer!AD12/Marketplace_customer!AD$2</f>
        <v>0</v>
      </c>
      <c r="AF12" s="18">
        <f>Marketplace_customer!AE12/Marketplace_customer!AE$2</f>
        <v>0</v>
      </c>
      <c r="AG12" s="18">
        <f>Marketplace_customer!AF12/Marketplace_customer!AF$2</f>
        <v>0</v>
      </c>
      <c r="AH12" s="18">
        <f>Marketplace_customer!AG12/Marketplace_customer!AG$2</f>
        <v>0</v>
      </c>
      <c r="AI12" s="18">
        <f>Marketplace_customer!AH12/Marketplace_customer!AH$2</f>
        <v>0</v>
      </c>
      <c r="AJ12" s="18">
        <f>Marketplace_customer!AI12/Marketplace_customer!AI$2</f>
        <v>2.9239766081871343E-2</v>
      </c>
      <c r="AK12" s="18">
        <f>Marketplace_customer!AJ12/Marketplace_customer!AJ$2</f>
        <v>0</v>
      </c>
      <c r="AL12" s="18">
        <f>Marketplace_customer!AK12/Marketplace_customer!AK$2</f>
        <v>0</v>
      </c>
      <c r="AM12" s="18">
        <f>Marketplace_customer!AL12/Marketplace_customer!AL$2</f>
        <v>0</v>
      </c>
      <c r="AN12" s="18">
        <f>Marketplace_customer!AM12/Marketplace_customer!AM$2</f>
        <v>0</v>
      </c>
      <c r="AO12" s="18">
        <f>Marketplace_customer!AN12/Marketplace_customer!AN$2</f>
        <v>0</v>
      </c>
      <c r="AP12" s="18">
        <f>Marketplace_customer!AO12/Marketplace_customer!AO$2</f>
        <v>0.9</v>
      </c>
      <c r="AQ12" s="18">
        <f>Marketplace_customer!AP12/Marketplace_customer!AP$2</f>
        <v>0</v>
      </c>
      <c r="AR12" s="18">
        <f>Marketplace_customer!AQ12/Marketplace_customer!AQ$2</f>
        <v>0</v>
      </c>
      <c r="AS12" s="18">
        <f>Marketplace_customer!AR12/Marketplace_customer!AR$2</f>
        <v>0</v>
      </c>
      <c r="AT12" s="18">
        <f>Marketplace_customer!AS12/Marketplace_customer!AS$2</f>
        <v>0</v>
      </c>
      <c r="AU12" s="18">
        <f>Marketplace_customer!AT12/Marketplace_customer!AT$2</f>
        <v>0</v>
      </c>
      <c r="AV12" s="18">
        <f>Marketplace_customer!AU12/Marketplace_customer!AU$2</f>
        <v>0.29032258064516131</v>
      </c>
      <c r="AW12" s="18">
        <f>Marketplace_customer!AV12/Marketplace_customer!AV$2</f>
        <v>0</v>
      </c>
      <c r="AX12" s="18">
        <f>Marketplace_customer!AW12/Marketplace_customer!AW$2</f>
        <v>0</v>
      </c>
      <c r="AY12" s="18">
        <f>Marketplace_customer!AX12/Marketplace_customer!AX$2</f>
        <v>0</v>
      </c>
      <c r="AZ12" s="18">
        <f>Marketplace_customer!AY12/Marketplace_customer!AY$2</f>
        <v>5.9645111586062928E-2</v>
      </c>
      <c r="BA12" s="18">
        <f>Marketplace_customer!AZ12/Marketplace_customer!AZ$2</f>
        <v>0</v>
      </c>
      <c r="BB12" s="18">
        <f>Marketplace_customer!BA12/Marketplace_customer!BA$2</f>
        <v>0</v>
      </c>
      <c r="BC12" s="18">
        <f>Marketplace_customer!BB12/Marketplace_customer!BB$2</f>
        <v>0</v>
      </c>
      <c r="BD12" s="18">
        <f>Marketplace_customer!BC12/Marketplace_customer!BC$2</f>
        <v>0</v>
      </c>
      <c r="BE12" s="18">
        <f>Marketplace_customer!BD12/Marketplace_customer!BD$2</f>
        <v>0</v>
      </c>
      <c r="BF12" s="18">
        <f>Marketplace_customer!BE12/Marketplace_customer!BE$2</f>
        <v>0</v>
      </c>
      <c r="BG12" s="18">
        <f>Marketplace_customer!BF12/Marketplace_customer!BF$2</f>
        <v>0</v>
      </c>
      <c r="BH12" s="18">
        <f>Marketplace_customer!BG12/Marketplace_customer!BG$2</f>
        <v>0</v>
      </c>
      <c r="BI12" s="18">
        <f>Marketplace_customer!BH12/Marketplace_customer!BH$2</f>
        <v>0</v>
      </c>
      <c r="BJ12" s="18">
        <f>Marketplace_customer!BI12/Marketplace_customer!BI$2</f>
        <v>0</v>
      </c>
      <c r="BK12" s="18">
        <f>Marketplace_customer!BJ12/Marketplace_customer!BJ$2</f>
        <v>8.7203540992270598E-4</v>
      </c>
      <c r="BL12" s="18">
        <f>Marketplace_customer!BK12/Marketplace_customer!BK$2</f>
        <v>0</v>
      </c>
      <c r="BM12" s="18">
        <f>Marketplace_customer!BL12/Marketplace_customer!BL$2</f>
        <v>0</v>
      </c>
      <c r="BN12" s="18">
        <f>Marketplace_customer!BM12/Marketplace_customer!BM$2</f>
        <v>0</v>
      </c>
      <c r="BO12" s="18">
        <f>Marketplace_customer!BN12/Marketplace_customer!BN$2</f>
        <v>0</v>
      </c>
      <c r="BP12" s="18">
        <f>Marketplace_customer!BO12/Marketplace_customer!BO$2</f>
        <v>0</v>
      </c>
      <c r="BQ12" s="18">
        <f>Marketplace_customer!BP12/Marketplace_customer!BP$2</f>
        <v>0</v>
      </c>
      <c r="BR12" s="18">
        <f>Marketplace_customer!BQ12/Marketplace_customer!BQ$2</f>
        <v>0</v>
      </c>
      <c r="BS12" s="18">
        <f>Marketplace_customer!BR12/Marketplace_customer!BR$2</f>
        <v>0</v>
      </c>
      <c r="BT12" s="18">
        <f>Marketplace_customer!BS12/Marketplace_customer!BS$2</f>
        <v>0</v>
      </c>
      <c r="BU12" s="18">
        <f>Marketplace_customer!BT12/Marketplace_customer!BT$2</f>
        <v>0</v>
      </c>
      <c r="BV12" s="18">
        <f>Marketplace_customer!BU12/Marketplace_customer!BU$2</f>
        <v>0</v>
      </c>
      <c r="BW12" s="19"/>
      <c r="BX12" s="20">
        <f t="shared" ca="1" si="7"/>
        <v>0</v>
      </c>
      <c r="BY12" s="20">
        <f t="shared" ca="1" si="8"/>
        <v>0</v>
      </c>
      <c r="BZ12" s="20">
        <f t="shared" ca="1" si="9"/>
        <v>0</v>
      </c>
      <c r="CA12" s="20">
        <f t="shared" ca="1" si="10"/>
        <v>0</v>
      </c>
      <c r="CB12" s="20">
        <f t="shared" ca="1" si="11"/>
        <v>0</v>
      </c>
      <c r="CC12" s="20">
        <f t="shared" ca="1" si="12"/>
        <v>0</v>
      </c>
      <c r="CD12" s="20">
        <f t="shared" ca="1" si="13"/>
        <v>3992846313.4849634</v>
      </c>
      <c r="CE12" s="20">
        <f t="shared" ca="1" si="14"/>
        <v>0</v>
      </c>
      <c r="CF12" s="20">
        <f t="shared" ca="1" si="15"/>
        <v>0</v>
      </c>
      <c r="CG12" s="20">
        <f t="shared" ca="1" si="16"/>
        <v>0</v>
      </c>
      <c r="CH12" s="20">
        <f t="shared" ca="1" si="17"/>
        <v>0</v>
      </c>
      <c r="CI12" s="20">
        <f t="shared" ca="1" si="18"/>
        <v>0</v>
      </c>
      <c r="CJ12" s="20">
        <f t="shared" ca="1" si="19"/>
        <v>1594821593.2971854</v>
      </c>
      <c r="CK12" s="20">
        <f t="shared" ca="1" si="20"/>
        <v>0</v>
      </c>
      <c r="CL12" s="20">
        <f t="shared" ca="1" si="21"/>
        <v>0</v>
      </c>
      <c r="CM12" s="20">
        <f t="shared" ca="1" si="22"/>
        <v>0</v>
      </c>
      <c r="CN12" s="20">
        <f t="shared" ca="1" si="23"/>
        <v>0</v>
      </c>
      <c r="CO12" s="20">
        <f t="shared" ca="1" si="24"/>
        <v>0</v>
      </c>
      <c r="CP12" s="20">
        <f t="shared" ca="1" si="25"/>
        <v>0</v>
      </c>
      <c r="CQ12" s="20">
        <f t="shared" ca="1" si="26"/>
        <v>0</v>
      </c>
      <c r="CR12" s="20">
        <f t="shared" ca="1" si="27"/>
        <v>0</v>
      </c>
      <c r="CS12" s="20">
        <f t="shared" ca="1" si="28"/>
        <v>0</v>
      </c>
      <c r="CT12" s="20">
        <f t="shared" ca="1" si="29"/>
        <v>0</v>
      </c>
      <c r="CU12" s="20">
        <f t="shared" ca="1" si="30"/>
        <v>0</v>
      </c>
      <c r="CV12" s="20">
        <f t="shared" ca="1" si="31"/>
        <v>0</v>
      </c>
      <c r="CW12" s="20">
        <f t="shared" ca="1" si="32"/>
        <v>0</v>
      </c>
      <c r="CX12" s="20">
        <f t="shared" ca="1" si="33"/>
        <v>1099363684.9795265</v>
      </c>
      <c r="CY12" s="20">
        <f t="shared" ca="1" si="34"/>
        <v>0</v>
      </c>
      <c r="CZ12" s="20">
        <f t="shared" ca="1" si="35"/>
        <v>0</v>
      </c>
      <c r="DA12" s="20">
        <f t="shared" ca="1" si="36"/>
        <v>0</v>
      </c>
      <c r="DB12" s="20">
        <f t="shared" ca="1" si="37"/>
        <v>0</v>
      </c>
      <c r="DC12" s="20">
        <f t="shared" ca="1" si="38"/>
        <v>0</v>
      </c>
      <c r="DD12" s="20">
        <f t="shared" ca="1" si="39"/>
        <v>8766855542.1014862</v>
      </c>
      <c r="DE12" s="20">
        <f t="shared" ca="1" si="40"/>
        <v>0</v>
      </c>
      <c r="DF12" s="20">
        <f t="shared" ca="1" si="41"/>
        <v>0</v>
      </c>
      <c r="DG12" s="20">
        <f t="shared" ca="1" si="42"/>
        <v>0</v>
      </c>
      <c r="DH12" s="20">
        <f t="shared" ca="1" si="43"/>
        <v>0</v>
      </c>
      <c r="DI12" s="20">
        <f t="shared" ca="1" si="44"/>
        <v>0</v>
      </c>
      <c r="DJ12" s="20">
        <f t="shared" ca="1" si="45"/>
        <v>269843813585.88376</v>
      </c>
      <c r="DK12" s="20">
        <f t="shared" ca="1" si="46"/>
        <v>0</v>
      </c>
      <c r="DL12" s="20">
        <f t="shared" ca="1" si="47"/>
        <v>0</v>
      </c>
      <c r="DM12" s="20">
        <f t="shared" ca="1" si="48"/>
        <v>0</v>
      </c>
      <c r="DN12" s="20">
        <f t="shared" ca="1" si="49"/>
        <v>0</v>
      </c>
      <c r="DO12" s="20">
        <f t="shared" ca="1" si="50"/>
        <v>0</v>
      </c>
      <c r="DP12" s="20">
        <f t="shared" ca="1" si="51"/>
        <v>87046391479.317352</v>
      </c>
      <c r="DQ12" s="20">
        <f t="shared" ca="1" si="52"/>
        <v>0</v>
      </c>
      <c r="DR12" s="20">
        <f t="shared" ca="1" si="53"/>
        <v>0</v>
      </c>
      <c r="DS12" s="20">
        <f t="shared" ca="1" si="54"/>
        <v>0</v>
      </c>
      <c r="DT12" s="20">
        <f t="shared" ca="1" si="55"/>
        <v>17883182635.709778</v>
      </c>
      <c r="DU12" s="20">
        <f t="shared" ca="1" si="56"/>
        <v>0</v>
      </c>
      <c r="DV12" s="20">
        <f t="shared" ca="1" si="57"/>
        <v>0</v>
      </c>
      <c r="DW12" s="20">
        <f t="shared" ca="1" si="58"/>
        <v>0</v>
      </c>
      <c r="DX12" s="20">
        <f t="shared" ca="1" si="59"/>
        <v>0</v>
      </c>
      <c r="DY12" s="20">
        <f t="shared" ca="1" si="60"/>
        <v>0</v>
      </c>
      <c r="DZ12" s="20">
        <f t="shared" ca="1" si="61"/>
        <v>0</v>
      </c>
      <c r="EA12" s="20">
        <f t="shared" ca="1" si="62"/>
        <v>0</v>
      </c>
      <c r="EB12" s="20">
        <f t="shared" ca="1" si="63"/>
        <v>0</v>
      </c>
      <c r="EC12" s="20">
        <f t="shared" ca="1" si="64"/>
        <v>0</v>
      </c>
      <c r="ED12" s="20">
        <f t="shared" ca="1" si="65"/>
        <v>0</v>
      </c>
      <c r="EE12" s="20">
        <f t="shared" ca="1" si="66"/>
        <v>261459289.55052489</v>
      </c>
      <c r="EF12" s="20">
        <f t="shared" ca="1" si="67"/>
        <v>0</v>
      </c>
      <c r="EG12" s="20">
        <f t="shared" ca="1" si="68"/>
        <v>0</v>
      </c>
      <c r="EH12" s="20">
        <f t="shared" ca="1" si="69"/>
        <v>0</v>
      </c>
      <c r="EI12" s="20">
        <f t="shared" ca="1" si="70"/>
        <v>0</v>
      </c>
      <c r="EJ12" s="20">
        <f t="shared" ca="1" si="71"/>
        <v>0</v>
      </c>
      <c r="EK12" s="20">
        <f t="shared" ca="1" si="72"/>
        <v>0</v>
      </c>
      <c r="EL12" s="20">
        <f t="shared" ca="1" si="73"/>
        <v>0</v>
      </c>
      <c r="EM12" s="20">
        <f t="shared" ca="1" si="74"/>
        <v>0</v>
      </c>
      <c r="EN12" s="20">
        <f t="shared" ca="1" si="75"/>
        <v>0</v>
      </c>
      <c r="EO12" s="20">
        <f t="shared" ca="1" si="76"/>
        <v>0</v>
      </c>
      <c r="EP12" s="20">
        <f t="shared" ca="1" si="77"/>
        <v>0</v>
      </c>
      <c r="EQ12" s="17" t="s">
        <v>94</v>
      </c>
      <c r="ER12" s="19">
        <v>656292507178.54199</v>
      </c>
      <c r="ES12" s="20">
        <f t="shared" si="6"/>
        <v>27.209872421598067</v>
      </c>
    </row>
    <row r="13" spans="1:149" ht="15">
      <c r="A13" s="21" t="s">
        <v>168</v>
      </c>
      <c r="B13" s="14">
        <f ca="1">IFERROR(__xludf.dummyfunction("QUERY('Countries markets attractivenes'!A:C, ""SELECT C WHERE A = '""&amp;A13&amp;""'"",0)"),24.845046878243)</f>
        <v>24.845046878243</v>
      </c>
      <c r="C13" s="14">
        <f t="shared" ca="1" si="78"/>
        <v>61668979511.364265</v>
      </c>
      <c r="D13" s="18">
        <f>Marketplace_customer!C13/Marketplace_customer!C$2</f>
        <v>0</v>
      </c>
      <c r="E13" s="18">
        <f>Marketplace_customer!D13/Marketplace_customer!D$2</f>
        <v>0</v>
      </c>
      <c r="F13" s="18">
        <f>Marketplace_customer!E13/Marketplace_customer!E$2</f>
        <v>0</v>
      </c>
      <c r="G13" s="18">
        <f>Marketplace_customer!F13/Marketplace_customer!F$2</f>
        <v>0</v>
      </c>
      <c r="H13" s="18">
        <f>Marketplace_customer!G13/Marketplace_customer!G$2</f>
        <v>0</v>
      </c>
      <c r="I13" s="18">
        <f>Marketplace_customer!H13/Marketplace_customer!H$2</f>
        <v>0</v>
      </c>
      <c r="J13" s="18">
        <f>Marketplace_customer!I13/Marketplace_customer!I$2</f>
        <v>0</v>
      </c>
      <c r="K13" s="18">
        <f>Marketplace_customer!J13/Marketplace_customer!J$2</f>
        <v>0</v>
      </c>
      <c r="L13" s="18">
        <f>Marketplace_customer!K13/Marketplace_customer!K$2</f>
        <v>0</v>
      </c>
      <c r="M13" s="18">
        <f>Marketplace_customer!L13/Marketplace_customer!L$2</f>
        <v>0</v>
      </c>
      <c r="N13" s="18">
        <f>Marketplace_customer!M13/Marketplace_customer!M$2</f>
        <v>0</v>
      </c>
      <c r="O13" s="18">
        <f>Marketplace_customer!N13/Marketplace_customer!N$2</f>
        <v>0</v>
      </c>
      <c r="P13" s="18">
        <f>Marketplace_customer!O13/Marketplace_customer!O$2</f>
        <v>6.7340425531914891E-4</v>
      </c>
      <c r="Q13" s="18">
        <f>Marketplace_customer!P13/Marketplace_customer!P$2</f>
        <v>0</v>
      </c>
      <c r="R13" s="18">
        <f>Marketplace_customer!Q13/Marketplace_customer!Q$2</f>
        <v>0</v>
      </c>
      <c r="S13" s="18">
        <f>Marketplace_customer!R13/Marketplace_customer!R$2</f>
        <v>0</v>
      </c>
      <c r="T13" s="18">
        <f>Marketplace_customer!S13/Marketplace_customer!S$2</f>
        <v>0</v>
      </c>
      <c r="U13" s="18">
        <f>Marketplace_customer!T13/Marketplace_customer!T$2</f>
        <v>0</v>
      </c>
      <c r="V13" s="18">
        <f>Marketplace_customer!U13/Marketplace_customer!U$2</f>
        <v>0</v>
      </c>
      <c r="W13" s="18">
        <f>Marketplace_customer!V13/Marketplace_customer!V$2</f>
        <v>0</v>
      </c>
      <c r="X13" s="18">
        <f>Marketplace_customer!W13/Marketplace_customer!W$2</f>
        <v>0</v>
      </c>
      <c r="Y13" s="18">
        <f>Marketplace_customer!X13/Marketplace_customer!X$2</f>
        <v>0</v>
      </c>
      <c r="Z13" s="18">
        <f>Marketplace_customer!Y13/Marketplace_customer!Y$2</f>
        <v>0</v>
      </c>
      <c r="AA13" s="18">
        <f>Marketplace_customer!Z13/Marketplace_customer!Z$2</f>
        <v>0</v>
      </c>
      <c r="AB13" s="18">
        <f>Marketplace_customer!AA13/Marketplace_customer!AA$2</f>
        <v>0</v>
      </c>
      <c r="AC13" s="18">
        <f>Marketplace_customer!AB13/Marketplace_customer!AB$2</f>
        <v>0</v>
      </c>
      <c r="AD13" s="18">
        <f>Marketplace_customer!AC13/Marketplace_customer!AC$2</f>
        <v>0</v>
      </c>
      <c r="AE13" s="18">
        <f>Marketplace_customer!AD13/Marketplace_customer!AD$2</f>
        <v>0</v>
      </c>
      <c r="AF13" s="18">
        <f>Marketplace_customer!AE13/Marketplace_customer!AE$2</f>
        <v>0</v>
      </c>
      <c r="AG13" s="18">
        <f>Marketplace_customer!AF13/Marketplace_customer!AF$2</f>
        <v>0</v>
      </c>
      <c r="AH13" s="18">
        <f>Marketplace_customer!AG13/Marketplace_customer!AG$2</f>
        <v>0</v>
      </c>
      <c r="AI13" s="18">
        <f>Marketplace_customer!AH13/Marketplace_customer!AH$2</f>
        <v>0</v>
      </c>
      <c r="AJ13" s="18">
        <f>Marketplace_customer!AI13/Marketplace_customer!AI$2</f>
        <v>0</v>
      </c>
      <c r="AK13" s="18">
        <f>Marketplace_customer!AJ13/Marketplace_customer!AJ$2</f>
        <v>0</v>
      </c>
      <c r="AL13" s="18">
        <f>Marketplace_customer!AK13/Marketplace_customer!AK$2</f>
        <v>0</v>
      </c>
      <c r="AM13" s="18">
        <f>Marketplace_customer!AL13/Marketplace_customer!AL$2</f>
        <v>0</v>
      </c>
      <c r="AN13" s="18">
        <f>Marketplace_customer!AM13/Marketplace_customer!AM$2</f>
        <v>0</v>
      </c>
      <c r="AO13" s="18">
        <f>Marketplace_customer!AN13/Marketplace_customer!AN$2</f>
        <v>0</v>
      </c>
      <c r="AP13" s="18">
        <f>Marketplace_customer!AO13/Marketplace_customer!AO$2</f>
        <v>0</v>
      </c>
      <c r="AQ13" s="18">
        <f>Marketplace_customer!AP13/Marketplace_customer!AP$2</f>
        <v>0</v>
      </c>
      <c r="AR13" s="18">
        <f>Marketplace_customer!AQ13/Marketplace_customer!AQ$2</f>
        <v>0</v>
      </c>
      <c r="AS13" s="18">
        <f>Marketplace_customer!AR13/Marketplace_customer!AR$2</f>
        <v>0</v>
      </c>
      <c r="AT13" s="18">
        <f>Marketplace_customer!AS13/Marketplace_customer!AS$2</f>
        <v>0</v>
      </c>
      <c r="AU13" s="18">
        <f>Marketplace_customer!AT13/Marketplace_customer!AT$2</f>
        <v>0</v>
      </c>
      <c r="AV13" s="18">
        <f>Marketplace_customer!AU13/Marketplace_customer!AU$2</f>
        <v>0</v>
      </c>
      <c r="AW13" s="18">
        <f>Marketplace_customer!AV13/Marketplace_customer!AV$2</f>
        <v>0</v>
      </c>
      <c r="AX13" s="18">
        <f>Marketplace_customer!AW13/Marketplace_customer!AW$2</f>
        <v>0</v>
      </c>
      <c r="AY13" s="18">
        <f>Marketplace_customer!AX13/Marketplace_customer!AX$2</f>
        <v>0</v>
      </c>
      <c r="AZ13" s="18">
        <f>Marketplace_customer!AY13/Marketplace_customer!AY$2</f>
        <v>0</v>
      </c>
      <c r="BA13" s="18">
        <f>Marketplace_customer!AZ13/Marketplace_customer!AZ$2</f>
        <v>0</v>
      </c>
      <c r="BB13" s="18">
        <f>Marketplace_customer!BA13/Marketplace_customer!BA$2</f>
        <v>0</v>
      </c>
      <c r="BC13" s="18">
        <f>Marketplace_customer!BB13/Marketplace_customer!BB$2</f>
        <v>0</v>
      </c>
      <c r="BD13" s="18">
        <f>Marketplace_customer!BC13/Marketplace_customer!BC$2</f>
        <v>0</v>
      </c>
      <c r="BE13" s="18">
        <f>Marketplace_customer!BD13/Marketplace_customer!BD$2</f>
        <v>0</v>
      </c>
      <c r="BF13" s="18">
        <f>Marketplace_customer!BE13/Marketplace_customer!BE$2</f>
        <v>0</v>
      </c>
      <c r="BG13" s="18">
        <f>Marketplace_customer!BF13/Marketplace_customer!BF$2</f>
        <v>0</v>
      </c>
      <c r="BH13" s="18">
        <f>Marketplace_customer!BG13/Marketplace_customer!BG$2</f>
        <v>0</v>
      </c>
      <c r="BI13" s="18">
        <f>Marketplace_customer!BH13/Marketplace_customer!BH$2</f>
        <v>0</v>
      </c>
      <c r="BJ13" s="18">
        <f>Marketplace_customer!BI13/Marketplace_customer!BI$2</f>
        <v>0</v>
      </c>
      <c r="BK13" s="18">
        <f>Marketplace_customer!BJ13/Marketplace_customer!BJ$2</f>
        <v>0</v>
      </c>
      <c r="BL13" s="18">
        <f>Marketplace_customer!BK13/Marketplace_customer!BK$2</f>
        <v>0</v>
      </c>
      <c r="BM13" s="18">
        <f>Marketplace_customer!BL13/Marketplace_customer!BL$2</f>
        <v>0</v>
      </c>
      <c r="BN13" s="18">
        <f>Marketplace_customer!BM13/Marketplace_customer!BM$2</f>
        <v>0</v>
      </c>
      <c r="BO13" s="18">
        <f>Marketplace_customer!BN13/Marketplace_customer!BN$2</f>
        <v>0</v>
      </c>
      <c r="BP13" s="18">
        <f>Marketplace_customer!BO13/Marketplace_customer!BO$2</f>
        <v>0</v>
      </c>
      <c r="BQ13" s="18">
        <f>Marketplace_customer!BP13/Marketplace_customer!BP$2</f>
        <v>0</v>
      </c>
      <c r="BR13" s="18">
        <f>Marketplace_customer!BQ13/Marketplace_customer!BQ$2</f>
        <v>0</v>
      </c>
      <c r="BS13" s="18">
        <f>Marketplace_customer!BR13/Marketplace_customer!BR$2</f>
        <v>0</v>
      </c>
      <c r="BT13" s="18">
        <f>Marketplace_customer!BS13/Marketplace_customer!BS$2</f>
        <v>0</v>
      </c>
      <c r="BU13" s="18">
        <f>Marketplace_customer!BT13/Marketplace_customer!BT$2</f>
        <v>0</v>
      </c>
      <c r="BV13" s="18">
        <f>Marketplace_customer!BU13/Marketplace_customer!BU$2</f>
        <v>0</v>
      </c>
      <c r="BW13" s="19"/>
      <c r="BX13" s="20">
        <f t="shared" ca="1" si="7"/>
        <v>0</v>
      </c>
      <c r="BY13" s="20">
        <f t="shared" ca="1" si="8"/>
        <v>0</v>
      </c>
      <c r="BZ13" s="20">
        <f t="shared" ca="1" si="9"/>
        <v>0</v>
      </c>
      <c r="CA13" s="20">
        <f t="shared" ca="1" si="10"/>
        <v>0</v>
      </c>
      <c r="CB13" s="20">
        <f t="shared" ca="1" si="11"/>
        <v>0</v>
      </c>
      <c r="CC13" s="20">
        <f t="shared" ca="1" si="12"/>
        <v>0</v>
      </c>
      <c r="CD13" s="20">
        <f t="shared" ca="1" si="13"/>
        <v>0</v>
      </c>
      <c r="CE13" s="20">
        <f t="shared" ca="1" si="14"/>
        <v>0</v>
      </c>
      <c r="CF13" s="20">
        <f t="shared" ca="1" si="15"/>
        <v>0</v>
      </c>
      <c r="CG13" s="20">
        <f t="shared" ca="1" si="16"/>
        <v>0</v>
      </c>
      <c r="CH13" s="20">
        <f t="shared" ca="1" si="17"/>
        <v>0</v>
      </c>
      <c r="CI13" s="20">
        <f t="shared" ca="1" si="18"/>
        <v>0</v>
      </c>
      <c r="CJ13" s="20">
        <f t="shared" ca="1" si="19"/>
        <v>41528153.224142104</v>
      </c>
      <c r="CK13" s="20">
        <f t="shared" ca="1" si="20"/>
        <v>0</v>
      </c>
      <c r="CL13" s="20">
        <f t="shared" ca="1" si="21"/>
        <v>0</v>
      </c>
      <c r="CM13" s="20">
        <f t="shared" ca="1" si="22"/>
        <v>0</v>
      </c>
      <c r="CN13" s="20">
        <f t="shared" ca="1" si="23"/>
        <v>0</v>
      </c>
      <c r="CO13" s="20">
        <f t="shared" ca="1" si="24"/>
        <v>0</v>
      </c>
      <c r="CP13" s="20">
        <f t="shared" ca="1" si="25"/>
        <v>0</v>
      </c>
      <c r="CQ13" s="20">
        <f t="shared" ca="1" si="26"/>
        <v>0</v>
      </c>
      <c r="CR13" s="20">
        <f t="shared" ca="1" si="27"/>
        <v>0</v>
      </c>
      <c r="CS13" s="20">
        <f t="shared" ca="1" si="28"/>
        <v>0</v>
      </c>
      <c r="CT13" s="20">
        <f t="shared" ca="1" si="29"/>
        <v>0</v>
      </c>
      <c r="CU13" s="20">
        <f t="shared" ca="1" si="30"/>
        <v>0</v>
      </c>
      <c r="CV13" s="20">
        <f t="shared" ca="1" si="31"/>
        <v>0</v>
      </c>
      <c r="CW13" s="20">
        <f t="shared" ca="1" si="32"/>
        <v>0</v>
      </c>
      <c r="CX13" s="20">
        <f t="shared" ca="1" si="33"/>
        <v>0</v>
      </c>
      <c r="CY13" s="20">
        <f t="shared" ca="1" si="34"/>
        <v>0</v>
      </c>
      <c r="CZ13" s="20">
        <f t="shared" ca="1" si="35"/>
        <v>0</v>
      </c>
      <c r="DA13" s="20">
        <f t="shared" ca="1" si="36"/>
        <v>0</v>
      </c>
      <c r="DB13" s="20">
        <f t="shared" ca="1" si="37"/>
        <v>0</v>
      </c>
      <c r="DC13" s="20">
        <f t="shared" ca="1" si="38"/>
        <v>0</v>
      </c>
      <c r="DD13" s="20">
        <f t="shared" ca="1" si="39"/>
        <v>0</v>
      </c>
      <c r="DE13" s="20">
        <f t="shared" ca="1" si="40"/>
        <v>0</v>
      </c>
      <c r="DF13" s="20">
        <f t="shared" ca="1" si="41"/>
        <v>0</v>
      </c>
      <c r="DG13" s="20">
        <f t="shared" ca="1" si="42"/>
        <v>0</v>
      </c>
      <c r="DH13" s="20">
        <f t="shared" ca="1" si="43"/>
        <v>0</v>
      </c>
      <c r="DI13" s="20">
        <f t="shared" ca="1" si="44"/>
        <v>0</v>
      </c>
      <c r="DJ13" s="20">
        <f t="shared" ca="1" si="45"/>
        <v>0</v>
      </c>
      <c r="DK13" s="20">
        <f t="shared" ca="1" si="46"/>
        <v>0</v>
      </c>
      <c r="DL13" s="20">
        <f t="shared" ca="1" si="47"/>
        <v>0</v>
      </c>
      <c r="DM13" s="20">
        <f t="shared" ca="1" si="48"/>
        <v>0</v>
      </c>
      <c r="DN13" s="20">
        <f t="shared" ca="1" si="49"/>
        <v>0</v>
      </c>
      <c r="DO13" s="20">
        <f t="shared" ca="1" si="50"/>
        <v>0</v>
      </c>
      <c r="DP13" s="20">
        <f t="shared" ca="1" si="51"/>
        <v>0</v>
      </c>
      <c r="DQ13" s="20">
        <f t="shared" ca="1" si="52"/>
        <v>0</v>
      </c>
      <c r="DR13" s="20">
        <f t="shared" ca="1" si="53"/>
        <v>0</v>
      </c>
      <c r="DS13" s="20">
        <f t="shared" ca="1" si="54"/>
        <v>0</v>
      </c>
      <c r="DT13" s="20">
        <f t="shared" ca="1" si="55"/>
        <v>0</v>
      </c>
      <c r="DU13" s="20">
        <f t="shared" ca="1" si="56"/>
        <v>0</v>
      </c>
      <c r="DV13" s="20">
        <f t="shared" ca="1" si="57"/>
        <v>0</v>
      </c>
      <c r="DW13" s="20">
        <f t="shared" ca="1" si="58"/>
        <v>0</v>
      </c>
      <c r="DX13" s="20">
        <f t="shared" ca="1" si="59"/>
        <v>0</v>
      </c>
      <c r="DY13" s="20">
        <f t="shared" ca="1" si="60"/>
        <v>0</v>
      </c>
      <c r="DZ13" s="20">
        <f t="shared" ca="1" si="61"/>
        <v>0</v>
      </c>
      <c r="EA13" s="20">
        <f t="shared" ca="1" si="62"/>
        <v>0</v>
      </c>
      <c r="EB13" s="20">
        <f t="shared" ca="1" si="63"/>
        <v>0</v>
      </c>
      <c r="EC13" s="20">
        <f t="shared" ca="1" si="64"/>
        <v>0</v>
      </c>
      <c r="ED13" s="20">
        <f t="shared" ca="1" si="65"/>
        <v>0</v>
      </c>
      <c r="EE13" s="20">
        <f t="shared" ca="1" si="66"/>
        <v>0</v>
      </c>
      <c r="EF13" s="20">
        <f t="shared" ca="1" si="67"/>
        <v>0</v>
      </c>
      <c r="EG13" s="20">
        <f t="shared" ca="1" si="68"/>
        <v>0</v>
      </c>
      <c r="EH13" s="20">
        <f t="shared" ca="1" si="69"/>
        <v>0</v>
      </c>
      <c r="EI13" s="20">
        <f t="shared" ca="1" si="70"/>
        <v>0</v>
      </c>
      <c r="EJ13" s="20">
        <f t="shared" ca="1" si="71"/>
        <v>0</v>
      </c>
      <c r="EK13" s="20">
        <f t="shared" ca="1" si="72"/>
        <v>0</v>
      </c>
      <c r="EL13" s="20">
        <f t="shared" ca="1" si="73"/>
        <v>0</v>
      </c>
      <c r="EM13" s="20">
        <f t="shared" ca="1" si="74"/>
        <v>0</v>
      </c>
      <c r="EN13" s="20">
        <f t="shared" ca="1" si="75"/>
        <v>0</v>
      </c>
      <c r="EO13" s="20">
        <f t="shared" ca="1" si="76"/>
        <v>0</v>
      </c>
      <c r="EP13" s="20">
        <f t="shared" ca="1" si="77"/>
        <v>0</v>
      </c>
      <c r="EQ13" s="17" t="s">
        <v>95</v>
      </c>
      <c r="ER13" s="19">
        <v>2803707392794.1802</v>
      </c>
      <c r="ES13" s="20">
        <f t="shared" si="6"/>
        <v>28.661963726158604</v>
      </c>
    </row>
    <row r="14" spans="1:149" ht="15">
      <c r="A14" s="21" t="s">
        <v>169</v>
      </c>
      <c r="B14" s="14">
        <f ca="1">IFERROR(__xludf.dummyfunction("QUERY('Countries markets attractivenes'!A:C, ""SELECT C WHERE A = '""&amp;A14&amp;""'"",0)"),23.8836558499707)</f>
        <v>23.883655849970701</v>
      </c>
      <c r="C14" s="14">
        <f t="shared" ca="1" si="78"/>
        <v>23579790561.367359</v>
      </c>
      <c r="D14" s="18">
        <f>Marketplace_customer!C14/Marketplace_customer!C$2</f>
        <v>0</v>
      </c>
      <c r="E14" s="18">
        <f>Marketplace_customer!D14/Marketplace_customer!D$2</f>
        <v>0</v>
      </c>
      <c r="F14" s="18">
        <f>Marketplace_customer!E14/Marketplace_customer!E$2</f>
        <v>0</v>
      </c>
      <c r="G14" s="18">
        <f>Marketplace_customer!F14/Marketplace_customer!F$2</f>
        <v>0</v>
      </c>
      <c r="H14" s="18">
        <f>Marketplace_customer!G14/Marketplace_customer!G$2</f>
        <v>0</v>
      </c>
      <c r="I14" s="18">
        <f>Marketplace_customer!H14/Marketplace_customer!H$2</f>
        <v>0</v>
      </c>
      <c r="J14" s="18">
        <f>Marketplace_customer!I14/Marketplace_customer!I$2</f>
        <v>0</v>
      </c>
      <c r="K14" s="18">
        <f>Marketplace_customer!J14/Marketplace_customer!J$2</f>
        <v>0</v>
      </c>
      <c r="L14" s="18">
        <f>Marketplace_customer!K14/Marketplace_customer!K$2</f>
        <v>0</v>
      </c>
      <c r="M14" s="18">
        <f>Marketplace_customer!L14/Marketplace_customer!L$2</f>
        <v>0</v>
      </c>
      <c r="N14" s="18">
        <f>Marketplace_customer!M14/Marketplace_customer!M$2</f>
        <v>0</v>
      </c>
      <c r="O14" s="18">
        <f>Marketplace_customer!N14/Marketplace_customer!N$2</f>
        <v>0</v>
      </c>
      <c r="P14" s="18">
        <f>Marketplace_customer!O14/Marketplace_customer!O$2</f>
        <v>1.2127659574468085E-4</v>
      </c>
      <c r="Q14" s="18">
        <f>Marketplace_customer!P14/Marketplace_customer!P$2</f>
        <v>0</v>
      </c>
      <c r="R14" s="18">
        <f>Marketplace_customer!Q14/Marketplace_customer!Q$2</f>
        <v>0</v>
      </c>
      <c r="S14" s="18">
        <f>Marketplace_customer!R14/Marketplace_customer!R$2</f>
        <v>0</v>
      </c>
      <c r="T14" s="18">
        <f>Marketplace_customer!S14/Marketplace_customer!S$2</f>
        <v>0</v>
      </c>
      <c r="U14" s="18">
        <f>Marketplace_customer!T14/Marketplace_customer!T$2</f>
        <v>0</v>
      </c>
      <c r="V14" s="18">
        <f>Marketplace_customer!U14/Marketplace_customer!U$2</f>
        <v>0</v>
      </c>
      <c r="W14" s="18">
        <f>Marketplace_customer!V14/Marketplace_customer!V$2</f>
        <v>0</v>
      </c>
      <c r="X14" s="18">
        <f>Marketplace_customer!W14/Marketplace_customer!W$2</f>
        <v>0</v>
      </c>
      <c r="Y14" s="18">
        <f>Marketplace_customer!X14/Marketplace_customer!X$2</f>
        <v>0</v>
      </c>
      <c r="Z14" s="18">
        <f>Marketplace_customer!Y14/Marketplace_customer!Y$2</f>
        <v>0</v>
      </c>
      <c r="AA14" s="18">
        <f>Marketplace_customer!Z14/Marketplace_customer!Z$2</f>
        <v>0</v>
      </c>
      <c r="AB14" s="18">
        <f>Marketplace_customer!AA14/Marketplace_customer!AA$2</f>
        <v>0</v>
      </c>
      <c r="AC14" s="18">
        <f>Marketplace_customer!AB14/Marketplace_customer!AB$2</f>
        <v>0</v>
      </c>
      <c r="AD14" s="18">
        <f>Marketplace_customer!AC14/Marketplace_customer!AC$2</f>
        <v>0</v>
      </c>
      <c r="AE14" s="18">
        <f>Marketplace_customer!AD14/Marketplace_customer!AD$2</f>
        <v>0</v>
      </c>
      <c r="AF14" s="18">
        <f>Marketplace_customer!AE14/Marketplace_customer!AE$2</f>
        <v>0</v>
      </c>
      <c r="AG14" s="18">
        <f>Marketplace_customer!AF14/Marketplace_customer!AF$2</f>
        <v>0</v>
      </c>
      <c r="AH14" s="18">
        <f>Marketplace_customer!AG14/Marketplace_customer!AG$2</f>
        <v>0</v>
      </c>
      <c r="AI14" s="18">
        <f>Marketplace_customer!AH14/Marketplace_customer!AH$2</f>
        <v>0</v>
      </c>
      <c r="AJ14" s="18">
        <f>Marketplace_customer!AI14/Marketplace_customer!AI$2</f>
        <v>0</v>
      </c>
      <c r="AK14" s="18">
        <f>Marketplace_customer!AJ14/Marketplace_customer!AJ$2</f>
        <v>0</v>
      </c>
      <c r="AL14" s="18">
        <f>Marketplace_customer!AK14/Marketplace_customer!AK$2</f>
        <v>0</v>
      </c>
      <c r="AM14" s="18">
        <f>Marketplace_customer!AL14/Marketplace_customer!AL$2</f>
        <v>0</v>
      </c>
      <c r="AN14" s="18">
        <f>Marketplace_customer!AM14/Marketplace_customer!AM$2</f>
        <v>0</v>
      </c>
      <c r="AO14" s="18">
        <f>Marketplace_customer!AN14/Marketplace_customer!AN$2</f>
        <v>0</v>
      </c>
      <c r="AP14" s="18">
        <f>Marketplace_customer!AO14/Marketplace_customer!AO$2</f>
        <v>0</v>
      </c>
      <c r="AQ14" s="18">
        <f>Marketplace_customer!AP14/Marketplace_customer!AP$2</f>
        <v>0</v>
      </c>
      <c r="AR14" s="18">
        <f>Marketplace_customer!AQ14/Marketplace_customer!AQ$2</f>
        <v>0</v>
      </c>
      <c r="AS14" s="18">
        <f>Marketplace_customer!AR14/Marketplace_customer!AR$2</f>
        <v>0</v>
      </c>
      <c r="AT14" s="18">
        <f>Marketplace_customer!AS14/Marketplace_customer!AS$2</f>
        <v>0</v>
      </c>
      <c r="AU14" s="18">
        <f>Marketplace_customer!AT14/Marketplace_customer!AT$2</f>
        <v>0</v>
      </c>
      <c r="AV14" s="18">
        <f>Marketplace_customer!AU14/Marketplace_customer!AU$2</f>
        <v>0</v>
      </c>
      <c r="AW14" s="18">
        <f>Marketplace_customer!AV14/Marketplace_customer!AV$2</f>
        <v>0</v>
      </c>
      <c r="AX14" s="18">
        <f>Marketplace_customer!AW14/Marketplace_customer!AW$2</f>
        <v>0</v>
      </c>
      <c r="AY14" s="18">
        <f>Marketplace_customer!AX14/Marketplace_customer!AX$2</f>
        <v>0</v>
      </c>
      <c r="AZ14" s="18">
        <f>Marketplace_customer!AY14/Marketplace_customer!AY$2</f>
        <v>0</v>
      </c>
      <c r="BA14" s="18">
        <f>Marketplace_customer!AZ14/Marketplace_customer!AZ$2</f>
        <v>0</v>
      </c>
      <c r="BB14" s="18">
        <f>Marketplace_customer!BA14/Marketplace_customer!BA$2</f>
        <v>0</v>
      </c>
      <c r="BC14" s="18">
        <f>Marketplace_customer!BB14/Marketplace_customer!BB$2</f>
        <v>0</v>
      </c>
      <c r="BD14" s="18">
        <f>Marketplace_customer!BC14/Marketplace_customer!BC$2</f>
        <v>0</v>
      </c>
      <c r="BE14" s="18">
        <f>Marketplace_customer!BD14/Marketplace_customer!BD$2</f>
        <v>0</v>
      </c>
      <c r="BF14" s="18">
        <f>Marketplace_customer!BE14/Marketplace_customer!BE$2</f>
        <v>0</v>
      </c>
      <c r="BG14" s="18">
        <f>Marketplace_customer!BF14/Marketplace_customer!BF$2</f>
        <v>0</v>
      </c>
      <c r="BH14" s="18">
        <f>Marketplace_customer!BG14/Marketplace_customer!BG$2</f>
        <v>0</v>
      </c>
      <c r="BI14" s="18">
        <f>Marketplace_customer!BH14/Marketplace_customer!BH$2</f>
        <v>0</v>
      </c>
      <c r="BJ14" s="18">
        <f>Marketplace_customer!BI14/Marketplace_customer!BI$2</f>
        <v>0</v>
      </c>
      <c r="BK14" s="18">
        <f>Marketplace_customer!BJ14/Marketplace_customer!BJ$2</f>
        <v>0</v>
      </c>
      <c r="BL14" s="18">
        <f>Marketplace_customer!BK14/Marketplace_customer!BK$2</f>
        <v>0</v>
      </c>
      <c r="BM14" s="18">
        <f>Marketplace_customer!BL14/Marketplace_customer!BL$2</f>
        <v>0</v>
      </c>
      <c r="BN14" s="18">
        <f>Marketplace_customer!BM14/Marketplace_customer!BM$2</f>
        <v>0</v>
      </c>
      <c r="BO14" s="18">
        <f>Marketplace_customer!BN14/Marketplace_customer!BN$2</f>
        <v>0</v>
      </c>
      <c r="BP14" s="18">
        <f>Marketplace_customer!BO14/Marketplace_customer!BO$2</f>
        <v>0</v>
      </c>
      <c r="BQ14" s="18">
        <f>Marketplace_customer!BP14/Marketplace_customer!BP$2</f>
        <v>0</v>
      </c>
      <c r="BR14" s="18">
        <f>Marketplace_customer!BQ14/Marketplace_customer!BQ$2</f>
        <v>0</v>
      </c>
      <c r="BS14" s="18">
        <f>Marketplace_customer!BR14/Marketplace_customer!BR$2</f>
        <v>0</v>
      </c>
      <c r="BT14" s="18">
        <f>Marketplace_customer!BS14/Marketplace_customer!BS$2</f>
        <v>0</v>
      </c>
      <c r="BU14" s="18">
        <f>Marketplace_customer!BT14/Marketplace_customer!BT$2</f>
        <v>0</v>
      </c>
      <c r="BV14" s="18">
        <f>Marketplace_customer!BU14/Marketplace_customer!BU$2</f>
        <v>0</v>
      </c>
      <c r="BW14" s="19"/>
      <c r="BX14" s="20">
        <f t="shared" ca="1" si="7"/>
        <v>0</v>
      </c>
      <c r="BY14" s="20">
        <f t="shared" ca="1" si="8"/>
        <v>0</v>
      </c>
      <c r="BZ14" s="20">
        <f t="shared" ca="1" si="9"/>
        <v>0</v>
      </c>
      <c r="CA14" s="20">
        <f t="shared" ca="1" si="10"/>
        <v>0</v>
      </c>
      <c r="CB14" s="20">
        <f t="shared" ca="1" si="11"/>
        <v>0</v>
      </c>
      <c r="CC14" s="20">
        <f t="shared" ca="1" si="12"/>
        <v>0</v>
      </c>
      <c r="CD14" s="20">
        <f t="shared" ca="1" si="13"/>
        <v>0</v>
      </c>
      <c r="CE14" s="20">
        <f t="shared" ca="1" si="14"/>
        <v>0</v>
      </c>
      <c r="CF14" s="20">
        <f t="shared" ca="1" si="15"/>
        <v>0</v>
      </c>
      <c r="CG14" s="20">
        <f t="shared" ca="1" si="16"/>
        <v>0</v>
      </c>
      <c r="CH14" s="20">
        <f t="shared" ca="1" si="17"/>
        <v>0</v>
      </c>
      <c r="CI14" s="20">
        <f t="shared" ca="1" si="18"/>
        <v>0</v>
      </c>
      <c r="CJ14" s="20">
        <f t="shared" ca="1" si="19"/>
        <v>2859676.7276551905</v>
      </c>
      <c r="CK14" s="20">
        <f t="shared" ca="1" si="20"/>
        <v>0</v>
      </c>
      <c r="CL14" s="20">
        <f t="shared" ca="1" si="21"/>
        <v>0</v>
      </c>
      <c r="CM14" s="20">
        <f t="shared" ca="1" si="22"/>
        <v>0</v>
      </c>
      <c r="CN14" s="20">
        <f t="shared" ca="1" si="23"/>
        <v>0</v>
      </c>
      <c r="CO14" s="20">
        <f t="shared" ca="1" si="24"/>
        <v>0</v>
      </c>
      <c r="CP14" s="20">
        <f t="shared" ca="1" si="25"/>
        <v>0</v>
      </c>
      <c r="CQ14" s="20">
        <f t="shared" ca="1" si="26"/>
        <v>0</v>
      </c>
      <c r="CR14" s="20">
        <f t="shared" ca="1" si="27"/>
        <v>0</v>
      </c>
      <c r="CS14" s="20">
        <f t="shared" ca="1" si="28"/>
        <v>0</v>
      </c>
      <c r="CT14" s="20">
        <f t="shared" ca="1" si="29"/>
        <v>0</v>
      </c>
      <c r="CU14" s="20">
        <f t="shared" ca="1" si="30"/>
        <v>0</v>
      </c>
      <c r="CV14" s="20">
        <f t="shared" ca="1" si="31"/>
        <v>0</v>
      </c>
      <c r="CW14" s="20">
        <f t="shared" ca="1" si="32"/>
        <v>0</v>
      </c>
      <c r="CX14" s="20">
        <f t="shared" ca="1" si="33"/>
        <v>0</v>
      </c>
      <c r="CY14" s="20">
        <f t="shared" ca="1" si="34"/>
        <v>0</v>
      </c>
      <c r="CZ14" s="20">
        <f t="shared" ca="1" si="35"/>
        <v>0</v>
      </c>
      <c r="DA14" s="20">
        <f t="shared" ca="1" si="36"/>
        <v>0</v>
      </c>
      <c r="DB14" s="20">
        <f t="shared" ca="1" si="37"/>
        <v>0</v>
      </c>
      <c r="DC14" s="20">
        <f t="shared" ca="1" si="38"/>
        <v>0</v>
      </c>
      <c r="DD14" s="20">
        <f t="shared" ca="1" si="39"/>
        <v>0</v>
      </c>
      <c r="DE14" s="20">
        <f t="shared" ca="1" si="40"/>
        <v>0</v>
      </c>
      <c r="DF14" s="20">
        <f t="shared" ca="1" si="41"/>
        <v>0</v>
      </c>
      <c r="DG14" s="20">
        <f t="shared" ca="1" si="42"/>
        <v>0</v>
      </c>
      <c r="DH14" s="20">
        <f t="shared" ca="1" si="43"/>
        <v>0</v>
      </c>
      <c r="DI14" s="20">
        <f t="shared" ca="1" si="44"/>
        <v>0</v>
      </c>
      <c r="DJ14" s="20">
        <f t="shared" ca="1" si="45"/>
        <v>0</v>
      </c>
      <c r="DK14" s="20">
        <f t="shared" ca="1" si="46"/>
        <v>0</v>
      </c>
      <c r="DL14" s="20">
        <f t="shared" ca="1" si="47"/>
        <v>0</v>
      </c>
      <c r="DM14" s="20">
        <f t="shared" ca="1" si="48"/>
        <v>0</v>
      </c>
      <c r="DN14" s="20">
        <f t="shared" ca="1" si="49"/>
        <v>0</v>
      </c>
      <c r="DO14" s="20">
        <f t="shared" ca="1" si="50"/>
        <v>0</v>
      </c>
      <c r="DP14" s="20">
        <f t="shared" ca="1" si="51"/>
        <v>0</v>
      </c>
      <c r="DQ14" s="20">
        <f t="shared" ca="1" si="52"/>
        <v>0</v>
      </c>
      <c r="DR14" s="20">
        <f t="shared" ca="1" si="53"/>
        <v>0</v>
      </c>
      <c r="DS14" s="20">
        <f t="shared" ca="1" si="54"/>
        <v>0</v>
      </c>
      <c r="DT14" s="20">
        <f t="shared" ca="1" si="55"/>
        <v>0</v>
      </c>
      <c r="DU14" s="20">
        <f t="shared" ca="1" si="56"/>
        <v>0</v>
      </c>
      <c r="DV14" s="20">
        <f t="shared" ca="1" si="57"/>
        <v>0</v>
      </c>
      <c r="DW14" s="20">
        <f t="shared" ca="1" si="58"/>
        <v>0</v>
      </c>
      <c r="DX14" s="20">
        <f t="shared" ca="1" si="59"/>
        <v>0</v>
      </c>
      <c r="DY14" s="20">
        <f t="shared" ca="1" si="60"/>
        <v>0</v>
      </c>
      <c r="DZ14" s="20">
        <f t="shared" ca="1" si="61"/>
        <v>0</v>
      </c>
      <c r="EA14" s="20">
        <f t="shared" ca="1" si="62"/>
        <v>0</v>
      </c>
      <c r="EB14" s="20">
        <f t="shared" ca="1" si="63"/>
        <v>0</v>
      </c>
      <c r="EC14" s="20">
        <f t="shared" ca="1" si="64"/>
        <v>0</v>
      </c>
      <c r="ED14" s="20">
        <f t="shared" ca="1" si="65"/>
        <v>0</v>
      </c>
      <c r="EE14" s="20">
        <f t="shared" ca="1" si="66"/>
        <v>0</v>
      </c>
      <c r="EF14" s="20">
        <f t="shared" ca="1" si="67"/>
        <v>0</v>
      </c>
      <c r="EG14" s="20">
        <f t="shared" ca="1" si="68"/>
        <v>0</v>
      </c>
      <c r="EH14" s="20">
        <f t="shared" ca="1" si="69"/>
        <v>0</v>
      </c>
      <c r="EI14" s="20">
        <f t="shared" ca="1" si="70"/>
        <v>0</v>
      </c>
      <c r="EJ14" s="20">
        <f t="shared" ca="1" si="71"/>
        <v>0</v>
      </c>
      <c r="EK14" s="20">
        <f t="shared" ca="1" si="72"/>
        <v>0</v>
      </c>
      <c r="EL14" s="20">
        <f t="shared" ca="1" si="73"/>
        <v>0</v>
      </c>
      <c r="EM14" s="20">
        <f t="shared" ca="1" si="74"/>
        <v>0</v>
      </c>
      <c r="EN14" s="20">
        <f t="shared" ca="1" si="75"/>
        <v>0</v>
      </c>
      <c r="EO14" s="20">
        <f t="shared" ca="1" si="76"/>
        <v>0</v>
      </c>
      <c r="EP14" s="20">
        <f t="shared" ca="1" si="77"/>
        <v>0</v>
      </c>
      <c r="EQ14" s="17" t="s">
        <v>96</v>
      </c>
      <c r="ER14" s="19">
        <v>15278193063917.9</v>
      </c>
      <c r="ES14" s="20">
        <f t="shared" si="6"/>
        <v>30.357447637695056</v>
      </c>
    </row>
    <row r="15" spans="1:149" ht="15">
      <c r="A15" s="21" t="s">
        <v>170</v>
      </c>
      <c r="B15" s="14">
        <f ca="1">IFERROR(__xludf.dummyfunction("QUERY('Countries markets attractivenes'!A:C, ""SELECT C WHERE A = '""&amp;A15&amp;""'"",0)"),26.0369844964571)</f>
        <v>26.036984496457102</v>
      </c>
      <c r="C15" s="14">
        <f t="shared" ca="1" si="78"/>
        <v>203104100818.13528</v>
      </c>
      <c r="D15" s="18">
        <f>Marketplace_customer!C15/Marketplace_customer!C$2</f>
        <v>0</v>
      </c>
      <c r="E15" s="18">
        <f>Marketplace_customer!D15/Marketplace_customer!D$2</f>
        <v>0</v>
      </c>
      <c r="F15" s="18">
        <f>Marketplace_customer!E15/Marketplace_customer!E$2</f>
        <v>0</v>
      </c>
      <c r="G15" s="18">
        <f>Marketplace_customer!F15/Marketplace_customer!F$2</f>
        <v>0</v>
      </c>
      <c r="H15" s="18">
        <f>Marketplace_customer!G15/Marketplace_customer!G$2</f>
        <v>0</v>
      </c>
      <c r="I15" s="18">
        <f>Marketplace_customer!H15/Marketplace_customer!H$2</f>
        <v>0</v>
      </c>
      <c r="J15" s="18">
        <f>Marketplace_customer!I15/Marketplace_customer!I$2</f>
        <v>0</v>
      </c>
      <c r="K15" s="18">
        <f>Marketplace_customer!J15/Marketplace_customer!J$2</f>
        <v>0</v>
      </c>
      <c r="L15" s="18">
        <f>Marketplace_customer!K15/Marketplace_customer!K$2</f>
        <v>0</v>
      </c>
      <c r="M15" s="18">
        <f>Marketplace_customer!L15/Marketplace_customer!L$2</f>
        <v>0</v>
      </c>
      <c r="N15" s="18">
        <f>Marketplace_customer!M15/Marketplace_customer!M$2</f>
        <v>0</v>
      </c>
      <c r="O15" s="18">
        <f>Marketplace_customer!N15/Marketplace_customer!N$2</f>
        <v>0</v>
      </c>
      <c r="P15" s="18">
        <f>Marketplace_customer!O15/Marketplace_customer!O$2</f>
        <v>4.3829787234042552E-4</v>
      </c>
      <c r="Q15" s="18">
        <f>Marketplace_customer!P15/Marketplace_customer!P$2</f>
        <v>0</v>
      </c>
      <c r="R15" s="18">
        <f>Marketplace_customer!Q15/Marketplace_customer!Q$2</f>
        <v>0</v>
      </c>
      <c r="S15" s="18">
        <f>Marketplace_customer!R15/Marketplace_customer!R$2</f>
        <v>0</v>
      </c>
      <c r="T15" s="18">
        <f>Marketplace_customer!S15/Marketplace_customer!S$2</f>
        <v>0</v>
      </c>
      <c r="U15" s="18">
        <f>Marketplace_customer!T15/Marketplace_customer!T$2</f>
        <v>0</v>
      </c>
      <c r="V15" s="18">
        <f>Marketplace_customer!U15/Marketplace_customer!U$2</f>
        <v>0</v>
      </c>
      <c r="W15" s="18">
        <f>Marketplace_customer!V15/Marketplace_customer!V$2</f>
        <v>0</v>
      </c>
      <c r="X15" s="18">
        <f>Marketplace_customer!W15/Marketplace_customer!W$2</f>
        <v>0</v>
      </c>
      <c r="Y15" s="18">
        <f>Marketplace_customer!X15/Marketplace_customer!X$2</f>
        <v>0</v>
      </c>
      <c r="Z15" s="18">
        <f>Marketplace_customer!Y15/Marketplace_customer!Y$2</f>
        <v>0</v>
      </c>
      <c r="AA15" s="18">
        <f>Marketplace_customer!Z15/Marketplace_customer!Z$2</f>
        <v>0</v>
      </c>
      <c r="AB15" s="18">
        <f>Marketplace_customer!AA15/Marketplace_customer!AA$2</f>
        <v>0</v>
      </c>
      <c r="AC15" s="18">
        <f>Marketplace_customer!AB15/Marketplace_customer!AB$2</f>
        <v>0</v>
      </c>
      <c r="AD15" s="18">
        <f>Marketplace_customer!AC15/Marketplace_customer!AC$2</f>
        <v>0</v>
      </c>
      <c r="AE15" s="18">
        <f>Marketplace_customer!AD15/Marketplace_customer!AD$2</f>
        <v>0</v>
      </c>
      <c r="AF15" s="18">
        <f>Marketplace_customer!AE15/Marketplace_customer!AE$2</f>
        <v>0</v>
      </c>
      <c r="AG15" s="18">
        <f>Marketplace_customer!AF15/Marketplace_customer!AF$2</f>
        <v>0</v>
      </c>
      <c r="AH15" s="18">
        <f>Marketplace_customer!AG15/Marketplace_customer!AG$2</f>
        <v>0</v>
      </c>
      <c r="AI15" s="18">
        <f>Marketplace_customer!AH15/Marketplace_customer!AH$2</f>
        <v>0</v>
      </c>
      <c r="AJ15" s="18">
        <f>Marketplace_customer!AI15/Marketplace_customer!AI$2</f>
        <v>0</v>
      </c>
      <c r="AK15" s="18">
        <f>Marketplace_customer!AJ15/Marketplace_customer!AJ$2</f>
        <v>0</v>
      </c>
      <c r="AL15" s="18">
        <f>Marketplace_customer!AK15/Marketplace_customer!AK$2</f>
        <v>0</v>
      </c>
      <c r="AM15" s="18">
        <f>Marketplace_customer!AL15/Marketplace_customer!AL$2</f>
        <v>0</v>
      </c>
      <c r="AN15" s="18">
        <f>Marketplace_customer!AM15/Marketplace_customer!AM$2</f>
        <v>0</v>
      </c>
      <c r="AO15" s="18">
        <f>Marketplace_customer!AN15/Marketplace_customer!AN$2</f>
        <v>0</v>
      </c>
      <c r="AP15" s="18">
        <f>Marketplace_customer!AO15/Marketplace_customer!AO$2</f>
        <v>0</v>
      </c>
      <c r="AQ15" s="18">
        <f>Marketplace_customer!AP15/Marketplace_customer!AP$2</f>
        <v>0</v>
      </c>
      <c r="AR15" s="18">
        <f>Marketplace_customer!AQ15/Marketplace_customer!AQ$2</f>
        <v>0</v>
      </c>
      <c r="AS15" s="18">
        <f>Marketplace_customer!AR15/Marketplace_customer!AR$2</f>
        <v>0</v>
      </c>
      <c r="AT15" s="18">
        <f>Marketplace_customer!AS15/Marketplace_customer!AS$2</f>
        <v>0</v>
      </c>
      <c r="AU15" s="18">
        <f>Marketplace_customer!AT15/Marketplace_customer!AT$2</f>
        <v>0</v>
      </c>
      <c r="AV15" s="18">
        <f>Marketplace_customer!AU15/Marketplace_customer!AU$2</f>
        <v>0</v>
      </c>
      <c r="AW15" s="18">
        <f>Marketplace_customer!AV15/Marketplace_customer!AV$2</f>
        <v>0</v>
      </c>
      <c r="AX15" s="18">
        <f>Marketplace_customer!AW15/Marketplace_customer!AW$2</f>
        <v>0</v>
      </c>
      <c r="AY15" s="18">
        <f>Marketplace_customer!AX15/Marketplace_customer!AX$2</f>
        <v>0</v>
      </c>
      <c r="AZ15" s="18">
        <f>Marketplace_customer!AY15/Marketplace_customer!AY$2</f>
        <v>0</v>
      </c>
      <c r="BA15" s="18">
        <f>Marketplace_customer!AZ15/Marketplace_customer!AZ$2</f>
        <v>0</v>
      </c>
      <c r="BB15" s="18">
        <f>Marketplace_customer!BA15/Marketplace_customer!BA$2</f>
        <v>0</v>
      </c>
      <c r="BC15" s="18">
        <f>Marketplace_customer!BB15/Marketplace_customer!BB$2</f>
        <v>0</v>
      </c>
      <c r="BD15" s="18">
        <f>Marketplace_customer!BC15/Marketplace_customer!BC$2</f>
        <v>0</v>
      </c>
      <c r="BE15" s="18">
        <f>Marketplace_customer!BD15/Marketplace_customer!BD$2</f>
        <v>0</v>
      </c>
      <c r="BF15" s="18">
        <f>Marketplace_customer!BE15/Marketplace_customer!BE$2</f>
        <v>0</v>
      </c>
      <c r="BG15" s="18">
        <f>Marketplace_customer!BF15/Marketplace_customer!BF$2</f>
        <v>0</v>
      </c>
      <c r="BH15" s="18">
        <f>Marketplace_customer!BG15/Marketplace_customer!BG$2</f>
        <v>0</v>
      </c>
      <c r="BI15" s="18">
        <f>Marketplace_customer!BH15/Marketplace_customer!BH$2</f>
        <v>0</v>
      </c>
      <c r="BJ15" s="18">
        <f>Marketplace_customer!BI15/Marketplace_customer!BI$2</f>
        <v>0</v>
      </c>
      <c r="BK15" s="18">
        <f>Marketplace_customer!BJ15/Marketplace_customer!BJ$2</f>
        <v>0</v>
      </c>
      <c r="BL15" s="18">
        <f>Marketplace_customer!BK15/Marketplace_customer!BK$2</f>
        <v>0</v>
      </c>
      <c r="BM15" s="18">
        <f>Marketplace_customer!BL15/Marketplace_customer!BL$2</f>
        <v>0</v>
      </c>
      <c r="BN15" s="18">
        <f>Marketplace_customer!BM15/Marketplace_customer!BM$2</f>
        <v>0</v>
      </c>
      <c r="BO15" s="18">
        <f>Marketplace_customer!BN15/Marketplace_customer!BN$2</f>
        <v>0</v>
      </c>
      <c r="BP15" s="18">
        <f>Marketplace_customer!BO15/Marketplace_customer!BO$2</f>
        <v>0</v>
      </c>
      <c r="BQ15" s="18">
        <f>Marketplace_customer!BP15/Marketplace_customer!BP$2</f>
        <v>0</v>
      </c>
      <c r="BR15" s="18">
        <f>Marketplace_customer!BQ15/Marketplace_customer!BQ$2</f>
        <v>0</v>
      </c>
      <c r="BS15" s="18">
        <f>Marketplace_customer!BR15/Marketplace_customer!BR$2</f>
        <v>0</v>
      </c>
      <c r="BT15" s="18">
        <f>Marketplace_customer!BS15/Marketplace_customer!BS$2</f>
        <v>0</v>
      </c>
      <c r="BU15" s="18">
        <f>Marketplace_customer!BT15/Marketplace_customer!BT$2</f>
        <v>0</v>
      </c>
      <c r="BV15" s="18">
        <f>Marketplace_customer!BU15/Marketplace_customer!BU$2</f>
        <v>0</v>
      </c>
      <c r="BW15" s="19"/>
      <c r="BX15" s="20">
        <f t="shared" ca="1" si="7"/>
        <v>0</v>
      </c>
      <c r="BY15" s="20">
        <f t="shared" ca="1" si="8"/>
        <v>0</v>
      </c>
      <c r="BZ15" s="20">
        <f t="shared" ca="1" si="9"/>
        <v>0</v>
      </c>
      <c r="CA15" s="20">
        <f t="shared" ca="1" si="10"/>
        <v>0</v>
      </c>
      <c r="CB15" s="20">
        <f t="shared" ca="1" si="11"/>
        <v>0</v>
      </c>
      <c r="CC15" s="20">
        <f t="shared" ca="1" si="12"/>
        <v>0</v>
      </c>
      <c r="CD15" s="20">
        <f t="shared" ca="1" si="13"/>
        <v>0</v>
      </c>
      <c r="CE15" s="20">
        <f t="shared" ca="1" si="14"/>
        <v>0</v>
      </c>
      <c r="CF15" s="20">
        <f t="shared" ca="1" si="15"/>
        <v>0</v>
      </c>
      <c r="CG15" s="20">
        <f t="shared" ca="1" si="16"/>
        <v>0</v>
      </c>
      <c r="CH15" s="20">
        <f t="shared" ca="1" si="17"/>
        <v>0</v>
      </c>
      <c r="CI15" s="20">
        <f t="shared" ca="1" si="18"/>
        <v>0</v>
      </c>
      <c r="CJ15" s="20">
        <f t="shared" ca="1" si="19"/>
        <v>89020095.252203971</v>
      </c>
      <c r="CK15" s="20">
        <f t="shared" ca="1" si="20"/>
        <v>0</v>
      </c>
      <c r="CL15" s="20">
        <f t="shared" ca="1" si="21"/>
        <v>0</v>
      </c>
      <c r="CM15" s="20">
        <f t="shared" ca="1" si="22"/>
        <v>0</v>
      </c>
      <c r="CN15" s="20">
        <f t="shared" ca="1" si="23"/>
        <v>0</v>
      </c>
      <c r="CO15" s="20">
        <f t="shared" ca="1" si="24"/>
        <v>0</v>
      </c>
      <c r="CP15" s="20">
        <f t="shared" ca="1" si="25"/>
        <v>0</v>
      </c>
      <c r="CQ15" s="20">
        <f t="shared" ca="1" si="26"/>
        <v>0</v>
      </c>
      <c r="CR15" s="20">
        <f t="shared" ca="1" si="27"/>
        <v>0</v>
      </c>
      <c r="CS15" s="20">
        <f t="shared" ca="1" si="28"/>
        <v>0</v>
      </c>
      <c r="CT15" s="20">
        <f t="shared" ca="1" si="29"/>
        <v>0</v>
      </c>
      <c r="CU15" s="20">
        <f t="shared" ca="1" si="30"/>
        <v>0</v>
      </c>
      <c r="CV15" s="20">
        <f t="shared" ca="1" si="31"/>
        <v>0</v>
      </c>
      <c r="CW15" s="20">
        <f t="shared" ca="1" si="32"/>
        <v>0</v>
      </c>
      <c r="CX15" s="20">
        <f t="shared" ca="1" si="33"/>
        <v>0</v>
      </c>
      <c r="CY15" s="20">
        <f t="shared" ca="1" si="34"/>
        <v>0</v>
      </c>
      <c r="CZ15" s="20">
        <f t="shared" ca="1" si="35"/>
        <v>0</v>
      </c>
      <c r="DA15" s="20">
        <f t="shared" ca="1" si="36"/>
        <v>0</v>
      </c>
      <c r="DB15" s="20">
        <f t="shared" ca="1" si="37"/>
        <v>0</v>
      </c>
      <c r="DC15" s="20">
        <f t="shared" ca="1" si="38"/>
        <v>0</v>
      </c>
      <c r="DD15" s="20">
        <f t="shared" ca="1" si="39"/>
        <v>0</v>
      </c>
      <c r="DE15" s="20">
        <f t="shared" ca="1" si="40"/>
        <v>0</v>
      </c>
      <c r="DF15" s="20">
        <f t="shared" ca="1" si="41"/>
        <v>0</v>
      </c>
      <c r="DG15" s="20">
        <f t="shared" ca="1" si="42"/>
        <v>0</v>
      </c>
      <c r="DH15" s="20">
        <f t="shared" ca="1" si="43"/>
        <v>0</v>
      </c>
      <c r="DI15" s="20">
        <f t="shared" ca="1" si="44"/>
        <v>0</v>
      </c>
      <c r="DJ15" s="20">
        <f t="shared" ca="1" si="45"/>
        <v>0</v>
      </c>
      <c r="DK15" s="20">
        <f t="shared" ca="1" si="46"/>
        <v>0</v>
      </c>
      <c r="DL15" s="20">
        <f t="shared" ca="1" si="47"/>
        <v>0</v>
      </c>
      <c r="DM15" s="20">
        <f t="shared" ca="1" si="48"/>
        <v>0</v>
      </c>
      <c r="DN15" s="20">
        <f t="shared" ca="1" si="49"/>
        <v>0</v>
      </c>
      <c r="DO15" s="20">
        <f t="shared" ca="1" si="50"/>
        <v>0</v>
      </c>
      <c r="DP15" s="20">
        <f t="shared" ca="1" si="51"/>
        <v>0</v>
      </c>
      <c r="DQ15" s="20">
        <f t="shared" ca="1" si="52"/>
        <v>0</v>
      </c>
      <c r="DR15" s="20">
        <f t="shared" ca="1" si="53"/>
        <v>0</v>
      </c>
      <c r="DS15" s="20">
        <f t="shared" ca="1" si="54"/>
        <v>0</v>
      </c>
      <c r="DT15" s="20">
        <f t="shared" ca="1" si="55"/>
        <v>0</v>
      </c>
      <c r="DU15" s="20">
        <f t="shared" ca="1" si="56"/>
        <v>0</v>
      </c>
      <c r="DV15" s="20">
        <f t="shared" ca="1" si="57"/>
        <v>0</v>
      </c>
      <c r="DW15" s="20">
        <f t="shared" ca="1" si="58"/>
        <v>0</v>
      </c>
      <c r="DX15" s="20">
        <f t="shared" ca="1" si="59"/>
        <v>0</v>
      </c>
      <c r="DY15" s="20">
        <f t="shared" ca="1" si="60"/>
        <v>0</v>
      </c>
      <c r="DZ15" s="20">
        <f t="shared" ca="1" si="61"/>
        <v>0</v>
      </c>
      <c r="EA15" s="20">
        <f t="shared" ca="1" si="62"/>
        <v>0</v>
      </c>
      <c r="EB15" s="20">
        <f t="shared" ca="1" si="63"/>
        <v>0</v>
      </c>
      <c r="EC15" s="20">
        <f t="shared" ca="1" si="64"/>
        <v>0</v>
      </c>
      <c r="ED15" s="20">
        <f t="shared" ca="1" si="65"/>
        <v>0</v>
      </c>
      <c r="EE15" s="20">
        <f t="shared" ca="1" si="66"/>
        <v>0</v>
      </c>
      <c r="EF15" s="20">
        <f t="shared" ca="1" si="67"/>
        <v>0</v>
      </c>
      <c r="EG15" s="20">
        <f t="shared" ca="1" si="68"/>
        <v>0</v>
      </c>
      <c r="EH15" s="20">
        <f t="shared" ca="1" si="69"/>
        <v>0</v>
      </c>
      <c r="EI15" s="20">
        <f t="shared" ca="1" si="70"/>
        <v>0</v>
      </c>
      <c r="EJ15" s="20">
        <f t="shared" ca="1" si="71"/>
        <v>0</v>
      </c>
      <c r="EK15" s="20">
        <f t="shared" ca="1" si="72"/>
        <v>0</v>
      </c>
      <c r="EL15" s="20">
        <f t="shared" ca="1" si="73"/>
        <v>0</v>
      </c>
      <c r="EM15" s="20">
        <f t="shared" ca="1" si="74"/>
        <v>0</v>
      </c>
      <c r="EN15" s="20">
        <f t="shared" ca="1" si="75"/>
        <v>0</v>
      </c>
      <c r="EO15" s="20">
        <f t="shared" ca="1" si="76"/>
        <v>0</v>
      </c>
      <c r="EP15" s="20">
        <f t="shared" ca="1" si="77"/>
        <v>0</v>
      </c>
      <c r="EQ15" s="17" t="s">
        <v>97</v>
      </c>
      <c r="ER15" s="19">
        <v>1746395512136.72</v>
      </c>
      <c r="ES15" s="20">
        <f t="shared" si="6"/>
        <v>28.188575072399136</v>
      </c>
    </row>
    <row r="16" spans="1:149" ht="15">
      <c r="A16" s="21" t="s">
        <v>171</v>
      </c>
      <c r="B16" s="14">
        <f ca="1">IFERROR(__xludf.dummyfunction("QUERY('Countries markets attractivenes'!A:C, ""SELECT C WHERE A = '""&amp;A16&amp;""'"",0)"),26.5154789261053)</f>
        <v>26.515478926105299</v>
      </c>
      <c r="C16" s="14">
        <f t="shared" ca="1" si="78"/>
        <v>327737534762.36676</v>
      </c>
      <c r="D16" s="18">
        <f>Marketplace_customer!C16/Marketplace_customer!C$2</f>
        <v>0</v>
      </c>
      <c r="E16" s="18">
        <f>Marketplace_customer!D16/Marketplace_customer!D$2</f>
        <v>0</v>
      </c>
      <c r="F16" s="18">
        <f>Marketplace_customer!E16/Marketplace_customer!E$2</f>
        <v>0</v>
      </c>
      <c r="G16" s="18">
        <f>Marketplace_customer!F16/Marketplace_customer!F$2</f>
        <v>0</v>
      </c>
      <c r="H16" s="18">
        <f>Marketplace_customer!G16/Marketplace_customer!G$2</f>
        <v>0</v>
      </c>
      <c r="I16" s="18">
        <f>Marketplace_customer!H16/Marketplace_customer!H$2</f>
        <v>0</v>
      </c>
      <c r="J16" s="18">
        <f>Marketplace_customer!I16/Marketplace_customer!I$2</f>
        <v>0</v>
      </c>
      <c r="K16" s="18">
        <f>Marketplace_customer!J16/Marketplace_customer!J$2</f>
        <v>0</v>
      </c>
      <c r="L16" s="18">
        <f>Marketplace_customer!K16/Marketplace_customer!K$2</f>
        <v>0</v>
      </c>
      <c r="M16" s="18">
        <f>Marketplace_customer!L16/Marketplace_customer!L$2</f>
        <v>0</v>
      </c>
      <c r="N16" s="18">
        <f>Marketplace_customer!M16/Marketplace_customer!M$2</f>
        <v>0</v>
      </c>
      <c r="O16" s="18">
        <f>Marketplace_customer!N16/Marketplace_customer!N$2</f>
        <v>0</v>
      </c>
      <c r="P16" s="18">
        <f>Marketplace_customer!O16/Marketplace_customer!O$2</f>
        <v>8.9680851063829784E-4</v>
      </c>
      <c r="Q16" s="18">
        <f>Marketplace_customer!P16/Marketplace_customer!P$2</f>
        <v>0</v>
      </c>
      <c r="R16" s="18">
        <f>Marketplace_customer!Q16/Marketplace_customer!Q$2</f>
        <v>0</v>
      </c>
      <c r="S16" s="18">
        <f>Marketplace_customer!R16/Marketplace_customer!R$2</f>
        <v>0</v>
      </c>
      <c r="T16" s="18">
        <f>Marketplace_customer!S16/Marketplace_customer!S$2</f>
        <v>0</v>
      </c>
      <c r="U16" s="18">
        <f>Marketplace_customer!T16/Marketplace_customer!T$2</f>
        <v>0</v>
      </c>
      <c r="V16" s="18">
        <f>Marketplace_customer!U16/Marketplace_customer!U$2</f>
        <v>0</v>
      </c>
      <c r="W16" s="18">
        <f>Marketplace_customer!V16/Marketplace_customer!V$2</f>
        <v>0</v>
      </c>
      <c r="X16" s="18">
        <f>Marketplace_customer!W16/Marketplace_customer!W$2</f>
        <v>0</v>
      </c>
      <c r="Y16" s="18">
        <f>Marketplace_customer!X16/Marketplace_customer!X$2</f>
        <v>0</v>
      </c>
      <c r="Z16" s="18">
        <f>Marketplace_customer!Y16/Marketplace_customer!Y$2</f>
        <v>0</v>
      </c>
      <c r="AA16" s="18">
        <f>Marketplace_customer!Z16/Marketplace_customer!Z$2</f>
        <v>0</v>
      </c>
      <c r="AB16" s="18">
        <f>Marketplace_customer!AA16/Marketplace_customer!AA$2</f>
        <v>0</v>
      </c>
      <c r="AC16" s="18">
        <f>Marketplace_customer!AB16/Marketplace_customer!AB$2</f>
        <v>0</v>
      </c>
      <c r="AD16" s="18">
        <f>Marketplace_customer!AC16/Marketplace_customer!AC$2</f>
        <v>0</v>
      </c>
      <c r="AE16" s="18">
        <f>Marketplace_customer!AD16/Marketplace_customer!AD$2</f>
        <v>0</v>
      </c>
      <c r="AF16" s="18">
        <f>Marketplace_customer!AE16/Marketplace_customer!AE$2</f>
        <v>0</v>
      </c>
      <c r="AG16" s="18">
        <f>Marketplace_customer!AF16/Marketplace_customer!AF$2</f>
        <v>0</v>
      </c>
      <c r="AH16" s="18">
        <f>Marketplace_customer!AG16/Marketplace_customer!AG$2</f>
        <v>0</v>
      </c>
      <c r="AI16" s="18">
        <f>Marketplace_customer!AH16/Marketplace_customer!AH$2</f>
        <v>0</v>
      </c>
      <c r="AJ16" s="18">
        <f>Marketplace_customer!AI16/Marketplace_customer!AI$2</f>
        <v>0</v>
      </c>
      <c r="AK16" s="18">
        <f>Marketplace_customer!AJ16/Marketplace_customer!AJ$2</f>
        <v>0</v>
      </c>
      <c r="AL16" s="18">
        <f>Marketplace_customer!AK16/Marketplace_customer!AK$2</f>
        <v>0</v>
      </c>
      <c r="AM16" s="18">
        <f>Marketplace_customer!AL16/Marketplace_customer!AL$2</f>
        <v>0</v>
      </c>
      <c r="AN16" s="18">
        <f>Marketplace_customer!AM16/Marketplace_customer!AM$2</f>
        <v>0</v>
      </c>
      <c r="AO16" s="18">
        <f>Marketplace_customer!AN16/Marketplace_customer!AN$2</f>
        <v>0</v>
      </c>
      <c r="AP16" s="18">
        <f>Marketplace_customer!AO16/Marketplace_customer!AO$2</f>
        <v>0</v>
      </c>
      <c r="AQ16" s="18">
        <f>Marketplace_customer!AP16/Marketplace_customer!AP$2</f>
        <v>0</v>
      </c>
      <c r="AR16" s="18">
        <f>Marketplace_customer!AQ16/Marketplace_customer!AQ$2</f>
        <v>0</v>
      </c>
      <c r="AS16" s="18">
        <f>Marketplace_customer!AR16/Marketplace_customer!AR$2</f>
        <v>0</v>
      </c>
      <c r="AT16" s="18">
        <f>Marketplace_customer!AS16/Marketplace_customer!AS$2</f>
        <v>0</v>
      </c>
      <c r="AU16" s="18">
        <f>Marketplace_customer!AT16/Marketplace_customer!AT$2</f>
        <v>0</v>
      </c>
      <c r="AV16" s="18">
        <f>Marketplace_customer!AU16/Marketplace_customer!AU$2</f>
        <v>0</v>
      </c>
      <c r="AW16" s="18">
        <f>Marketplace_customer!AV16/Marketplace_customer!AV$2</f>
        <v>0</v>
      </c>
      <c r="AX16" s="18">
        <f>Marketplace_customer!AW16/Marketplace_customer!AW$2</f>
        <v>0</v>
      </c>
      <c r="AY16" s="18">
        <f>Marketplace_customer!AX16/Marketplace_customer!AX$2</f>
        <v>0</v>
      </c>
      <c r="AZ16" s="18">
        <f>Marketplace_customer!AY16/Marketplace_customer!AY$2</f>
        <v>0</v>
      </c>
      <c r="BA16" s="18">
        <f>Marketplace_customer!AZ16/Marketplace_customer!AZ$2</f>
        <v>0</v>
      </c>
      <c r="BB16" s="18">
        <f>Marketplace_customer!BA16/Marketplace_customer!BA$2</f>
        <v>0</v>
      </c>
      <c r="BC16" s="18">
        <f>Marketplace_customer!BB16/Marketplace_customer!BB$2</f>
        <v>0</v>
      </c>
      <c r="BD16" s="18">
        <f>Marketplace_customer!BC16/Marketplace_customer!BC$2</f>
        <v>0</v>
      </c>
      <c r="BE16" s="18">
        <f>Marketplace_customer!BD16/Marketplace_customer!BD$2</f>
        <v>0</v>
      </c>
      <c r="BF16" s="18">
        <f>Marketplace_customer!BE16/Marketplace_customer!BE$2</f>
        <v>0</v>
      </c>
      <c r="BG16" s="18">
        <f>Marketplace_customer!BF16/Marketplace_customer!BF$2</f>
        <v>0</v>
      </c>
      <c r="BH16" s="18">
        <f>Marketplace_customer!BG16/Marketplace_customer!BG$2</f>
        <v>0</v>
      </c>
      <c r="BI16" s="18">
        <f>Marketplace_customer!BH16/Marketplace_customer!BH$2</f>
        <v>0</v>
      </c>
      <c r="BJ16" s="18">
        <f>Marketplace_customer!BI16/Marketplace_customer!BI$2</f>
        <v>0</v>
      </c>
      <c r="BK16" s="18">
        <f>Marketplace_customer!BJ16/Marketplace_customer!BJ$2</f>
        <v>0</v>
      </c>
      <c r="BL16" s="18">
        <f>Marketplace_customer!BK16/Marketplace_customer!BK$2</f>
        <v>0</v>
      </c>
      <c r="BM16" s="18">
        <f>Marketplace_customer!BL16/Marketplace_customer!BL$2</f>
        <v>0</v>
      </c>
      <c r="BN16" s="18">
        <f>Marketplace_customer!BM16/Marketplace_customer!BM$2</f>
        <v>0</v>
      </c>
      <c r="BO16" s="18">
        <f>Marketplace_customer!BN16/Marketplace_customer!BN$2</f>
        <v>0</v>
      </c>
      <c r="BP16" s="18">
        <f>Marketplace_customer!BO16/Marketplace_customer!BO$2</f>
        <v>0</v>
      </c>
      <c r="BQ16" s="18">
        <f>Marketplace_customer!BP16/Marketplace_customer!BP$2</f>
        <v>0</v>
      </c>
      <c r="BR16" s="18">
        <f>Marketplace_customer!BQ16/Marketplace_customer!BQ$2</f>
        <v>0</v>
      </c>
      <c r="BS16" s="18">
        <f>Marketplace_customer!BR16/Marketplace_customer!BR$2</f>
        <v>0</v>
      </c>
      <c r="BT16" s="18">
        <f>Marketplace_customer!BS16/Marketplace_customer!BS$2</f>
        <v>0</v>
      </c>
      <c r="BU16" s="18">
        <f>Marketplace_customer!BT16/Marketplace_customer!BT$2</f>
        <v>0</v>
      </c>
      <c r="BV16" s="18">
        <f>Marketplace_customer!BU16/Marketplace_customer!BU$2</f>
        <v>0</v>
      </c>
      <c r="BW16" s="19"/>
      <c r="BX16" s="20">
        <f t="shared" ca="1" si="7"/>
        <v>0</v>
      </c>
      <c r="BY16" s="20">
        <f t="shared" ca="1" si="8"/>
        <v>0</v>
      </c>
      <c r="BZ16" s="20">
        <f t="shared" ca="1" si="9"/>
        <v>0</v>
      </c>
      <c r="CA16" s="20">
        <f t="shared" ca="1" si="10"/>
        <v>0</v>
      </c>
      <c r="CB16" s="20">
        <f t="shared" ca="1" si="11"/>
        <v>0</v>
      </c>
      <c r="CC16" s="20">
        <f t="shared" ca="1" si="12"/>
        <v>0</v>
      </c>
      <c r="CD16" s="20">
        <f t="shared" ca="1" si="13"/>
        <v>0</v>
      </c>
      <c r="CE16" s="20">
        <f t="shared" ca="1" si="14"/>
        <v>0</v>
      </c>
      <c r="CF16" s="20">
        <f t="shared" ca="1" si="15"/>
        <v>0</v>
      </c>
      <c r="CG16" s="20">
        <f t="shared" ca="1" si="16"/>
        <v>0</v>
      </c>
      <c r="CH16" s="20">
        <f t="shared" ca="1" si="17"/>
        <v>0</v>
      </c>
      <c r="CI16" s="20">
        <f t="shared" ca="1" si="18"/>
        <v>0</v>
      </c>
      <c r="CJ16" s="20">
        <f t="shared" ca="1" si="19"/>
        <v>293917810.43050551</v>
      </c>
      <c r="CK16" s="20">
        <f t="shared" ca="1" si="20"/>
        <v>0</v>
      </c>
      <c r="CL16" s="20">
        <f t="shared" ca="1" si="21"/>
        <v>0</v>
      </c>
      <c r="CM16" s="20">
        <f t="shared" ca="1" si="22"/>
        <v>0</v>
      </c>
      <c r="CN16" s="20">
        <f t="shared" ca="1" si="23"/>
        <v>0</v>
      </c>
      <c r="CO16" s="20">
        <f t="shared" ca="1" si="24"/>
        <v>0</v>
      </c>
      <c r="CP16" s="20">
        <f t="shared" ca="1" si="25"/>
        <v>0</v>
      </c>
      <c r="CQ16" s="20">
        <f t="shared" ca="1" si="26"/>
        <v>0</v>
      </c>
      <c r="CR16" s="20">
        <f t="shared" ca="1" si="27"/>
        <v>0</v>
      </c>
      <c r="CS16" s="20">
        <f t="shared" ca="1" si="28"/>
        <v>0</v>
      </c>
      <c r="CT16" s="20">
        <f t="shared" ca="1" si="29"/>
        <v>0</v>
      </c>
      <c r="CU16" s="20">
        <f t="shared" ca="1" si="30"/>
        <v>0</v>
      </c>
      <c r="CV16" s="20">
        <f t="shared" ca="1" si="31"/>
        <v>0</v>
      </c>
      <c r="CW16" s="20">
        <f t="shared" ca="1" si="32"/>
        <v>0</v>
      </c>
      <c r="CX16" s="20">
        <f t="shared" ca="1" si="33"/>
        <v>0</v>
      </c>
      <c r="CY16" s="20">
        <f t="shared" ca="1" si="34"/>
        <v>0</v>
      </c>
      <c r="CZ16" s="20">
        <f t="shared" ca="1" si="35"/>
        <v>0</v>
      </c>
      <c r="DA16" s="20">
        <f t="shared" ca="1" si="36"/>
        <v>0</v>
      </c>
      <c r="DB16" s="20">
        <f t="shared" ca="1" si="37"/>
        <v>0</v>
      </c>
      <c r="DC16" s="20">
        <f t="shared" ca="1" si="38"/>
        <v>0</v>
      </c>
      <c r="DD16" s="20">
        <f t="shared" ca="1" si="39"/>
        <v>0</v>
      </c>
      <c r="DE16" s="20">
        <f t="shared" ca="1" si="40"/>
        <v>0</v>
      </c>
      <c r="DF16" s="20">
        <f t="shared" ca="1" si="41"/>
        <v>0</v>
      </c>
      <c r="DG16" s="20">
        <f t="shared" ca="1" si="42"/>
        <v>0</v>
      </c>
      <c r="DH16" s="20">
        <f t="shared" ca="1" si="43"/>
        <v>0</v>
      </c>
      <c r="DI16" s="20">
        <f t="shared" ca="1" si="44"/>
        <v>0</v>
      </c>
      <c r="DJ16" s="20">
        <f t="shared" ca="1" si="45"/>
        <v>0</v>
      </c>
      <c r="DK16" s="20">
        <f t="shared" ca="1" si="46"/>
        <v>0</v>
      </c>
      <c r="DL16" s="20">
        <f t="shared" ca="1" si="47"/>
        <v>0</v>
      </c>
      <c r="DM16" s="20">
        <f t="shared" ca="1" si="48"/>
        <v>0</v>
      </c>
      <c r="DN16" s="20">
        <f t="shared" ca="1" si="49"/>
        <v>0</v>
      </c>
      <c r="DO16" s="20">
        <f t="shared" ca="1" si="50"/>
        <v>0</v>
      </c>
      <c r="DP16" s="20">
        <f t="shared" ca="1" si="51"/>
        <v>0</v>
      </c>
      <c r="DQ16" s="20">
        <f t="shared" ca="1" si="52"/>
        <v>0</v>
      </c>
      <c r="DR16" s="20">
        <f t="shared" ca="1" si="53"/>
        <v>0</v>
      </c>
      <c r="DS16" s="20">
        <f t="shared" ca="1" si="54"/>
        <v>0</v>
      </c>
      <c r="DT16" s="20">
        <f t="shared" ca="1" si="55"/>
        <v>0</v>
      </c>
      <c r="DU16" s="20">
        <f t="shared" ca="1" si="56"/>
        <v>0</v>
      </c>
      <c r="DV16" s="20">
        <f t="shared" ca="1" si="57"/>
        <v>0</v>
      </c>
      <c r="DW16" s="20">
        <f t="shared" ca="1" si="58"/>
        <v>0</v>
      </c>
      <c r="DX16" s="20">
        <f t="shared" ca="1" si="59"/>
        <v>0</v>
      </c>
      <c r="DY16" s="20">
        <f t="shared" ca="1" si="60"/>
        <v>0</v>
      </c>
      <c r="DZ16" s="20">
        <f t="shared" ca="1" si="61"/>
        <v>0</v>
      </c>
      <c r="EA16" s="20">
        <f t="shared" ca="1" si="62"/>
        <v>0</v>
      </c>
      <c r="EB16" s="20">
        <f t="shared" ca="1" si="63"/>
        <v>0</v>
      </c>
      <c r="EC16" s="20">
        <f t="shared" ca="1" si="64"/>
        <v>0</v>
      </c>
      <c r="ED16" s="20">
        <f t="shared" ca="1" si="65"/>
        <v>0</v>
      </c>
      <c r="EE16" s="20">
        <f t="shared" ca="1" si="66"/>
        <v>0</v>
      </c>
      <c r="EF16" s="20">
        <f t="shared" ca="1" si="67"/>
        <v>0</v>
      </c>
      <c r="EG16" s="20">
        <f t="shared" ca="1" si="68"/>
        <v>0</v>
      </c>
      <c r="EH16" s="20">
        <f t="shared" ca="1" si="69"/>
        <v>0</v>
      </c>
      <c r="EI16" s="20">
        <f t="shared" ca="1" si="70"/>
        <v>0</v>
      </c>
      <c r="EJ16" s="20">
        <f t="shared" ca="1" si="71"/>
        <v>0</v>
      </c>
      <c r="EK16" s="20">
        <f t="shared" ca="1" si="72"/>
        <v>0</v>
      </c>
      <c r="EL16" s="20">
        <f t="shared" ca="1" si="73"/>
        <v>0</v>
      </c>
      <c r="EM16" s="20">
        <f t="shared" ca="1" si="74"/>
        <v>0</v>
      </c>
      <c r="EN16" s="20">
        <f t="shared" ca="1" si="75"/>
        <v>0</v>
      </c>
      <c r="EO16" s="20">
        <f t="shared" ca="1" si="76"/>
        <v>0</v>
      </c>
      <c r="EP16" s="20">
        <f t="shared" ca="1" si="77"/>
        <v>0</v>
      </c>
      <c r="EQ16" s="17" t="s">
        <v>98</v>
      </c>
      <c r="ER16" s="19">
        <v>3115895497868.5098</v>
      </c>
      <c r="ES16" s="20">
        <f t="shared" si="6"/>
        <v>28.767537706105252</v>
      </c>
    </row>
    <row r="17" spans="1:149" ht="15">
      <c r="A17" s="21" t="s">
        <v>172</v>
      </c>
      <c r="B17" s="14">
        <f ca="1">IFERROR(__xludf.dummyfunction("QUERY('Countries markets attractivenes'!A:C, ""SELECT C WHERE A = '""&amp;A17&amp;""'"",0)"),23.9916686194333)</f>
        <v>23.991668619433302</v>
      </c>
      <c r="C17" s="14">
        <f t="shared" ca="1" si="78"/>
        <v>26269347954.890953</v>
      </c>
      <c r="D17" s="18">
        <f>Marketplace_customer!C17/Marketplace_customer!C$2</f>
        <v>0</v>
      </c>
      <c r="E17" s="18">
        <f>Marketplace_customer!D17/Marketplace_customer!D$2</f>
        <v>0</v>
      </c>
      <c r="F17" s="18">
        <f>Marketplace_customer!E17/Marketplace_customer!E$2</f>
        <v>0</v>
      </c>
      <c r="G17" s="18">
        <f>Marketplace_customer!F17/Marketplace_customer!F$2</f>
        <v>0</v>
      </c>
      <c r="H17" s="18">
        <f>Marketplace_customer!G17/Marketplace_customer!G$2</f>
        <v>0</v>
      </c>
      <c r="I17" s="18">
        <f>Marketplace_customer!H17/Marketplace_customer!H$2</f>
        <v>0</v>
      </c>
      <c r="J17" s="18">
        <f>Marketplace_customer!I17/Marketplace_customer!I$2</f>
        <v>0</v>
      </c>
      <c r="K17" s="18">
        <f>Marketplace_customer!J17/Marketplace_customer!J$2</f>
        <v>0</v>
      </c>
      <c r="L17" s="18">
        <f>Marketplace_customer!K17/Marketplace_customer!K$2</f>
        <v>0</v>
      </c>
      <c r="M17" s="18">
        <f>Marketplace_customer!L17/Marketplace_customer!L$2</f>
        <v>0</v>
      </c>
      <c r="N17" s="18">
        <f>Marketplace_customer!M17/Marketplace_customer!M$2</f>
        <v>0</v>
      </c>
      <c r="O17" s="18">
        <f>Marketplace_customer!N17/Marketplace_customer!N$2</f>
        <v>0</v>
      </c>
      <c r="P17" s="18">
        <f>Marketplace_customer!O17/Marketplace_customer!O$2</f>
        <v>1.0744680851063831E-4</v>
      </c>
      <c r="Q17" s="18">
        <f>Marketplace_customer!P17/Marketplace_customer!P$2</f>
        <v>0</v>
      </c>
      <c r="R17" s="18">
        <f>Marketplace_customer!Q17/Marketplace_customer!Q$2</f>
        <v>0</v>
      </c>
      <c r="S17" s="18">
        <f>Marketplace_customer!R17/Marketplace_customer!R$2</f>
        <v>0</v>
      </c>
      <c r="T17" s="18">
        <f>Marketplace_customer!S17/Marketplace_customer!S$2</f>
        <v>0</v>
      </c>
      <c r="U17" s="18">
        <f>Marketplace_customer!T17/Marketplace_customer!T$2</f>
        <v>0</v>
      </c>
      <c r="V17" s="18">
        <f>Marketplace_customer!U17/Marketplace_customer!U$2</f>
        <v>0</v>
      </c>
      <c r="W17" s="18">
        <f>Marketplace_customer!V17/Marketplace_customer!V$2</f>
        <v>0</v>
      </c>
      <c r="X17" s="18">
        <f>Marketplace_customer!W17/Marketplace_customer!W$2</f>
        <v>0</v>
      </c>
      <c r="Y17" s="18">
        <f>Marketplace_customer!X17/Marketplace_customer!X$2</f>
        <v>0</v>
      </c>
      <c r="Z17" s="18">
        <f>Marketplace_customer!Y17/Marketplace_customer!Y$2</f>
        <v>0</v>
      </c>
      <c r="AA17" s="18">
        <f>Marketplace_customer!Z17/Marketplace_customer!Z$2</f>
        <v>0</v>
      </c>
      <c r="AB17" s="18">
        <f>Marketplace_customer!AA17/Marketplace_customer!AA$2</f>
        <v>0</v>
      </c>
      <c r="AC17" s="18">
        <f>Marketplace_customer!AB17/Marketplace_customer!AB$2</f>
        <v>0</v>
      </c>
      <c r="AD17" s="18">
        <f>Marketplace_customer!AC17/Marketplace_customer!AC$2</f>
        <v>0</v>
      </c>
      <c r="AE17" s="18">
        <f>Marketplace_customer!AD17/Marketplace_customer!AD$2</f>
        <v>0</v>
      </c>
      <c r="AF17" s="18">
        <f>Marketplace_customer!AE17/Marketplace_customer!AE$2</f>
        <v>0</v>
      </c>
      <c r="AG17" s="18">
        <f>Marketplace_customer!AF17/Marketplace_customer!AF$2</f>
        <v>0</v>
      </c>
      <c r="AH17" s="18">
        <f>Marketplace_customer!AG17/Marketplace_customer!AG$2</f>
        <v>0</v>
      </c>
      <c r="AI17" s="18">
        <f>Marketplace_customer!AH17/Marketplace_customer!AH$2</f>
        <v>0</v>
      </c>
      <c r="AJ17" s="18">
        <f>Marketplace_customer!AI17/Marketplace_customer!AI$2</f>
        <v>0</v>
      </c>
      <c r="AK17" s="18">
        <f>Marketplace_customer!AJ17/Marketplace_customer!AJ$2</f>
        <v>0</v>
      </c>
      <c r="AL17" s="18">
        <f>Marketplace_customer!AK17/Marketplace_customer!AK$2</f>
        <v>0</v>
      </c>
      <c r="AM17" s="18">
        <f>Marketplace_customer!AL17/Marketplace_customer!AL$2</f>
        <v>0</v>
      </c>
      <c r="AN17" s="18">
        <f>Marketplace_customer!AM17/Marketplace_customer!AM$2</f>
        <v>0</v>
      </c>
      <c r="AO17" s="18">
        <f>Marketplace_customer!AN17/Marketplace_customer!AN$2</f>
        <v>0</v>
      </c>
      <c r="AP17" s="18">
        <f>Marketplace_customer!AO17/Marketplace_customer!AO$2</f>
        <v>0</v>
      </c>
      <c r="AQ17" s="18">
        <f>Marketplace_customer!AP17/Marketplace_customer!AP$2</f>
        <v>0</v>
      </c>
      <c r="AR17" s="18">
        <f>Marketplace_customer!AQ17/Marketplace_customer!AQ$2</f>
        <v>0</v>
      </c>
      <c r="AS17" s="18">
        <f>Marketplace_customer!AR17/Marketplace_customer!AR$2</f>
        <v>0</v>
      </c>
      <c r="AT17" s="18">
        <f>Marketplace_customer!AS17/Marketplace_customer!AS$2</f>
        <v>0</v>
      </c>
      <c r="AU17" s="18">
        <f>Marketplace_customer!AT17/Marketplace_customer!AT$2</f>
        <v>0</v>
      </c>
      <c r="AV17" s="18">
        <f>Marketplace_customer!AU17/Marketplace_customer!AU$2</f>
        <v>0</v>
      </c>
      <c r="AW17" s="18">
        <f>Marketplace_customer!AV17/Marketplace_customer!AV$2</f>
        <v>0</v>
      </c>
      <c r="AX17" s="18">
        <f>Marketplace_customer!AW17/Marketplace_customer!AW$2</f>
        <v>0</v>
      </c>
      <c r="AY17" s="18">
        <f>Marketplace_customer!AX17/Marketplace_customer!AX$2</f>
        <v>0</v>
      </c>
      <c r="AZ17" s="18">
        <f>Marketplace_customer!AY17/Marketplace_customer!AY$2</f>
        <v>0</v>
      </c>
      <c r="BA17" s="18">
        <f>Marketplace_customer!AZ17/Marketplace_customer!AZ$2</f>
        <v>0</v>
      </c>
      <c r="BB17" s="18">
        <f>Marketplace_customer!BA17/Marketplace_customer!BA$2</f>
        <v>0</v>
      </c>
      <c r="BC17" s="18">
        <f>Marketplace_customer!BB17/Marketplace_customer!BB$2</f>
        <v>0</v>
      </c>
      <c r="BD17" s="18">
        <f>Marketplace_customer!BC17/Marketplace_customer!BC$2</f>
        <v>0</v>
      </c>
      <c r="BE17" s="18">
        <f>Marketplace_customer!BD17/Marketplace_customer!BD$2</f>
        <v>0</v>
      </c>
      <c r="BF17" s="18">
        <f>Marketplace_customer!BE17/Marketplace_customer!BE$2</f>
        <v>0</v>
      </c>
      <c r="BG17" s="18">
        <f>Marketplace_customer!BF17/Marketplace_customer!BF$2</f>
        <v>0</v>
      </c>
      <c r="BH17" s="18">
        <f>Marketplace_customer!BG17/Marketplace_customer!BG$2</f>
        <v>0</v>
      </c>
      <c r="BI17" s="18">
        <f>Marketplace_customer!BH17/Marketplace_customer!BH$2</f>
        <v>0</v>
      </c>
      <c r="BJ17" s="18">
        <f>Marketplace_customer!BI17/Marketplace_customer!BI$2</f>
        <v>0</v>
      </c>
      <c r="BK17" s="18">
        <f>Marketplace_customer!BJ17/Marketplace_customer!BJ$2</f>
        <v>0</v>
      </c>
      <c r="BL17" s="18">
        <f>Marketplace_customer!BK17/Marketplace_customer!BK$2</f>
        <v>0</v>
      </c>
      <c r="BM17" s="18">
        <f>Marketplace_customer!BL17/Marketplace_customer!BL$2</f>
        <v>0</v>
      </c>
      <c r="BN17" s="18">
        <f>Marketplace_customer!BM17/Marketplace_customer!BM$2</f>
        <v>0</v>
      </c>
      <c r="BO17" s="18">
        <f>Marketplace_customer!BN17/Marketplace_customer!BN$2</f>
        <v>0</v>
      </c>
      <c r="BP17" s="18">
        <f>Marketplace_customer!BO17/Marketplace_customer!BO$2</f>
        <v>0</v>
      </c>
      <c r="BQ17" s="18">
        <f>Marketplace_customer!BP17/Marketplace_customer!BP$2</f>
        <v>0</v>
      </c>
      <c r="BR17" s="18">
        <f>Marketplace_customer!BQ17/Marketplace_customer!BQ$2</f>
        <v>0</v>
      </c>
      <c r="BS17" s="18">
        <f>Marketplace_customer!BR17/Marketplace_customer!BR$2</f>
        <v>0</v>
      </c>
      <c r="BT17" s="18">
        <f>Marketplace_customer!BS17/Marketplace_customer!BS$2</f>
        <v>0</v>
      </c>
      <c r="BU17" s="18">
        <f>Marketplace_customer!BT17/Marketplace_customer!BT$2</f>
        <v>0</v>
      </c>
      <c r="BV17" s="18">
        <f>Marketplace_customer!BU17/Marketplace_customer!BU$2</f>
        <v>0</v>
      </c>
      <c r="BW17" s="19"/>
      <c r="BX17" s="20">
        <f t="shared" ca="1" si="7"/>
        <v>0</v>
      </c>
      <c r="BY17" s="20">
        <f t="shared" ca="1" si="8"/>
        <v>0</v>
      </c>
      <c r="BZ17" s="20">
        <f t="shared" ca="1" si="9"/>
        <v>0</v>
      </c>
      <c r="CA17" s="20">
        <f t="shared" ca="1" si="10"/>
        <v>0</v>
      </c>
      <c r="CB17" s="20">
        <f t="shared" ca="1" si="11"/>
        <v>0</v>
      </c>
      <c r="CC17" s="20">
        <f t="shared" ca="1" si="12"/>
        <v>0</v>
      </c>
      <c r="CD17" s="20">
        <f t="shared" ca="1" si="13"/>
        <v>0</v>
      </c>
      <c r="CE17" s="20">
        <f t="shared" ca="1" si="14"/>
        <v>0</v>
      </c>
      <c r="CF17" s="20">
        <f t="shared" ca="1" si="15"/>
        <v>0</v>
      </c>
      <c r="CG17" s="20">
        <f t="shared" ca="1" si="16"/>
        <v>0</v>
      </c>
      <c r="CH17" s="20">
        <f t="shared" ca="1" si="17"/>
        <v>0</v>
      </c>
      <c r="CI17" s="20">
        <f t="shared" ca="1" si="18"/>
        <v>0</v>
      </c>
      <c r="CJ17" s="20">
        <f t="shared" ca="1" si="19"/>
        <v>2822557.5994084962</v>
      </c>
      <c r="CK17" s="20">
        <f t="shared" ca="1" si="20"/>
        <v>0</v>
      </c>
      <c r="CL17" s="20">
        <f t="shared" ca="1" si="21"/>
        <v>0</v>
      </c>
      <c r="CM17" s="20">
        <f t="shared" ca="1" si="22"/>
        <v>0</v>
      </c>
      <c r="CN17" s="20">
        <f t="shared" ca="1" si="23"/>
        <v>0</v>
      </c>
      <c r="CO17" s="20">
        <f t="shared" ca="1" si="24"/>
        <v>0</v>
      </c>
      <c r="CP17" s="20">
        <f t="shared" ca="1" si="25"/>
        <v>0</v>
      </c>
      <c r="CQ17" s="20">
        <f t="shared" ca="1" si="26"/>
        <v>0</v>
      </c>
      <c r="CR17" s="20">
        <f t="shared" ca="1" si="27"/>
        <v>0</v>
      </c>
      <c r="CS17" s="20">
        <f t="shared" ca="1" si="28"/>
        <v>0</v>
      </c>
      <c r="CT17" s="20">
        <f t="shared" ca="1" si="29"/>
        <v>0</v>
      </c>
      <c r="CU17" s="20">
        <f t="shared" ca="1" si="30"/>
        <v>0</v>
      </c>
      <c r="CV17" s="20">
        <f t="shared" ca="1" si="31"/>
        <v>0</v>
      </c>
      <c r="CW17" s="20">
        <f t="shared" ca="1" si="32"/>
        <v>0</v>
      </c>
      <c r="CX17" s="20">
        <f t="shared" ca="1" si="33"/>
        <v>0</v>
      </c>
      <c r="CY17" s="20">
        <f t="shared" ca="1" si="34"/>
        <v>0</v>
      </c>
      <c r="CZ17" s="20">
        <f t="shared" ca="1" si="35"/>
        <v>0</v>
      </c>
      <c r="DA17" s="20">
        <f t="shared" ca="1" si="36"/>
        <v>0</v>
      </c>
      <c r="DB17" s="20">
        <f t="shared" ca="1" si="37"/>
        <v>0</v>
      </c>
      <c r="DC17" s="20">
        <f t="shared" ca="1" si="38"/>
        <v>0</v>
      </c>
      <c r="DD17" s="20">
        <f t="shared" ca="1" si="39"/>
        <v>0</v>
      </c>
      <c r="DE17" s="20">
        <f t="shared" ca="1" si="40"/>
        <v>0</v>
      </c>
      <c r="DF17" s="20">
        <f t="shared" ca="1" si="41"/>
        <v>0</v>
      </c>
      <c r="DG17" s="20">
        <f t="shared" ca="1" si="42"/>
        <v>0</v>
      </c>
      <c r="DH17" s="20">
        <f t="shared" ca="1" si="43"/>
        <v>0</v>
      </c>
      <c r="DI17" s="20">
        <f t="shared" ca="1" si="44"/>
        <v>0</v>
      </c>
      <c r="DJ17" s="20">
        <f t="shared" ca="1" si="45"/>
        <v>0</v>
      </c>
      <c r="DK17" s="20">
        <f t="shared" ca="1" si="46"/>
        <v>0</v>
      </c>
      <c r="DL17" s="20">
        <f t="shared" ca="1" si="47"/>
        <v>0</v>
      </c>
      <c r="DM17" s="20">
        <f t="shared" ca="1" si="48"/>
        <v>0</v>
      </c>
      <c r="DN17" s="20">
        <f t="shared" ca="1" si="49"/>
        <v>0</v>
      </c>
      <c r="DO17" s="20">
        <f t="shared" ca="1" si="50"/>
        <v>0</v>
      </c>
      <c r="DP17" s="20">
        <f t="shared" ca="1" si="51"/>
        <v>0</v>
      </c>
      <c r="DQ17" s="20">
        <f t="shared" ca="1" si="52"/>
        <v>0</v>
      </c>
      <c r="DR17" s="20">
        <f t="shared" ca="1" si="53"/>
        <v>0</v>
      </c>
      <c r="DS17" s="20">
        <f t="shared" ca="1" si="54"/>
        <v>0</v>
      </c>
      <c r="DT17" s="20">
        <f t="shared" ca="1" si="55"/>
        <v>0</v>
      </c>
      <c r="DU17" s="20">
        <f t="shared" ca="1" si="56"/>
        <v>0</v>
      </c>
      <c r="DV17" s="20">
        <f t="shared" ca="1" si="57"/>
        <v>0</v>
      </c>
      <c r="DW17" s="20">
        <f t="shared" ca="1" si="58"/>
        <v>0</v>
      </c>
      <c r="DX17" s="20">
        <f t="shared" ca="1" si="59"/>
        <v>0</v>
      </c>
      <c r="DY17" s="20">
        <f t="shared" ca="1" si="60"/>
        <v>0</v>
      </c>
      <c r="DZ17" s="20">
        <f t="shared" ca="1" si="61"/>
        <v>0</v>
      </c>
      <c r="EA17" s="20">
        <f t="shared" ca="1" si="62"/>
        <v>0</v>
      </c>
      <c r="EB17" s="20">
        <f t="shared" ca="1" si="63"/>
        <v>0</v>
      </c>
      <c r="EC17" s="20">
        <f t="shared" ca="1" si="64"/>
        <v>0</v>
      </c>
      <c r="ED17" s="20">
        <f t="shared" ca="1" si="65"/>
        <v>0</v>
      </c>
      <c r="EE17" s="20">
        <f t="shared" ca="1" si="66"/>
        <v>0</v>
      </c>
      <c r="EF17" s="20">
        <f t="shared" ca="1" si="67"/>
        <v>0</v>
      </c>
      <c r="EG17" s="20">
        <f t="shared" ca="1" si="68"/>
        <v>0</v>
      </c>
      <c r="EH17" s="20">
        <f t="shared" ca="1" si="69"/>
        <v>0</v>
      </c>
      <c r="EI17" s="20">
        <f t="shared" ca="1" si="70"/>
        <v>0</v>
      </c>
      <c r="EJ17" s="20">
        <f t="shared" ca="1" si="71"/>
        <v>0</v>
      </c>
      <c r="EK17" s="20">
        <f t="shared" ca="1" si="72"/>
        <v>0</v>
      </c>
      <c r="EL17" s="20">
        <f t="shared" ca="1" si="73"/>
        <v>0</v>
      </c>
      <c r="EM17" s="20">
        <f t="shared" ca="1" si="74"/>
        <v>0</v>
      </c>
      <c r="EN17" s="20">
        <f t="shared" ca="1" si="75"/>
        <v>0</v>
      </c>
      <c r="EO17" s="20">
        <f t="shared" ca="1" si="76"/>
        <v>0</v>
      </c>
      <c r="EP17" s="20">
        <f t="shared" ca="1" si="77"/>
        <v>0</v>
      </c>
      <c r="EQ17" s="17" t="s">
        <v>99</v>
      </c>
      <c r="ER17" s="19">
        <v>1024639574313.96</v>
      </c>
      <c r="ES17" s="20">
        <f t="shared" si="6"/>
        <v>27.655362031865252</v>
      </c>
    </row>
    <row r="18" spans="1:149" ht="15">
      <c r="A18" s="21" t="s">
        <v>173</v>
      </c>
      <c r="B18" s="14">
        <f ca="1">IFERROR(__xludf.dummyfunction("QUERY('Countries markets attractivenes'!A:C, ""SELECT C WHERE A = '""&amp;A18&amp;""'"",0)"),28.5107663831768)</f>
        <v>28.510766383176801</v>
      </c>
      <c r="C18" s="14">
        <f t="shared" ca="1" si="78"/>
        <v>2410285649514.3301</v>
      </c>
      <c r="D18" s="18">
        <f>Marketplace_customer!C18/Marketplace_customer!C$2</f>
        <v>0</v>
      </c>
      <c r="E18" s="18">
        <f>Marketplace_customer!D18/Marketplace_customer!D$2</f>
        <v>0</v>
      </c>
      <c r="F18" s="18">
        <f>Marketplace_customer!E18/Marketplace_customer!E$2</f>
        <v>0</v>
      </c>
      <c r="G18" s="18">
        <f>Marketplace_customer!F18/Marketplace_customer!F$2</f>
        <v>0</v>
      </c>
      <c r="H18" s="18">
        <f>Marketplace_customer!G18/Marketplace_customer!G$2</f>
        <v>0</v>
      </c>
      <c r="I18" s="18">
        <f>Marketplace_customer!H18/Marketplace_customer!H$2</f>
        <v>0</v>
      </c>
      <c r="J18" s="18">
        <f>Marketplace_customer!I18/Marketplace_customer!I$2</f>
        <v>0</v>
      </c>
      <c r="K18" s="18">
        <f>Marketplace_customer!J18/Marketplace_customer!J$2</f>
        <v>0</v>
      </c>
      <c r="L18" s="18">
        <f>Marketplace_customer!K18/Marketplace_customer!K$2</f>
        <v>0</v>
      </c>
      <c r="M18" s="18">
        <f>Marketplace_customer!L18/Marketplace_customer!L$2</f>
        <v>0</v>
      </c>
      <c r="N18" s="18">
        <f>Marketplace_customer!M18/Marketplace_customer!M$2</f>
        <v>0</v>
      </c>
      <c r="O18" s="18">
        <f>Marketplace_customer!N18/Marketplace_customer!N$2</f>
        <v>0</v>
      </c>
      <c r="P18" s="18">
        <f>Marketplace_customer!O18/Marketplace_customer!O$2</f>
        <v>7.5319148936170205E-4</v>
      </c>
      <c r="Q18" s="18">
        <f>Marketplace_customer!P18/Marketplace_customer!P$2</f>
        <v>0</v>
      </c>
      <c r="R18" s="18">
        <f>Marketplace_customer!Q18/Marketplace_customer!Q$2</f>
        <v>0</v>
      </c>
      <c r="S18" s="18">
        <f>Marketplace_customer!R18/Marketplace_customer!R$2</f>
        <v>0</v>
      </c>
      <c r="T18" s="18">
        <f>Marketplace_customer!S18/Marketplace_customer!S$2</f>
        <v>0</v>
      </c>
      <c r="U18" s="18">
        <f>Marketplace_customer!T18/Marketplace_customer!T$2</f>
        <v>0</v>
      </c>
      <c r="V18" s="18">
        <f>Marketplace_customer!U18/Marketplace_customer!U$2</f>
        <v>0</v>
      </c>
      <c r="W18" s="18">
        <f>Marketplace_customer!V18/Marketplace_customer!V$2</f>
        <v>0</v>
      </c>
      <c r="X18" s="18">
        <f>Marketplace_customer!W18/Marketplace_customer!W$2</f>
        <v>0</v>
      </c>
      <c r="Y18" s="18">
        <f>Marketplace_customer!X18/Marketplace_customer!X$2</f>
        <v>0.96436058700209637</v>
      </c>
      <c r="Z18" s="18">
        <f>Marketplace_customer!Y18/Marketplace_customer!Y$2</f>
        <v>0</v>
      </c>
      <c r="AA18" s="18">
        <f>Marketplace_customer!Z18/Marketplace_customer!Z$2</f>
        <v>0</v>
      </c>
      <c r="AB18" s="18">
        <f>Marketplace_customer!AA18/Marketplace_customer!AA$2</f>
        <v>0</v>
      </c>
      <c r="AC18" s="18">
        <f>Marketplace_customer!AB18/Marketplace_customer!AB$2</f>
        <v>0</v>
      </c>
      <c r="AD18" s="18">
        <f>Marketplace_customer!AC18/Marketplace_customer!AC$2</f>
        <v>0</v>
      </c>
      <c r="AE18" s="18">
        <f>Marketplace_customer!AD18/Marketplace_customer!AD$2</f>
        <v>0</v>
      </c>
      <c r="AF18" s="18">
        <f>Marketplace_customer!AE18/Marketplace_customer!AE$2</f>
        <v>1.3778990450204641E-3</v>
      </c>
      <c r="AG18" s="18">
        <f>Marketplace_customer!AF18/Marketplace_customer!AF$2</f>
        <v>0</v>
      </c>
      <c r="AH18" s="18">
        <f>Marketplace_customer!AG18/Marketplace_customer!AG$2</f>
        <v>2.1134020618556699E-2</v>
      </c>
      <c r="AI18" s="18">
        <f>Marketplace_customer!AH18/Marketplace_customer!AH$2</f>
        <v>0</v>
      </c>
      <c r="AJ18" s="18">
        <f>Marketplace_customer!AI18/Marketplace_customer!AI$2</f>
        <v>0</v>
      </c>
      <c r="AK18" s="18">
        <f>Marketplace_customer!AJ18/Marketplace_customer!AJ$2</f>
        <v>0</v>
      </c>
      <c r="AL18" s="18">
        <f>Marketplace_customer!AK18/Marketplace_customer!AK$2</f>
        <v>0</v>
      </c>
      <c r="AM18" s="18">
        <f>Marketplace_customer!AL18/Marketplace_customer!AL$2</f>
        <v>0</v>
      </c>
      <c r="AN18" s="18">
        <f>Marketplace_customer!AM18/Marketplace_customer!AM$2</f>
        <v>0</v>
      </c>
      <c r="AO18" s="18">
        <f>Marketplace_customer!AN18/Marketplace_customer!AN$2</f>
        <v>0</v>
      </c>
      <c r="AP18" s="18">
        <f>Marketplace_customer!AO18/Marketplace_customer!AO$2</f>
        <v>0</v>
      </c>
      <c r="AQ18" s="18">
        <f>Marketplace_customer!AP18/Marketplace_customer!AP$2</f>
        <v>0</v>
      </c>
      <c r="AR18" s="18">
        <f>Marketplace_customer!AQ18/Marketplace_customer!AQ$2</f>
        <v>0</v>
      </c>
      <c r="AS18" s="18">
        <f>Marketplace_customer!AR18/Marketplace_customer!AR$2</f>
        <v>0</v>
      </c>
      <c r="AT18" s="18">
        <f>Marketplace_customer!AS18/Marketplace_customer!AS$2</f>
        <v>0</v>
      </c>
      <c r="AU18" s="18">
        <f>Marketplace_customer!AT18/Marketplace_customer!AT$2</f>
        <v>0</v>
      </c>
      <c r="AV18" s="18">
        <f>Marketplace_customer!AU18/Marketplace_customer!AU$2</f>
        <v>0</v>
      </c>
      <c r="AW18" s="18">
        <f>Marketplace_customer!AV18/Marketplace_customer!AV$2</f>
        <v>0</v>
      </c>
      <c r="AX18" s="18">
        <f>Marketplace_customer!AW18/Marketplace_customer!AW$2</f>
        <v>0</v>
      </c>
      <c r="AY18" s="18">
        <f>Marketplace_customer!AX18/Marketplace_customer!AX$2</f>
        <v>0</v>
      </c>
      <c r="AZ18" s="18">
        <f>Marketplace_customer!AY18/Marketplace_customer!AY$2</f>
        <v>0</v>
      </c>
      <c r="BA18" s="18">
        <f>Marketplace_customer!AZ18/Marketplace_customer!AZ$2</f>
        <v>0</v>
      </c>
      <c r="BB18" s="18">
        <f>Marketplace_customer!BA18/Marketplace_customer!BA$2</f>
        <v>0</v>
      </c>
      <c r="BC18" s="18">
        <f>Marketplace_customer!BB18/Marketplace_customer!BB$2</f>
        <v>0</v>
      </c>
      <c r="BD18" s="18">
        <f>Marketplace_customer!BC18/Marketplace_customer!BC$2</f>
        <v>0</v>
      </c>
      <c r="BE18" s="18">
        <f>Marketplace_customer!BD18/Marketplace_customer!BD$2</f>
        <v>0</v>
      </c>
      <c r="BF18" s="18">
        <f>Marketplace_customer!BE18/Marketplace_customer!BE$2</f>
        <v>0</v>
      </c>
      <c r="BG18" s="18">
        <f>Marketplace_customer!BF18/Marketplace_customer!BF$2</f>
        <v>0</v>
      </c>
      <c r="BH18" s="18">
        <f>Marketplace_customer!BG18/Marketplace_customer!BG$2</f>
        <v>0</v>
      </c>
      <c r="BI18" s="18">
        <f>Marketplace_customer!BH18/Marketplace_customer!BH$2</f>
        <v>0.24086203253750266</v>
      </c>
      <c r="BJ18" s="18">
        <f>Marketplace_customer!BI18/Marketplace_customer!BI$2</f>
        <v>0</v>
      </c>
      <c r="BK18" s="18">
        <f>Marketplace_customer!BJ18/Marketplace_customer!BJ$2</f>
        <v>0</v>
      </c>
      <c r="BL18" s="18">
        <f>Marketplace_customer!BK18/Marketplace_customer!BK$2</f>
        <v>0</v>
      </c>
      <c r="BM18" s="18">
        <f>Marketplace_customer!BL18/Marketplace_customer!BL$2</f>
        <v>0</v>
      </c>
      <c r="BN18" s="18">
        <f>Marketplace_customer!BM18/Marketplace_customer!BM$2</f>
        <v>0</v>
      </c>
      <c r="BO18" s="18">
        <f>Marketplace_customer!BN18/Marketplace_customer!BN$2</f>
        <v>0</v>
      </c>
      <c r="BP18" s="18">
        <f>Marketplace_customer!BO18/Marketplace_customer!BO$2</f>
        <v>0</v>
      </c>
      <c r="BQ18" s="18">
        <f>Marketplace_customer!BP18/Marketplace_customer!BP$2</f>
        <v>0</v>
      </c>
      <c r="BR18" s="18">
        <f>Marketplace_customer!BQ18/Marketplace_customer!BQ$2</f>
        <v>0</v>
      </c>
      <c r="BS18" s="18">
        <f>Marketplace_customer!BR18/Marketplace_customer!BR$2</f>
        <v>0</v>
      </c>
      <c r="BT18" s="18">
        <f>Marketplace_customer!BS18/Marketplace_customer!BS$2</f>
        <v>0</v>
      </c>
      <c r="BU18" s="18">
        <f>Marketplace_customer!BT18/Marketplace_customer!BT$2</f>
        <v>0</v>
      </c>
      <c r="BV18" s="18">
        <f>Marketplace_customer!BU18/Marketplace_customer!BU$2</f>
        <v>0</v>
      </c>
      <c r="BW18" s="19"/>
      <c r="BX18" s="20">
        <f t="shared" ca="1" si="7"/>
        <v>0</v>
      </c>
      <c r="BY18" s="20">
        <f t="shared" ca="1" si="8"/>
        <v>0</v>
      </c>
      <c r="BZ18" s="20">
        <f t="shared" ca="1" si="9"/>
        <v>0</v>
      </c>
      <c r="CA18" s="20">
        <f t="shared" ca="1" si="10"/>
        <v>0</v>
      </c>
      <c r="CB18" s="20">
        <f t="shared" ca="1" si="11"/>
        <v>0</v>
      </c>
      <c r="CC18" s="20">
        <f t="shared" ca="1" si="12"/>
        <v>0</v>
      </c>
      <c r="CD18" s="20">
        <f t="shared" ca="1" si="13"/>
        <v>0</v>
      </c>
      <c r="CE18" s="20">
        <f t="shared" ca="1" si="14"/>
        <v>0</v>
      </c>
      <c r="CF18" s="20">
        <f t="shared" ca="1" si="15"/>
        <v>0</v>
      </c>
      <c r="CG18" s="20">
        <f t="shared" ca="1" si="16"/>
        <v>0</v>
      </c>
      <c r="CH18" s="20">
        <f t="shared" ca="1" si="17"/>
        <v>0</v>
      </c>
      <c r="CI18" s="20">
        <f t="shared" ca="1" si="18"/>
        <v>0</v>
      </c>
      <c r="CJ18" s="20">
        <f t="shared" ca="1" si="19"/>
        <v>1815406638.1448357</v>
      </c>
      <c r="CK18" s="20">
        <f t="shared" ca="1" si="20"/>
        <v>0</v>
      </c>
      <c r="CL18" s="20">
        <f t="shared" ca="1" si="21"/>
        <v>0</v>
      </c>
      <c r="CM18" s="20">
        <f t="shared" ca="1" si="22"/>
        <v>0</v>
      </c>
      <c r="CN18" s="20">
        <f t="shared" ca="1" si="23"/>
        <v>0</v>
      </c>
      <c r="CO18" s="20">
        <f t="shared" ca="1" si="24"/>
        <v>0</v>
      </c>
      <c r="CP18" s="20">
        <f t="shared" ca="1" si="25"/>
        <v>0</v>
      </c>
      <c r="CQ18" s="20">
        <f t="shared" ca="1" si="26"/>
        <v>0</v>
      </c>
      <c r="CR18" s="20">
        <f t="shared" ca="1" si="27"/>
        <v>0</v>
      </c>
      <c r="CS18" s="20">
        <f t="shared" ca="1" si="28"/>
        <v>2324384483808.3687</v>
      </c>
      <c r="CT18" s="20">
        <f t="shared" ca="1" si="29"/>
        <v>0</v>
      </c>
      <c r="CU18" s="20">
        <f t="shared" ca="1" si="30"/>
        <v>0</v>
      </c>
      <c r="CV18" s="20">
        <f t="shared" ca="1" si="31"/>
        <v>0</v>
      </c>
      <c r="CW18" s="20">
        <f t="shared" ca="1" si="32"/>
        <v>0</v>
      </c>
      <c r="CX18" s="20">
        <f t="shared" ca="1" si="33"/>
        <v>0</v>
      </c>
      <c r="CY18" s="20">
        <f t="shared" ca="1" si="34"/>
        <v>0</v>
      </c>
      <c r="CZ18" s="20">
        <f t="shared" ca="1" si="35"/>
        <v>3321130294.6923242</v>
      </c>
      <c r="DA18" s="20">
        <f t="shared" ca="1" si="36"/>
        <v>0</v>
      </c>
      <c r="DB18" s="20">
        <f t="shared" ca="1" si="37"/>
        <v>50939026613.447174</v>
      </c>
      <c r="DC18" s="20">
        <f t="shared" ca="1" si="38"/>
        <v>0</v>
      </c>
      <c r="DD18" s="20">
        <f t="shared" ca="1" si="39"/>
        <v>0</v>
      </c>
      <c r="DE18" s="20">
        <f t="shared" ca="1" si="40"/>
        <v>0</v>
      </c>
      <c r="DF18" s="20">
        <f t="shared" ca="1" si="41"/>
        <v>0</v>
      </c>
      <c r="DG18" s="20">
        <f t="shared" ca="1" si="42"/>
        <v>0</v>
      </c>
      <c r="DH18" s="20">
        <f t="shared" ca="1" si="43"/>
        <v>0</v>
      </c>
      <c r="DI18" s="20">
        <f t="shared" ca="1" si="44"/>
        <v>0</v>
      </c>
      <c r="DJ18" s="20">
        <f t="shared" ca="1" si="45"/>
        <v>0</v>
      </c>
      <c r="DK18" s="20">
        <f t="shared" ca="1" si="46"/>
        <v>0</v>
      </c>
      <c r="DL18" s="20">
        <f t="shared" ca="1" si="47"/>
        <v>0</v>
      </c>
      <c r="DM18" s="20">
        <f t="shared" ca="1" si="48"/>
        <v>0</v>
      </c>
      <c r="DN18" s="20">
        <f t="shared" ca="1" si="49"/>
        <v>0</v>
      </c>
      <c r="DO18" s="20">
        <f t="shared" ca="1" si="50"/>
        <v>0</v>
      </c>
      <c r="DP18" s="20">
        <f t="shared" ca="1" si="51"/>
        <v>0</v>
      </c>
      <c r="DQ18" s="20">
        <f t="shared" ca="1" si="52"/>
        <v>0</v>
      </c>
      <c r="DR18" s="20">
        <f t="shared" ca="1" si="53"/>
        <v>0</v>
      </c>
      <c r="DS18" s="20">
        <f t="shared" ca="1" si="54"/>
        <v>0</v>
      </c>
      <c r="DT18" s="20">
        <f t="shared" ca="1" si="55"/>
        <v>0</v>
      </c>
      <c r="DU18" s="20">
        <f t="shared" ca="1" si="56"/>
        <v>0</v>
      </c>
      <c r="DV18" s="20">
        <f t="shared" ca="1" si="57"/>
        <v>0</v>
      </c>
      <c r="DW18" s="20">
        <f t="shared" ca="1" si="58"/>
        <v>0</v>
      </c>
      <c r="DX18" s="20">
        <f t="shared" ca="1" si="59"/>
        <v>0</v>
      </c>
      <c r="DY18" s="20">
        <f t="shared" ca="1" si="60"/>
        <v>0</v>
      </c>
      <c r="DZ18" s="20">
        <f t="shared" ca="1" si="61"/>
        <v>0</v>
      </c>
      <c r="EA18" s="20">
        <f t="shared" ca="1" si="62"/>
        <v>0</v>
      </c>
      <c r="EB18" s="20">
        <f t="shared" ca="1" si="63"/>
        <v>0</v>
      </c>
      <c r="EC18" s="20">
        <f t="shared" ca="1" si="64"/>
        <v>580546300537.99634</v>
      </c>
      <c r="ED18" s="20">
        <f t="shared" ca="1" si="65"/>
        <v>0</v>
      </c>
      <c r="EE18" s="20">
        <f t="shared" ca="1" si="66"/>
        <v>0</v>
      </c>
      <c r="EF18" s="20">
        <f t="shared" ca="1" si="67"/>
        <v>0</v>
      </c>
      <c r="EG18" s="20">
        <f t="shared" ca="1" si="68"/>
        <v>0</v>
      </c>
      <c r="EH18" s="20">
        <f t="shared" ca="1" si="69"/>
        <v>0</v>
      </c>
      <c r="EI18" s="20">
        <f t="shared" ca="1" si="70"/>
        <v>0</v>
      </c>
      <c r="EJ18" s="20">
        <f t="shared" ca="1" si="71"/>
        <v>0</v>
      </c>
      <c r="EK18" s="20">
        <f t="shared" ca="1" si="72"/>
        <v>0</v>
      </c>
      <c r="EL18" s="20">
        <f t="shared" ca="1" si="73"/>
        <v>0</v>
      </c>
      <c r="EM18" s="20">
        <f t="shared" ca="1" si="74"/>
        <v>0</v>
      </c>
      <c r="EN18" s="20">
        <f t="shared" ca="1" si="75"/>
        <v>0</v>
      </c>
      <c r="EO18" s="20">
        <f t="shared" ca="1" si="76"/>
        <v>0</v>
      </c>
      <c r="EP18" s="20">
        <f t="shared" ca="1" si="77"/>
        <v>0</v>
      </c>
      <c r="EQ18" s="17" t="s">
        <v>100</v>
      </c>
      <c r="ER18" s="19">
        <v>742846509147.30798</v>
      </c>
      <c r="ES18" s="20">
        <f t="shared" si="6"/>
        <v>27.333755277748768</v>
      </c>
    </row>
    <row r="19" spans="1:149" ht="15">
      <c r="A19" s="21" t="s">
        <v>174</v>
      </c>
      <c r="B19" s="14">
        <f ca="1">IFERROR(__xludf.dummyfunction("QUERY('Countries markets attractivenes'!A:C, ""SELECT C WHERE A = '""&amp;A19&amp;""'"",0)"),22.193441682047)</f>
        <v>22.193441682046998</v>
      </c>
      <c r="C19" s="14">
        <f t="shared" ca="1" si="78"/>
        <v>4349999999.9999762</v>
      </c>
      <c r="D19" s="18">
        <f>Marketplace_customer!C19/Marketplace_customer!C$2</f>
        <v>0</v>
      </c>
      <c r="E19" s="18">
        <f>Marketplace_customer!D19/Marketplace_customer!D$2</f>
        <v>0</v>
      </c>
      <c r="F19" s="18">
        <f>Marketplace_customer!E19/Marketplace_customer!E$2</f>
        <v>0</v>
      </c>
      <c r="G19" s="18">
        <f>Marketplace_customer!F19/Marketplace_customer!F$2</f>
        <v>0</v>
      </c>
      <c r="H19" s="18">
        <f>Marketplace_customer!G19/Marketplace_customer!G$2</f>
        <v>0</v>
      </c>
      <c r="I19" s="18">
        <f>Marketplace_customer!H19/Marketplace_customer!H$2</f>
        <v>0</v>
      </c>
      <c r="J19" s="18">
        <f>Marketplace_customer!I19/Marketplace_customer!I$2</f>
        <v>0</v>
      </c>
      <c r="K19" s="18">
        <f>Marketplace_customer!J19/Marketplace_customer!J$2</f>
        <v>0</v>
      </c>
      <c r="L19" s="18">
        <f>Marketplace_customer!K19/Marketplace_customer!K$2</f>
        <v>0</v>
      </c>
      <c r="M19" s="18">
        <f>Marketplace_customer!L19/Marketplace_customer!L$2</f>
        <v>0</v>
      </c>
      <c r="N19" s="18">
        <f>Marketplace_customer!M19/Marketplace_customer!M$2</f>
        <v>0</v>
      </c>
      <c r="O19" s="18">
        <f>Marketplace_customer!N19/Marketplace_customer!N$2</f>
        <v>0</v>
      </c>
      <c r="P19" s="18">
        <f>Marketplace_customer!O19/Marketplace_customer!O$2</f>
        <v>5.3191489361702134E-5</v>
      </c>
      <c r="Q19" s="18">
        <f>Marketplace_customer!P19/Marketplace_customer!P$2</f>
        <v>0</v>
      </c>
      <c r="R19" s="18">
        <f>Marketplace_customer!Q19/Marketplace_customer!Q$2</f>
        <v>0</v>
      </c>
      <c r="S19" s="18">
        <f>Marketplace_customer!R19/Marketplace_customer!R$2</f>
        <v>0</v>
      </c>
      <c r="T19" s="18">
        <f>Marketplace_customer!S19/Marketplace_customer!S$2</f>
        <v>0</v>
      </c>
      <c r="U19" s="18">
        <f>Marketplace_customer!T19/Marketplace_customer!T$2</f>
        <v>0</v>
      </c>
      <c r="V19" s="18">
        <f>Marketplace_customer!U19/Marketplace_customer!U$2</f>
        <v>0</v>
      </c>
      <c r="W19" s="18">
        <f>Marketplace_customer!V19/Marketplace_customer!V$2</f>
        <v>0</v>
      </c>
      <c r="X19" s="18">
        <f>Marketplace_customer!W19/Marketplace_customer!W$2</f>
        <v>0</v>
      </c>
      <c r="Y19" s="18">
        <f>Marketplace_customer!X19/Marketplace_customer!X$2</f>
        <v>0</v>
      </c>
      <c r="Z19" s="18">
        <f>Marketplace_customer!Y19/Marketplace_customer!Y$2</f>
        <v>0</v>
      </c>
      <c r="AA19" s="18">
        <f>Marketplace_customer!Z19/Marketplace_customer!Z$2</f>
        <v>0</v>
      </c>
      <c r="AB19" s="18">
        <f>Marketplace_customer!AA19/Marketplace_customer!AA$2</f>
        <v>0</v>
      </c>
      <c r="AC19" s="18">
        <f>Marketplace_customer!AB19/Marketplace_customer!AB$2</f>
        <v>0</v>
      </c>
      <c r="AD19" s="18">
        <f>Marketplace_customer!AC19/Marketplace_customer!AC$2</f>
        <v>0</v>
      </c>
      <c r="AE19" s="18">
        <f>Marketplace_customer!AD19/Marketplace_customer!AD$2</f>
        <v>0</v>
      </c>
      <c r="AF19" s="18">
        <f>Marketplace_customer!AE19/Marketplace_customer!AE$2</f>
        <v>0</v>
      </c>
      <c r="AG19" s="18">
        <f>Marketplace_customer!AF19/Marketplace_customer!AF$2</f>
        <v>0</v>
      </c>
      <c r="AH19" s="18">
        <f>Marketplace_customer!AG19/Marketplace_customer!AG$2</f>
        <v>0</v>
      </c>
      <c r="AI19" s="18">
        <f>Marketplace_customer!AH19/Marketplace_customer!AH$2</f>
        <v>0</v>
      </c>
      <c r="AJ19" s="18">
        <f>Marketplace_customer!AI19/Marketplace_customer!AI$2</f>
        <v>0</v>
      </c>
      <c r="AK19" s="18">
        <f>Marketplace_customer!AJ19/Marketplace_customer!AJ$2</f>
        <v>0</v>
      </c>
      <c r="AL19" s="18">
        <f>Marketplace_customer!AK19/Marketplace_customer!AK$2</f>
        <v>0</v>
      </c>
      <c r="AM19" s="18">
        <f>Marketplace_customer!AL19/Marketplace_customer!AL$2</f>
        <v>0</v>
      </c>
      <c r="AN19" s="18">
        <f>Marketplace_customer!AM19/Marketplace_customer!AM$2</f>
        <v>0</v>
      </c>
      <c r="AO19" s="18">
        <f>Marketplace_customer!AN19/Marketplace_customer!AN$2</f>
        <v>0</v>
      </c>
      <c r="AP19" s="18">
        <f>Marketplace_customer!AO19/Marketplace_customer!AO$2</f>
        <v>0</v>
      </c>
      <c r="AQ19" s="18">
        <f>Marketplace_customer!AP19/Marketplace_customer!AP$2</f>
        <v>0</v>
      </c>
      <c r="AR19" s="18">
        <f>Marketplace_customer!AQ19/Marketplace_customer!AQ$2</f>
        <v>0</v>
      </c>
      <c r="AS19" s="18">
        <f>Marketplace_customer!AR19/Marketplace_customer!AR$2</f>
        <v>0</v>
      </c>
      <c r="AT19" s="18">
        <f>Marketplace_customer!AS19/Marketplace_customer!AS$2</f>
        <v>0</v>
      </c>
      <c r="AU19" s="18">
        <f>Marketplace_customer!AT19/Marketplace_customer!AT$2</f>
        <v>0</v>
      </c>
      <c r="AV19" s="18">
        <f>Marketplace_customer!AU19/Marketplace_customer!AU$2</f>
        <v>0</v>
      </c>
      <c r="AW19" s="18">
        <f>Marketplace_customer!AV19/Marketplace_customer!AV$2</f>
        <v>0</v>
      </c>
      <c r="AX19" s="18">
        <f>Marketplace_customer!AW19/Marketplace_customer!AW$2</f>
        <v>0</v>
      </c>
      <c r="AY19" s="18">
        <f>Marketplace_customer!AX19/Marketplace_customer!AX$2</f>
        <v>0</v>
      </c>
      <c r="AZ19" s="18">
        <f>Marketplace_customer!AY19/Marketplace_customer!AY$2</f>
        <v>0</v>
      </c>
      <c r="BA19" s="18">
        <f>Marketplace_customer!AZ19/Marketplace_customer!AZ$2</f>
        <v>0</v>
      </c>
      <c r="BB19" s="18">
        <f>Marketplace_customer!BA19/Marketplace_customer!BA$2</f>
        <v>0</v>
      </c>
      <c r="BC19" s="18">
        <f>Marketplace_customer!BB19/Marketplace_customer!BB$2</f>
        <v>0</v>
      </c>
      <c r="BD19" s="18">
        <f>Marketplace_customer!BC19/Marketplace_customer!BC$2</f>
        <v>0</v>
      </c>
      <c r="BE19" s="18">
        <f>Marketplace_customer!BD19/Marketplace_customer!BD$2</f>
        <v>0</v>
      </c>
      <c r="BF19" s="18">
        <f>Marketplace_customer!BE19/Marketplace_customer!BE$2</f>
        <v>0</v>
      </c>
      <c r="BG19" s="18">
        <f>Marketplace_customer!BF19/Marketplace_customer!BF$2</f>
        <v>0</v>
      </c>
      <c r="BH19" s="18">
        <f>Marketplace_customer!BG19/Marketplace_customer!BG$2</f>
        <v>0</v>
      </c>
      <c r="BI19" s="18">
        <f>Marketplace_customer!BH19/Marketplace_customer!BH$2</f>
        <v>0</v>
      </c>
      <c r="BJ19" s="18">
        <f>Marketplace_customer!BI19/Marketplace_customer!BI$2</f>
        <v>0</v>
      </c>
      <c r="BK19" s="18">
        <f>Marketplace_customer!BJ19/Marketplace_customer!BJ$2</f>
        <v>0</v>
      </c>
      <c r="BL19" s="18">
        <f>Marketplace_customer!BK19/Marketplace_customer!BK$2</f>
        <v>0</v>
      </c>
      <c r="BM19" s="18">
        <f>Marketplace_customer!BL19/Marketplace_customer!BL$2</f>
        <v>0</v>
      </c>
      <c r="BN19" s="18">
        <f>Marketplace_customer!BM19/Marketplace_customer!BM$2</f>
        <v>0</v>
      </c>
      <c r="BO19" s="18">
        <f>Marketplace_customer!BN19/Marketplace_customer!BN$2</f>
        <v>0</v>
      </c>
      <c r="BP19" s="18">
        <f>Marketplace_customer!BO19/Marketplace_customer!BO$2</f>
        <v>0</v>
      </c>
      <c r="BQ19" s="18">
        <f>Marketplace_customer!BP19/Marketplace_customer!BP$2</f>
        <v>0</v>
      </c>
      <c r="BR19" s="18">
        <f>Marketplace_customer!BQ19/Marketplace_customer!BQ$2</f>
        <v>0</v>
      </c>
      <c r="BS19" s="18">
        <f>Marketplace_customer!BR19/Marketplace_customer!BR$2</f>
        <v>0</v>
      </c>
      <c r="BT19" s="18">
        <f>Marketplace_customer!BS19/Marketplace_customer!BS$2</f>
        <v>0</v>
      </c>
      <c r="BU19" s="18">
        <f>Marketplace_customer!BT19/Marketplace_customer!BT$2</f>
        <v>0</v>
      </c>
      <c r="BV19" s="18">
        <f>Marketplace_customer!BU19/Marketplace_customer!BU$2</f>
        <v>0</v>
      </c>
      <c r="BW19" s="19"/>
      <c r="BX19" s="20">
        <f t="shared" ca="1" si="7"/>
        <v>0</v>
      </c>
      <c r="BY19" s="20">
        <f t="shared" ca="1" si="8"/>
        <v>0</v>
      </c>
      <c r="BZ19" s="20">
        <f t="shared" ca="1" si="9"/>
        <v>0</v>
      </c>
      <c r="CA19" s="20">
        <f t="shared" ca="1" si="10"/>
        <v>0</v>
      </c>
      <c r="CB19" s="20">
        <f t="shared" ca="1" si="11"/>
        <v>0</v>
      </c>
      <c r="CC19" s="20">
        <f t="shared" ca="1" si="12"/>
        <v>0</v>
      </c>
      <c r="CD19" s="20">
        <f t="shared" ca="1" si="13"/>
        <v>0</v>
      </c>
      <c r="CE19" s="20">
        <f t="shared" ca="1" si="14"/>
        <v>0</v>
      </c>
      <c r="CF19" s="20">
        <f t="shared" ca="1" si="15"/>
        <v>0</v>
      </c>
      <c r="CG19" s="20">
        <f t="shared" ca="1" si="16"/>
        <v>0</v>
      </c>
      <c r="CH19" s="20">
        <f t="shared" ca="1" si="17"/>
        <v>0</v>
      </c>
      <c r="CI19" s="20">
        <f t="shared" ca="1" si="18"/>
        <v>0</v>
      </c>
      <c r="CJ19" s="20">
        <f t="shared" ca="1" si="19"/>
        <v>231382.97872340301</v>
      </c>
      <c r="CK19" s="20">
        <f t="shared" ca="1" si="20"/>
        <v>0</v>
      </c>
      <c r="CL19" s="20">
        <f t="shared" ca="1" si="21"/>
        <v>0</v>
      </c>
      <c r="CM19" s="20">
        <f t="shared" ca="1" si="22"/>
        <v>0</v>
      </c>
      <c r="CN19" s="20">
        <f t="shared" ca="1" si="23"/>
        <v>0</v>
      </c>
      <c r="CO19" s="20">
        <f t="shared" ca="1" si="24"/>
        <v>0</v>
      </c>
      <c r="CP19" s="20">
        <f t="shared" ca="1" si="25"/>
        <v>0</v>
      </c>
      <c r="CQ19" s="20">
        <f t="shared" ca="1" si="26"/>
        <v>0</v>
      </c>
      <c r="CR19" s="20">
        <f t="shared" ca="1" si="27"/>
        <v>0</v>
      </c>
      <c r="CS19" s="20">
        <f t="shared" ca="1" si="28"/>
        <v>0</v>
      </c>
      <c r="CT19" s="20">
        <f t="shared" ca="1" si="29"/>
        <v>0</v>
      </c>
      <c r="CU19" s="20">
        <f t="shared" ca="1" si="30"/>
        <v>0</v>
      </c>
      <c r="CV19" s="20">
        <f t="shared" ca="1" si="31"/>
        <v>0</v>
      </c>
      <c r="CW19" s="20">
        <f t="shared" ca="1" si="32"/>
        <v>0</v>
      </c>
      <c r="CX19" s="20">
        <f t="shared" ca="1" si="33"/>
        <v>0</v>
      </c>
      <c r="CY19" s="20">
        <f t="shared" ca="1" si="34"/>
        <v>0</v>
      </c>
      <c r="CZ19" s="20">
        <f t="shared" ca="1" si="35"/>
        <v>0</v>
      </c>
      <c r="DA19" s="20">
        <f t="shared" ca="1" si="36"/>
        <v>0</v>
      </c>
      <c r="DB19" s="20">
        <f t="shared" ca="1" si="37"/>
        <v>0</v>
      </c>
      <c r="DC19" s="20">
        <f t="shared" ca="1" si="38"/>
        <v>0</v>
      </c>
      <c r="DD19" s="20">
        <f t="shared" ca="1" si="39"/>
        <v>0</v>
      </c>
      <c r="DE19" s="20">
        <f t="shared" ca="1" si="40"/>
        <v>0</v>
      </c>
      <c r="DF19" s="20">
        <f t="shared" ca="1" si="41"/>
        <v>0</v>
      </c>
      <c r="DG19" s="20">
        <f t="shared" ca="1" si="42"/>
        <v>0</v>
      </c>
      <c r="DH19" s="20">
        <f t="shared" ca="1" si="43"/>
        <v>0</v>
      </c>
      <c r="DI19" s="20">
        <f t="shared" ca="1" si="44"/>
        <v>0</v>
      </c>
      <c r="DJ19" s="20">
        <f t="shared" ca="1" si="45"/>
        <v>0</v>
      </c>
      <c r="DK19" s="20">
        <f t="shared" ca="1" si="46"/>
        <v>0</v>
      </c>
      <c r="DL19" s="20">
        <f t="shared" ca="1" si="47"/>
        <v>0</v>
      </c>
      <c r="DM19" s="20">
        <f t="shared" ca="1" si="48"/>
        <v>0</v>
      </c>
      <c r="DN19" s="20">
        <f t="shared" ca="1" si="49"/>
        <v>0</v>
      </c>
      <c r="DO19" s="20">
        <f t="shared" ca="1" si="50"/>
        <v>0</v>
      </c>
      <c r="DP19" s="20">
        <f t="shared" ca="1" si="51"/>
        <v>0</v>
      </c>
      <c r="DQ19" s="20">
        <f t="shared" ca="1" si="52"/>
        <v>0</v>
      </c>
      <c r="DR19" s="20">
        <f t="shared" ca="1" si="53"/>
        <v>0</v>
      </c>
      <c r="DS19" s="20">
        <f t="shared" ca="1" si="54"/>
        <v>0</v>
      </c>
      <c r="DT19" s="20">
        <f t="shared" ca="1" si="55"/>
        <v>0</v>
      </c>
      <c r="DU19" s="20">
        <f t="shared" ca="1" si="56"/>
        <v>0</v>
      </c>
      <c r="DV19" s="20">
        <f t="shared" ca="1" si="57"/>
        <v>0</v>
      </c>
      <c r="DW19" s="20">
        <f t="shared" ca="1" si="58"/>
        <v>0</v>
      </c>
      <c r="DX19" s="20">
        <f t="shared" ca="1" si="59"/>
        <v>0</v>
      </c>
      <c r="DY19" s="20">
        <f t="shared" ca="1" si="60"/>
        <v>0</v>
      </c>
      <c r="DZ19" s="20">
        <f t="shared" ca="1" si="61"/>
        <v>0</v>
      </c>
      <c r="EA19" s="20">
        <f t="shared" ca="1" si="62"/>
        <v>0</v>
      </c>
      <c r="EB19" s="20">
        <f t="shared" ca="1" si="63"/>
        <v>0</v>
      </c>
      <c r="EC19" s="20">
        <f t="shared" ca="1" si="64"/>
        <v>0</v>
      </c>
      <c r="ED19" s="20">
        <f t="shared" ca="1" si="65"/>
        <v>0</v>
      </c>
      <c r="EE19" s="20">
        <f t="shared" ca="1" si="66"/>
        <v>0</v>
      </c>
      <c r="EF19" s="20">
        <f t="shared" ca="1" si="67"/>
        <v>0</v>
      </c>
      <c r="EG19" s="20">
        <f t="shared" ca="1" si="68"/>
        <v>0</v>
      </c>
      <c r="EH19" s="20">
        <f t="shared" ca="1" si="69"/>
        <v>0</v>
      </c>
      <c r="EI19" s="20">
        <f t="shared" ca="1" si="70"/>
        <v>0</v>
      </c>
      <c r="EJ19" s="20">
        <f t="shared" ca="1" si="71"/>
        <v>0</v>
      </c>
      <c r="EK19" s="20">
        <f t="shared" ca="1" si="72"/>
        <v>0</v>
      </c>
      <c r="EL19" s="20">
        <f t="shared" ca="1" si="73"/>
        <v>0</v>
      </c>
      <c r="EM19" s="20">
        <f t="shared" ca="1" si="74"/>
        <v>0</v>
      </c>
      <c r="EN19" s="20">
        <f t="shared" ca="1" si="75"/>
        <v>0</v>
      </c>
      <c r="EO19" s="20">
        <f t="shared" ca="1" si="76"/>
        <v>0</v>
      </c>
      <c r="EP19" s="20">
        <f t="shared" ca="1" si="77"/>
        <v>0</v>
      </c>
      <c r="EQ19" s="17" t="s">
        <v>101</v>
      </c>
      <c r="ER19" s="19">
        <v>1023791748769.91</v>
      </c>
      <c r="ES19" s="20">
        <f t="shared" si="6"/>
        <v>27.654534251521426</v>
      </c>
    </row>
    <row r="20" spans="1:149" ht="15">
      <c r="A20" s="21" t="s">
        <v>175</v>
      </c>
      <c r="B20" s="14">
        <f ca="1">IFERROR(__xludf.dummyfunction("QUERY('Countries markets attractivenes'!A:C, ""SELECT C WHERE A = '""&amp;A20&amp;""'"",0)"),28.8648738335332)</f>
        <v>28.864873833533199</v>
      </c>
      <c r="C20" s="14">
        <f t="shared" ca="1" si="78"/>
        <v>3434435991589.3457</v>
      </c>
      <c r="D20" s="18">
        <f>Marketplace_customer!C20/Marketplace_customer!C$2</f>
        <v>6.7310789049919483E-3</v>
      </c>
      <c r="E20" s="18">
        <f>Marketplace_customer!D20/Marketplace_customer!D$2</f>
        <v>0</v>
      </c>
      <c r="F20" s="18">
        <f>Marketplace_customer!E20/Marketplace_customer!E$2</f>
        <v>0</v>
      </c>
      <c r="G20" s="18">
        <f>Marketplace_customer!F20/Marketplace_customer!F$2</f>
        <v>0</v>
      </c>
      <c r="H20" s="18">
        <f>Marketplace_customer!G20/Marketplace_customer!G$2</f>
        <v>0</v>
      </c>
      <c r="I20" s="18">
        <f>Marketplace_customer!H20/Marketplace_customer!H$2</f>
        <v>0.91248665955176089</v>
      </c>
      <c r="J20" s="18">
        <f>Marketplace_customer!I20/Marketplace_customer!I$2</f>
        <v>0</v>
      </c>
      <c r="K20" s="18">
        <f>Marketplace_customer!J20/Marketplace_customer!J$2</f>
        <v>0</v>
      </c>
      <c r="L20" s="18">
        <f>Marketplace_customer!K20/Marketplace_customer!K$2</f>
        <v>0</v>
      </c>
      <c r="M20" s="18">
        <f>Marketplace_customer!L20/Marketplace_customer!L$2</f>
        <v>0</v>
      </c>
      <c r="N20" s="18">
        <f>Marketplace_customer!M20/Marketplace_customer!M$2</f>
        <v>0</v>
      </c>
      <c r="O20" s="18">
        <f>Marketplace_customer!N20/Marketplace_customer!N$2</f>
        <v>0</v>
      </c>
      <c r="P20" s="18">
        <f>Marketplace_customer!O20/Marketplace_customer!O$2</f>
        <v>1.4893617021276594E-3</v>
      </c>
      <c r="Q20" s="18">
        <f>Marketplace_customer!P20/Marketplace_customer!P$2</f>
        <v>0</v>
      </c>
      <c r="R20" s="18">
        <f>Marketplace_customer!Q20/Marketplace_customer!Q$2</f>
        <v>0</v>
      </c>
      <c r="S20" s="18">
        <f>Marketplace_customer!R20/Marketplace_customer!R$2</f>
        <v>0</v>
      </c>
      <c r="T20" s="18">
        <f>Marketplace_customer!S20/Marketplace_customer!S$2</f>
        <v>0</v>
      </c>
      <c r="U20" s="18">
        <f>Marketplace_customer!T20/Marketplace_customer!T$2</f>
        <v>0</v>
      </c>
      <c r="V20" s="18">
        <f>Marketplace_customer!U20/Marketplace_customer!U$2</f>
        <v>0</v>
      </c>
      <c r="W20" s="18">
        <f>Marketplace_customer!V20/Marketplace_customer!V$2</f>
        <v>0</v>
      </c>
      <c r="X20" s="18">
        <f>Marketplace_customer!W20/Marketplace_customer!W$2</f>
        <v>0</v>
      </c>
      <c r="Y20" s="18">
        <f>Marketplace_customer!X20/Marketplace_customer!X$2</f>
        <v>0</v>
      </c>
      <c r="Z20" s="18">
        <f>Marketplace_customer!Y20/Marketplace_customer!Y$2</f>
        <v>0</v>
      </c>
      <c r="AA20" s="18">
        <f>Marketplace_customer!Z20/Marketplace_customer!Z$2</f>
        <v>0</v>
      </c>
      <c r="AB20" s="18">
        <f>Marketplace_customer!AA20/Marketplace_customer!AA$2</f>
        <v>0</v>
      </c>
      <c r="AC20" s="18">
        <f>Marketplace_customer!AB20/Marketplace_customer!AB$2</f>
        <v>0</v>
      </c>
      <c r="AD20" s="18">
        <f>Marketplace_customer!AC20/Marketplace_customer!AC$2</f>
        <v>0</v>
      </c>
      <c r="AE20" s="18">
        <f>Marketplace_customer!AD20/Marketplace_customer!AD$2</f>
        <v>0.97468354430379744</v>
      </c>
      <c r="AF20" s="18">
        <f>Marketplace_customer!AE20/Marketplace_customer!AE$2</f>
        <v>0</v>
      </c>
      <c r="AG20" s="18">
        <f>Marketplace_customer!AF20/Marketplace_customer!AF$2</f>
        <v>0</v>
      </c>
      <c r="AH20" s="18">
        <f>Marketplace_customer!AG20/Marketplace_customer!AG$2</f>
        <v>6.1855670103092786E-2</v>
      </c>
      <c r="AI20" s="18">
        <f>Marketplace_customer!AH20/Marketplace_customer!AH$2</f>
        <v>0</v>
      </c>
      <c r="AJ20" s="18">
        <f>Marketplace_customer!AI20/Marketplace_customer!AI$2</f>
        <v>0</v>
      </c>
      <c r="AK20" s="18">
        <f>Marketplace_customer!AJ20/Marketplace_customer!AJ$2</f>
        <v>0</v>
      </c>
      <c r="AL20" s="18">
        <f>Marketplace_customer!AK20/Marketplace_customer!AK$2</f>
        <v>0</v>
      </c>
      <c r="AM20" s="18">
        <f>Marketplace_customer!AL20/Marketplace_customer!AL$2</f>
        <v>0</v>
      </c>
      <c r="AN20" s="18">
        <f>Marketplace_customer!AM20/Marketplace_customer!AM$2</f>
        <v>0</v>
      </c>
      <c r="AO20" s="18">
        <f>Marketplace_customer!AN20/Marketplace_customer!AN$2</f>
        <v>0</v>
      </c>
      <c r="AP20" s="18">
        <f>Marketplace_customer!AO20/Marketplace_customer!AO$2</f>
        <v>0</v>
      </c>
      <c r="AQ20" s="18">
        <f>Marketplace_customer!AP20/Marketplace_customer!AP$2</f>
        <v>0</v>
      </c>
      <c r="AR20" s="18">
        <f>Marketplace_customer!AQ20/Marketplace_customer!AQ$2</f>
        <v>0</v>
      </c>
      <c r="AS20" s="18">
        <f>Marketplace_customer!AR20/Marketplace_customer!AR$2</f>
        <v>0</v>
      </c>
      <c r="AT20" s="18">
        <f>Marketplace_customer!AS20/Marketplace_customer!AS$2</f>
        <v>0</v>
      </c>
      <c r="AU20" s="18">
        <f>Marketplace_customer!AT20/Marketplace_customer!AT$2</f>
        <v>0</v>
      </c>
      <c r="AV20" s="18">
        <f>Marketplace_customer!AU20/Marketplace_customer!AU$2</f>
        <v>0</v>
      </c>
      <c r="AW20" s="18">
        <f>Marketplace_customer!AV20/Marketplace_customer!AV$2</f>
        <v>0</v>
      </c>
      <c r="AX20" s="18">
        <f>Marketplace_customer!AW20/Marketplace_customer!AW$2</f>
        <v>0</v>
      </c>
      <c r="AY20" s="18">
        <f>Marketplace_customer!AX20/Marketplace_customer!AX$2</f>
        <v>0</v>
      </c>
      <c r="AZ20" s="18">
        <f>Marketplace_customer!AY20/Marketplace_customer!AY$2</f>
        <v>0</v>
      </c>
      <c r="BA20" s="18">
        <f>Marketplace_customer!AZ20/Marketplace_customer!AZ$2</f>
        <v>0</v>
      </c>
      <c r="BB20" s="18">
        <f>Marketplace_customer!BA20/Marketplace_customer!BA$2</f>
        <v>0</v>
      </c>
      <c r="BC20" s="18">
        <f>Marketplace_customer!BB20/Marketplace_customer!BB$2</f>
        <v>0</v>
      </c>
      <c r="BD20" s="18">
        <f>Marketplace_customer!BC20/Marketplace_customer!BC$2</f>
        <v>0.96226415094339623</v>
      </c>
      <c r="BE20" s="18">
        <f>Marketplace_customer!BD20/Marketplace_customer!BD$2</f>
        <v>0</v>
      </c>
      <c r="BF20" s="18">
        <f>Marketplace_customer!BE20/Marketplace_customer!BE$2</f>
        <v>0</v>
      </c>
      <c r="BG20" s="18">
        <f>Marketplace_customer!BF20/Marketplace_customer!BF$2</f>
        <v>0</v>
      </c>
      <c r="BH20" s="18">
        <f>Marketplace_customer!BG20/Marketplace_customer!BG$2</f>
        <v>0</v>
      </c>
      <c r="BI20" s="18">
        <f>Marketplace_customer!BH20/Marketplace_customer!BH$2</f>
        <v>0</v>
      </c>
      <c r="BJ20" s="18">
        <f>Marketplace_customer!BI20/Marketplace_customer!BI$2</f>
        <v>0</v>
      </c>
      <c r="BK20" s="18">
        <f>Marketplace_customer!BJ20/Marketplace_customer!BJ$2</f>
        <v>0</v>
      </c>
      <c r="BL20" s="18">
        <f>Marketplace_customer!BK20/Marketplace_customer!BK$2</f>
        <v>0</v>
      </c>
      <c r="BM20" s="18">
        <f>Marketplace_customer!BL20/Marketplace_customer!BL$2</f>
        <v>0</v>
      </c>
      <c r="BN20" s="18">
        <f>Marketplace_customer!BM20/Marketplace_customer!BM$2</f>
        <v>0</v>
      </c>
      <c r="BO20" s="18">
        <f>Marketplace_customer!BN20/Marketplace_customer!BN$2</f>
        <v>0</v>
      </c>
      <c r="BP20" s="18">
        <f>Marketplace_customer!BO20/Marketplace_customer!BO$2</f>
        <v>0</v>
      </c>
      <c r="BQ20" s="18">
        <f>Marketplace_customer!BP20/Marketplace_customer!BP$2</f>
        <v>0</v>
      </c>
      <c r="BR20" s="18">
        <f>Marketplace_customer!BQ20/Marketplace_customer!BQ$2</f>
        <v>4.8066298342541438E-3</v>
      </c>
      <c r="BS20" s="18">
        <f>Marketplace_customer!BR20/Marketplace_customer!BR$2</f>
        <v>0</v>
      </c>
      <c r="BT20" s="18">
        <f>Marketplace_customer!BS20/Marketplace_customer!BS$2</f>
        <v>0</v>
      </c>
      <c r="BU20" s="18">
        <f>Marketplace_customer!BT20/Marketplace_customer!BT$2</f>
        <v>0</v>
      </c>
      <c r="BV20" s="18">
        <f>Marketplace_customer!BU20/Marketplace_customer!BU$2</f>
        <v>0</v>
      </c>
      <c r="BW20" s="19"/>
      <c r="BX20" s="20">
        <f t="shared" ca="1" si="7"/>
        <v>23117459653.53215</v>
      </c>
      <c r="BY20" s="20">
        <f t="shared" ca="1" si="8"/>
        <v>0</v>
      </c>
      <c r="BZ20" s="20">
        <f t="shared" ca="1" si="9"/>
        <v>0</v>
      </c>
      <c r="CA20" s="20">
        <f t="shared" ca="1" si="10"/>
        <v>0</v>
      </c>
      <c r="CB20" s="20">
        <f t="shared" ca="1" si="11"/>
        <v>0</v>
      </c>
      <c r="CC20" s="20">
        <f t="shared" ca="1" si="12"/>
        <v>3133877025409.7017</v>
      </c>
      <c r="CD20" s="20">
        <f t="shared" ca="1" si="13"/>
        <v>0</v>
      </c>
      <c r="CE20" s="20">
        <f t="shared" ca="1" si="14"/>
        <v>0</v>
      </c>
      <c r="CF20" s="20">
        <f t="shared" ca="1" si="15"/>
        <v>0</v>
      </c>
      <c r="CG20" s="20">
        <f t="shared" ca="1" si="16"/>
        <v>0</v>
      </c>
      <c r="CH20" s="20">
        <f t="shared" ca="1" si="17"/>
        <v>0</v>
      </c>
      <c r="CI20" s="20">
        <f t="shared" ca="1" si="18"/>
        <v>0</v>
      </c>
      <c r="CJ20" s="20">
        <f t="shared" ca="1" si="19"/>
        <v>5115117434.2820034</v>
      </c>
      <c r="CK20" s="20">
        <f t="shared" ca="1" si="20"/>
        <v>0</v>
      </c>
      <c r="CL20" s="20">
        <f t="shared" ca="1" si="21"/>
        <v>0</v>
      </c>
      <c r="CM20" s="20">
        <f t="shared" ca="1" si="22"/>
        <v>0</v>
      </c>
      <c r="CN20" s="20">
        <f t="shared" ca="1" si="23"/>
        <v>0</v>
      </c>
      <c r="CO20" s="20">
        <f t="shared" ca="1" si="24"/>
        <v>0</v>
      </c>
      <c r="CP20" s="20">
        <f t="shared" ca="1" si="25"/>
        <v>0</v>
      </c>
      <c r="CQ20" s="20">
        <f t="shared" ca="1" si="26"/>
        <v>0</v>
      </c>
      <c r="CR20" s="20">
        <f t="shared" ca="1" si="27"/>
        <v>0</v>
      </c>
      <c r="CS20" s="20">
        <f t="shared" ca="1" si="28"/>
        <v>0</v>
      </c>
      <c r="CT20" s="20">
        <f t="shared" ca="1" si="29"/>
        <v>0</v>
      </c>
      <c r="CU20" s="20">
        <f t="shared" ca="1" si="30"/>
        <v>0</v>
      </c>
      <c r="CV20" s="20">
        <f t="shared" ca="1" si="31"/>
        <v>0</v>
      </c>
      <c r="CW20" s="20">
        <f t="shared" ca="1" si="32"/>
        <v>0</v>
      </c>
      <c r="CX20" s="20">
        <f t="shared" ca="1" si="33"/>
        <v>0</v>
      </c>
      <c r="CY20" s="20">
        <f t="shared" ca="1" si="34"/>
        <v>3347488244966.8306</v>
      </c>
      <c r="CZ20" s="20">
        <f t="shared" ca="1" si="35"/>
        <v>0</v>
      </c>
      <c r="DA20" s="20">
        <f t="shared" ca="1" si="36"/>
        <v>0</v>
      </c>
      <c r="DB20" s="20">
        <f t="shared" ca="1" si="37"/>
        <v>212439339685.9389</v>
      </c>
      <c r="DC20" s="20">
        <f t="shared" ca="1" si="38"/>
        <v>0</v>
      </c>
      <c r="DD20" s="20">
        <f t="shared" ca="1" si="39"/>
        <v>0</v>
      </c>
      <c r="DE20" s="20">
        <f t="shared" ca="1" si="40"/>
        <v>0</v>
      </c>
      <c r="DF20" s="20">
        <f t="shared" ca="1" si="41"/>
        <v>0</v>
      </c>
      <c r="DG20" s="20">
        <f t="shared" ca="1" si="42"/>
        <v>0</v>
      </c>
      <c r="DH20" s="20">
        <f t="shared" ca="1" si="43"/>
        <v>0</v>
      </c>
      <c r="DI20" s="20">
        <f t="shared" ca="1" si="44"/>
        <v>0</v>
      </c>
      <c r="DJ20" s="20">
        <f t="shared" ca="1" si="45"/>
        <v>0</v>
      </c>
      <c r="DK20" s="20">
        <f t="shared" ca="1" si="46"/>
        <v>0</v>
      </c>
      <c r="DL20" s="20">
        <f t="shared" ca="1" si="47"/>
        <v>0</v>
      </c>
      <c r="DM20" s="20">
        <f t="shared" ca="1" si="48"/>
        <v>0</v>
      </c>
      <c r="DN20" s="20">
        <f t="shared" ca="1" si="49"/>
        <v>0</v>
      </c>
      <c r="DO20" s="20">
        <f t="shared" ca="1" si="50"/>
        <v>0</v>
      </c>
      <c r="DP20" s="20">
        <f t="shared" ca="1" si="51"/>
        <v>0</v>
      </c>
      <c r="DQ20" s="20">
        <f t="shared" ca="1" si="52"/>
        <v>0</v>
      </c>
      <c r="DR20" s="20">
        <f t="shared" ca="1" si="53"/>
        <v>0</v>
      </c>
      <c r="DS20" s="20">
        <f t="shared" ca="1" si="54"/>
        <v>0</v>
      </c>
      <c r="DT20" s="20">
        <f t="shared" ca="1" si="55"/>
        <v>0</v>
      </c>
      <c r="DU20" s="20">
        <f t="shared" ca="1" si="56"/>
        <v>0</v>
      </c>
      <c r="DV20" s="20">
        <f t="shared" ca="1" si="57"/>
        <v>0</v>
      </c>
      <c r="DW20" s="20">
        <f t="shared" ca="1" si="58"/>
        <v>0</v>
      </c>
      <c r="DX20" s="20">
        <f t="shared" ca="1" si="59"/>
        <v>3304834633416.1631</v>
      </c>
      <c r="DY20" s="20">
        <f t="shared" ca="1" si="60"/>
        <v>0</v>
      </c>
      <c r="DZ20" s="20">
        <f t="shared" ca="1" si="61"/>
        <v>0</v>
      </c>
      <c r="EA20" s="20">
        <f t="shared" ca="1" si="62"/>
        <v>0</v>
      </c>
      <c r="EB20" s="20">
        <f t="shared" ca="1" si="63"/>
        <v>0</v>
      </c>
      <c r="EC20" s="20">
        <f t="shared" ca="1" si="64"/>
        <v>0</v>
      </c>
      <c r="ED20" s="20">
        <f t="shared" ca="1" si="65"/>
        <v>0</v>
      </c>
      <c r="EE20" s="20">
        <f t="shared" ca="1" si="66"/>
        <v>0</v>
      </c>
      <c r="EF20" s="20">
        <f t="shared" ca="1" si="67"/>
        <v>0</v>
      </c>
      <c r="EG20" s="20">
        <f t="shared" ca="1" si="68"/>
        <v>0</v>
      </c>
      <c r="EH20" s="20">
        <f t="shared" ca="1" si="69"/>
        <v>0</v>
      </c>
      <c r="EI20" s="20">
        <f t="shared" ca="1" si="70"/>
        <v>0</v>
      </c>
      <c r="EJ20" s="20">
        <f t="shared" ca="1" si="71"/>
        <v>0</v>
      </c>
      <c r="EK20" s="20">
        <f t="shared" ca="1" si="72"/>
        <v>0</v>
      </c>
      <c r="EL20" s="20">
        <f t="shared" ca="1" si="73"/>
        <v>16508062501.009563</v>
      </c>
      <c r="EM20" s="20">
        <f t="shared" ca="1" si="74"/>
        <v>0</v>
      </c>
      <c r="EN20" s="20">
        <f t="shared" ca="1" si="75"/>
        <v>0</v>
      </c>
      <c r="EO20" s="20">
        <f t="shared" ca="1" si="76"/>
        <v>0</v>
      </c>
      <c r="EP20" s="20">
        <f t="shared" ca="1" si="77"/>
        <v>0</v>
      </c>
      <c r="EQ20" s="17" t="s">
        <v>102</v>
      </c>
      <c r="ER20" s="19">
        <v>1714573692575.25</v>
      </c>
      <c r="ES20" s="20">
        <f t="shared" si="6"/>
        <v>28.170185589888504</v>
      </c>
    </row>
    <row r="21" spans="1:149" ht="15">
      <c r="A21" s="21" t="s">
        <v>176</v>
      </c>
      <c r="B21" s="14">
        <f ca="1">IFERROR(__xludf.dummyfunction("QUERY('Countries markets attractivenes'!A:C, ""SELECT C WHERE A = '""&amp;A21&amp;""'"",0)"),24.8620194664084)</f>
        <v>24.862019466408402</v>
      </c>
      <c r="C21" s="14">
        <f t="shared" ca="1" si="78"/>
        <v>62724594622.776115</v>
      </c>
      <c r="D21" s="18">
        <f>Marketplace_customer!C21/Marketplace_customer!C$2</f>
        <v>0</v>
      </c>
      <c r="E21" s="18">
        <f>Marketplace_customer!D21/Marketplace_customer!D$2</f>
        <v>0</v>
      </c>
      <c r="F21" s="18">
        <f>Marketplace_customer!E21/Marketplace_customer!E$2</f>
        <v>0</v>
      </c>
      <c r="G21" s="18">
        <f>Marketplace_customer!F21/Marketplace_customer!F$2</f>
        <v>0</v>
      </c>
      <c r="H21" s="18">
        <f>Marketplace_customer!G21/Marketplace_customer!G$2</f>
        <v>0</v>
      </c>
      <c r="I21" s="18">
        <f>Marketplace_customer!H21/Marketplace_customer!H$2</f>
        <v>0</v>
      </c>
      <c r="J21" s="18">
        <f>Marketplace_customer!I21/Marketplace_customer!I$2</f>
        <v>0</v>
      </c>
      <c r="K21" s="18">
        <f>Marketplace_customer!J21/Marketplace_customer!J$2</f>
        <v>0</v>
      </c>
      <c r="L21" s="18">
        <f>Marketplace_customer!K21/Marketplace_customer!K$2</f>
        <v>0</v>
      </c>
      <c r="M21" s="18">
        <f>Marketplace_customer!L21/Marketplace_customer!L$2</f>
        <v>0</v>
      </c>
      <c r="N21" s="18">
        <f>Marketplace_customer!M21/Marketplace_customer!M$2</f>
        <v>0</v>
      </c>
      <c r="O21" s="18">
        <f>Marketplace_customer!N21/Marketplace_customer!N$2</f>
        <v>0</v>
      </c>
      <c r="P21" s="18">
        <f>Marketplace_customer!O21/Marketplace_customer!O$2</f>
        <v>3.2234042553191489E-4</v>
      </c>
      <c r="Q21" s="18">
        <f>Marketplace_customer!P21/Marketplace_customer!P$2</f>
        <v>0</v>
      </c>
      <c r="R21" s="18">
        <f>Marketplace_customer!Q21/Marketplace_customer!Q$2</f>
        <v>0</v>
      </c>
      <c r="S21" s="18">
        <f>Marketplace_customer!R21/Marketplace_customer!R$2</f>
        <v>0</v>
      </c>
      <c r="T21" s="18">
        <f>Marketplace_customer!S21/Marketplace_customer!S$2</f>
        <v>0</v>
      </c>
      <c r="U21" s="18">
        <f>Marketplace_customer!T21/Marketplace_customer!T$2</f>
        <v>0</v>
      </c>
      <c r="V21" s="18">
        <f>Marketplace_customer!U21/Marketplace_customer!U$2</f>
        <v>0</v>
      </c>
      <c r="W21" s="18">
        <f>Marketplace_customer!V21/Marketplace_customer!V$2</f>
        <v>0</v>
      </c>
      <c r="X21" s="18">
        <f>Marketplace_customer!W21/Marketplace_customer!W$2</f>
        <v>0</v>
      </c>
      <c r="Y21" s="18">
        <f>Marketplace_customer!X21/Marketplace_customer!X$2</f>
        <v>0</v>
      </c>
      <c r="Z21" s="18">
        <f>Marketplace_customer!Y21/Marketplace_customer!Y$2</f>
        <v>0</v>
      </c>
      <c r="AA21" s="18">
        <f>Marketplace_customer!Z21/Marketplace_customer!Z$2</f>
        <v>0</v>
      </c>
      <c r="AB21" s="18">
        <f>Marketplace_customer!AA21/Marketplace_customer!AA$2</f>
        <v>0</v>
      </c>
      <c r="AC21" s="18">
        <f>Marketplace_customer!AB21/Marketplace_customer!AB$2</f>
        <v>0</v>
      </c>
      <c r="AD21" s="18">
        <f>Marketplace_customer!AC21/Marketplace_customer!AC$2</f>
        <v>0</v>
      </c>
      <c r="AE21" s="18">
        <f>Marketplace_customer!AD21/Marketplace_customer!AD$2</f>
        <v>0</v>
      </c>
      <c r="AF21" s="18">
        <f>Marketplace_customer!AE21/Marketplace_customer!AE$2</f>
        <v>0</v>
      </c>
      <c r="AG21" s="18">
        <f>Marketplace_customer!AF21/Marketplace_customer!AF$2</f>
        <v>0</v>
      </c>
      <c r="AH21" s="18">
        <f>Marketplace_customer!AG21/Marketplace_customer!AG$2</f>
        <v>0</v>
      </c>
      <c r="AI21" s="18">
        <f>Marketplace_customer!AH21/Marketplace_customer!AH$2</f>
        <v>0</v>
      </c>
      <c r="AJ21" s="18">
        <f>Marketplace_customer!AI21/Marketplace_customer!AI$2</f>
        <v>0</v>
      </c>
      <c r="AK21" s="18">
        <f>Marketplace_customer!AJ21/Marketplace_customer!AJ$2</f>
        <v>0</v>
      </c>
      <c r="AL21" s="18">
        <f>Marketplace_customer!AK21/Marketplace_customer!AK$2</f>
        <v>0</v>
      </c>
      <c r="AM21" s="18">
        <f>Marketplace_customer!AL21/Marketplace_customer!AL$2</f>
        <v>0</v>
      </c>
      <c r="AN21" s="18">
        <f>Marketplace_customer!AM21/Marketplace_customer!AM$2</f>
        <v>0</v>
      </c>
      <c r="AO21" s="18">
        <f>Marketplace_customer!AN21/Marketplace_customer!AN$2</f>
        <v>0</v>
      </c>
      <c r="AP21" s="18">
        <f>Marketplace_customer!AO21/Marketplace_customer!AO$2</f>
        <v>0</v>
      </c>
      <c r="AQ21" s="18">
        <f>Marketplace_customer!AP21/Marketplace_customer!AP$2</f>
        <v>0</v>
      </c>
      <c r="AR21" s="18">
        <f>Marketplace_customer!AQ21/Marketplace_customer!AQ$2</f>
        <v>0</v>
      </c>
      <c r="AS21" s="18">
        <f>Marketplace_customer!AR21/Marketplace_customer!AR$2</f>
        <v>0</v>
      </c>
      <c r="AT21" s="18">
        <f>Marketplace_customer!AS21/Marketplace_customer!AS$2</f>
        <v>0</v>
      </c>
      <c r="AU21" s="18">
        <f>Marketplace_customer!AT21/Marketplace_customer!AT$2</f>
        <v>0</v>
      </c>
      <c r="AV21" s="18">
        <f>Marketplace_customer!AU21/Marketplace_customer!AU$2</f>
        <v>0</v>
      </c>
      <c r="AW21" s="18">
        <f>Marketplace_customer!AV21/Marketplace_customer!AV$2</f>
        <v>0</v>
      </c>
      <c r="AX21" s="18">
        <f>Marketplace_customer!AW21/Marketplace_customer!AW$2</f>
        <v>0</v>
      </c>
      <c r="AY21" s="18">
        <f>Marketplace_customer!AX21/Marketplace_customer!AX$2</f>
        <v>0</v>
      </c>
      <c r="AZ21" s="18">
        <f>Marketplace_customer!AY21/Marketplace_customer!AY$2</f>
        <v>0</v>
      </c>
      <c r="BA21" s="18">
        <f>Marketplace_customer!AZ21/Marketplace_customer!AZ$2</f>
        <v>0</v>
      </c>
      <c r="BB21" s="18">
        <f>Marketplace_customer!BA21/Marketplace_customer!BA$2</f>
        <v>0</v>
      </c>
      <c r="BC21" s="18">
        <f>Marketplace_customer!BB21/Marketplace_customer!BB$2</f>
        <v>0</v>
      </c>
      <c r="BD21" s="18">
        <f>Marketplace_customer!BC21/Marketplace_customer!BC$2</f>
        <v>0</v>
      </c>
      <c r="BE21" s="18">
        <f>Marketplace_customer!BD21/Marketplace_customer!BD$2</f>
        <v>0</v>
      </c>
      <c r="BF21" s="18">
        <f>Marketplace_customer!BE21/Marketplace_customer!BE$2</f>
        <v>0</v>
      </c>
      <c r="BG21" s="18">
        <f>Marketplace_customer!BF21/Marketplace_customer!BF$2</f>
        <v>0</v>
      </c>
      <c r="BH21" s="18">
        <f>Marketplace_customer!BG21/Marketplace_customer!BG$2</f>
        <v>0</v>
      </c>
      <c r="BI21" s="18">
        <f>Marketplace_customer!BH21/Marketplace_customer!BH$2</f>
        <v>0</v>
      </c>
      <c r="BJ21" s="18">
        <f>Marketplace_customer!BI21/Marketplace_customer!BI$2</f>
        <v>0</v>
      </c>
      <c r="BK21" s="18">
        <f>Marketplace_customer!BJ21/Marketplace_customer!BJ$2</f>
        <v>0</v>
      </c>
      <c r="BL21" s="18">
        <f>Marketplace_customer!BK21/Marketplace_customer!BK$2</f>
        <v>0</v>
      </c>
      <c r="BM21" s="18">
        <f>Marketplace_customer!BL21/Marketplace_customer!BL$2</f>
        <v>0</v>
      </c>
      <c r="BN21" s="18">
        <f>Marketplace_customer!BM21/Marketplace_customer!BM$2</f>
        <v>0</v>
      </c>
      <c r="BO21" s="18">
        <f>Marketplace_customer!BN21/Marketplace_customer!BN$2</f>
        <v>0</v>
      </c>
      <c r="BP21" s="18">
        <f>Marketplace_customer!BO21/Marketplace_customer!BO$2</f>
        <v>0</v>
      </c>
      <c r="BQ21" s="18">
        <f>Marketplace_customer!BP21/Marketplace_customer!BP$2</f>
        <v>0</v>
      </c>
      <c r="BR21" s="18">
        <f>Marketplace_customer!BQ21/Marketplace_customer!BQ$2</f>
        <v>0</v>
      </c>
      <c r="BS21" s="18">
        <f>Marketplace_customer!BR21/Marketplace_customer!BR$2</f>
        <v>0</v>
      </c>
      <c r="BT21" s="18">
        <f>Marketplace_customer!BS21/Marketplace_customer!BS$2</f>
        <v>0</v>
      </c>
      <c r="BU21" s="18">
        <f>Marketplace_customer!BT21/Marketplace_customer!BT$2</f>
        <v>0</v>
      </c>
      <c r="BV21" s="18">
        <f>Marketplace_customer!BU21/Marketplace_customer!BU$2</f>
        <v>0</v>
      </c>
      <c r="BW21" s="19"/>
      <c r="BX21" s="20">
        <f t="shared" ca="1" si="7"/>
        <v>0</v>
      </c>
      <c r="BY21" s="20">
        <f t="shared" ca="1" si="8"/>
        <v>0</v>
      </c>
      <c r="BZ21" s="20">
        <f t="shared" ca="1" si="9"/>
        <v>0</v>
      </c>
      <c r="CA21" s="20">
        <f t="shared" ca="1" si="10"/>
        <v>0</v>
      </c>
      <c r="CB21" s="20">
        <f t="shared" ca="1" si="11"/>
        <v>0</v>
      </c>
      <c r="CC21" s="20">
        <f t="shared" ca="1" si="12"/>
        <v>0</v>
      </c>
      <c r="CD21" s="20">
        <f t="shared" ca="1" si="13"/>
        <v>0</v>
      </c>
      <c r="CE21" s="20">
        <f t="shared" ca="1" si="14"/>
        <v>0</v>
      </c>
      <c r="CF21" s="20">
        <f t="shared" ca="1" si="15"/>
        <v>0</v>
      </c>
      <c r="CG21" s="20">
        <f t="shared" ca="1" si="16"/>
        <v>0</v>
      </c>
      <c r="CH21" s="20">
        <f t="shared" ca="1" si="17"/>
        <v>0</v>
      </c>
      <c r="CI21" s="20">
        <f t="shared" ca="1" si="18"/>
        <v>0</v>
      </c>
      <c r="CJ21" s="20">
        <f t="shared" ca="1" si="19"/>
        <v>20218672.522022512</v>
      </c>
      <c r="CK21" s="20">
        <f t="shared" ca="1" si="20"/>
        <v>0</v>
      </c>
      <c r="CL21" s="20">
        <f t="shared" ca="1" si="21"/>
        <v>0</v>
      </c>
      <c r="CM21" s="20">
        <f t="shared" ca="1" si="22"/>
        <v>0</v>
      </c>
      <c r="CN21" s="20">
        <f t="shared" ca="1" si="23"/>
        <v>0</v>
      </c>
      <c r="CO21" s="20">
        <f t="shared" ca="1" si="24"/>
        <v>0</v>
      </c>
      <c r="CP21" s="20">
        <f t="shared" ca="1" si="25"/>
        <v>0</v>
      </c>
      <c r="CQ21" s="20">
        <f t="shared" ca="1" si="26"/>
        <v>0</v>
      </c>
      <c r="CR21" s="20">
        <f t="shared" ca="1" si="27"/>
        <v>0</v>
      </c>
      <c r="CS21" s="20">
        <f t="shared" ca="1" si="28"/>
        <v>0</v>
      </c>
      <c r="CT21" s="20">
        <f t="shared" ca="1" si="29"/>
        <v>0</v>
      </c>
      <c r="CU21" s="20">
        <f t="shared" ca="1" si="30"/>
        <v>0</v>
      </c>
      <c r="CV21" s="20">
        <f t="shared" ca="1" si="31"/>
        <v>0</v>
      </c>
      <c r="CW21" s="20">
        <f t="shared" ca="1" si="32"/>
        <v>0</v>
      </c>
      <c r="CX21" s="20">
        <f t="shared" ca="1" si="33"/>
        <v>0</v>
      </c>
      <c r="CY21" s="20">
        <f t="shared" ca="1" si="34"/>
        <v>0</v>
      </c>
      <c r="CZ21" s="20">
        <f t="shared" ca="1" si="35"/>
        <v>0</v>
      </c>
      <c r="DA21" s="20">
        <f t="shared" ca="1" si="36"/>
        <v>0</v>
      </c>
      <c r="DB21" s="20">
        <f t="shared" ca="1" si="37"/>
        <v>0</v>
      </c>
      <c r="DC21" s="20">
        <f t="shared" ca="1" si="38"/>
        <v>0</v>
      </c>
      <c r="DD21" s="20">
        <f t="shared" ca="1" si="39"/>
        <v>0</v>
      </c>
      <c r="DE21" s="20">
        <f t="shared" ca="1" si="40"/>
        <v>0</v>
      </c>
      <c r="DF21" s="20">
        <f t="shared" ca="1" si="41"/>
        <v>0</v>
      </c>
      <c r="DG21" s="20">
        <f t="shared" ca="1" si="42"/>
        <v>0</v>
      </c>
      <c r="DH21" s="20">
        <f t="shared" ca="1" si="43"/>
        <v>0</v>
      </c>
      <c r="DI21" s="20">
        <f t="shared" ca="1" si="44"/>
        <v>0</v>
      </c>
      <c r="DJ21" s="20">
        <f t="shared" ca="1" si="45"/>
        <v>0</v>
      </c>
      <c r="DK21" s="20">
        <f t="shared" ca="1" si="46"/>
        <v>0</v>
      </c>
      <c r="DL21" s="20">
        <f t="shared" ca="1" si="47"/>
        <v>0</v>
      </c>
      <c r="DM21" s="20">
        <f t="shared" ca="1" si="48"/>
        <v>0</v>
      </c>
      <c r="DN21" s="20">
        <f t="shared" ca="1" si="49"/>
        <v>0</v>
      </c>
      <c r="DO21" s="20">
        <f t="shared" ca="1" si="50"/>
        <v>0</v>
      </c>
      <c r="DP21" s="20">
        <f t="shared" ca="1" si="51"/>
        <v>0</v>
      </c>
      <c r="DQ21" s="20">
        <f t="shared" ca="1" si="52"/>
        <v>0</v>
      </c>
      <c r="DR21" s="20">
        <f t="shared" ca="1" si="53"/>
        <v>0</v>
      </c>
      <c r="DS21" s="20">
        <f t="shared" ca="1" si="54"/>
        <v>0</v>
      </c>
      <c r="DT21" s="20">
        <f t="shared" ca="1" si="55"/>
        <v>0</v>
      </c>
      <c r="DU21" s="20">
        <f t="shared" ca="1" si="56"/>
        <v>0</v>
      </c>
      <c r="DV21" s="20">
        <f t="shared" ca="1" si="57"/>
        <v>0</v>
      </c>
      <c r="DW21" s="20">
        <f t="shared" ca="1" si="58"/>
        <v>0</v>
      </c>
      <c r="DX21" s="20">
        <f t="shared" ca="1" si="59"/>
        <v>0</v>
      </c>
      <c r="DY21" s="20">
        <f t="shared" ca="1" si="60"/>
        <v>0</v>
      </c>
      <c r="DZ21" s="20">
        <f t="shared" ca="1" si="61"/>
        <v>0</v>
      </c>
      <c r="EA21" s="20">
        <f t="shared" ca="1" si="62"/>
        <v>0</v>
      </c>
      <c r="EB21" s="20">
        <f t="shared" ca="1" si="63"/>
        <v>0</v>
      </c>
      <c r="EC21" s="20">
        <f t="shared" ca="1" si="64"/>
        <v>0</v>
      </c>
      <c r="ED21" s="20">
        <f t="shared" ca="1" si="65"/>
        <v>0</v>
      </c>
      <c r="EE21" s="20">
        <f t="shared" ca="1" si="66"/>
        <v>0</v>
      </c>
      <c r="EF21" s="20">
        <f t="shared" ca="1" si="67"/>
        <v>0</v>
      </c>
      <c r="EG21" s="20">
        <f t="shared" ca="1" si="68"/>
        <v>0</v>
      </c>
      <c r="EH21" s="20">
        <f t="shared" ca="1" si="69"/>
        <v>0</v>
      </c>
      <c r="EI21" s="20">
        <f t="shared" ca="1" si="70"/>
        <v>0</v>
      </c>
      <c r="EJ21" s="20">
        <f t="shared" ca="1" si="71"/>
        <v>0</v>
      </c>
      <c r="EK21" s="20">
        <f t="shared" ca="1" si="72"/>
        <v>0</v>
      </c>
      <c r="EL21" s="20">
        <f t="shared" ca="1" si="73"/>
        <v>0</v>
      </c>
      <c r="EM21" s="20">
        <f t="shared" ca="1" si="74"/>
        <v>0</v>
      </c>
      <c r="EN21" s="20">
        <f t="shared" ca="1" si="75"/>
        <v>0</v>
      </c>
      <c r="EO21" s="20">
        <f t="shared" ca="1" si="76"/>
        <v>0</v>
      </c>
      <c r="EP21" s="20">
        <f t="shared" ca="1" si="77"/>
        <v>0</v>
      </c>
      <c r="EQ21" s="17" t="s">
        <v>103</v>
      </c>
      <c r="ER21" s="19">
        <v>1746843209720.3601</v>
      </c>
      <c r="ES21" s="20">
        <f t="shared" si="6"/>
        <v>28.188831394753112</v>
      </c>
    </row>
    <row r="22" spans="1:149" ht="15">
      <c r="A22" s="21" t="s">
        <v>177</v>
      </c>
      <c r="B22" s="14">
        <f ca="1">IFERROR(__xludf.dummyfunction("QUERY('Countries markets attractivenes'!A:C, ""SELECT C WHERE A = '""&amp;A22&amp;""'"",0)"),22.3833455194703)</f>
        <v>22.3833455194703</v>
      </c>
      <c r="C22" s="14">
        <f t="shared" ca="1" si="78"/>
        <v>5259729936.3058271</v>
      </c>
      <c r="D22" s="18">
        <f>Marketplace_customer!C22/Marketplace_customer!C$2</f>
        <v>0</v>
      </c>
      <c r="E22" s="18">
        <f>Marketplace_customer!D22/Marketplace_customer!D$2</f>
        <v>0</v>
      </c>
      <c r="F22" s="18">
        <f>Marketplace_customer!E22/Marketplace_customer!E$2</f>
        <v>0</v>
      </c>
      <c r="G22" s="18">
        <f>Marketplace_customer!F22/Marketplace_customer!F$2</f>
        <v>0</v>
      </c>
      <c r="H22" s="18">
        <f>Marketplace_customer!G22/Marketplace_customer!G$2</f>
        <v>0</v>
      </c>
      <c r="I22" s="18">
        <f>Marketplace_customer!H22/Marketplace_customer!H$2</f>
        <v>0</v>
      </c>
      <c r="J22" s="18">
        <f>Marketplace_customer!I22/Marketplace_customer!I$2</f>
        <v>0</v>
      </c>
      <c r="K22" s="18">
        <f>Marketplace_customer!J22/Marketplace_customer!J$2</f>
        <v>0</v>
      </c>
      <c r="L22" s="18">
        <f>Marketplace_customer!K22/Marketplace_customer!K$2</f>
        <v>0</v>
      </c>
      <c r="M22" s="18">
        <f>Marketplace_customer!L22/Marketplace_customer!L$2</f>
        <v>0</v>
      </c>
      <c r="N22" s="18">
        <f>Marketplace_customer!M22/Marketplace_customer!M$2</f>
        <v>0</v>
      </c>
      <c r="O22" s="18">
        <f>Marketplace_customer!N22/Marketplace_customer!N$2</f>
        <v>0</v>
      </c>
      <c r="P22" s="18">
        <f>Marketplace_customer!O22/Marketplace_customer!O$2</f>
        <v>1.0638297872340426E-5</v>
      </c>
      <c r="Q22" s="18">
        <f>Marketplace_customer!P22/Marketplace_customer!P$2</f>
        <v>0</v>
      </c>
      <c r="R22" s="18">
        <f>Marketplace_customer!Q22/Marketplace_customer!Q$2</f>
        <v>0</v>
      </c>
      <c r="S22" s="18">
        <f>Marketplace_customer!R22/Marketplace_customer!R$2</f>
        <v>0</v>
      </c>
      <c r="T22" s="18">
        <f>Marketplace_customer!S22/Marketplace_customer!S$2</f>
        <v>0</v>
      </c>
      <c r="U22" s="18">
        <f>Marketplace_customer!T22/Marketplace_customer!T$2</f>
        <v>0</v>
      </c>
      <c r="V22" s="18">
        <f>Marketplace_customer!U22/Marketplace_customer!U$2</f>
        <v>0</v>
      </c>
      <c r="W22" s="18">
        <f>Marketplace_customer!V22/Marketplace_customer!V$2</f>
        <v>0</v>
      </c>
      <c r="X22" s="18">
        <f>Marketplace_customer!W22/Marketplace_customer!W$2</f>
        <v>0</v>
      </c>
      <c r="Y22" s="18">
        <f>Marketplace_customer!X22/Marketplace_customer!X$2</f>
        <v>0</v>
      </c>
      <c r="Z22" s="18">
        <f>Marketplace_customer!Y22/Marketplace_customer!Y$2</f>
        <v>0</v>
      </c>
      <c r="AA22" s="18">
        <f>Marketplace_customer!Z22/Marketplace_customer!Z$2</f>
        <v>0</v>
      </c>
      <c r="AB22" s="18">
        <f>Marketplace_customer!AA22/Marketplace_customer!AA$2</f>
        <v>0</v>
      </c>
      <c r="AC22" s="18">
        <f>Marketplace_customer!AB22/Marketplace_customer!AB$2</f>
        <v>0</v>
      </c>
      <c r="AD22" s="18">
        <f>Marketplace_customer!AC22/Marketplace_customer!AC$2</f>
        <v>0</v>
      </c>
      <c r="AE22" s="18">
        <f>Marketplace_customer!AD22/Marketplace_customer!AD$2</f>
        <v>0</v>
      </c>
      <c r="AF22" s="18">
        <f>Marketplace_customer!AE22/Marketplace_customer!AE$2</f>
        <v>0</v>
      </c>
      <c r="AG22" s="18">
        <f>Marketplace_customer!AF22/Marketplace_customer!AF$2</f>
        <v>0</v>
      </c>
      <c r="AH22" s="18">
        <f>Marketplace_customer!AG22/Marketplace_customer!AG$2</f>
        <v>0</v>
      </c>
      <c r="AI22" s="18">
        <f>Marketplace_customer!AH22/Marketplace_customer!AH$2</f>
        <v>0</v>
      </c>
      <c r="AJ22" s="18">
        <f>Marketplace_customer!AI22/Marketplace_customer!AI$2</f>
        <v>0</v>
      </c>
      <c r="AK22" s="18">
        <f>Marketplace_customer!AJ22/Marketplace_customer!AJ$2</f>
        <v>0</v>
      </c>
      <c r="AL22" s="18">
        <f>Marketplace_customer!AK22/Marketplace_customer!AK$2</f>
        <v>0</v>
      </c>
      <c r="AM22" s="18">
        <f>Marketplace_customer!AL22/Marketplace_customer!AL$2</f>
        <v>0</v>
      </c>
      <c r="AN22" s="18">
        <f>Marketplace_customer!AM22/Marketplace_customer!AM$2</f>
        <v>0</v>
      </c>
      <c r="AO22" s="18">
        <f>Marketplace_customer!AN22/Marketplace_customer!AN$2</f>
        <v>0</v>
      </c>
      <c r="AP22" s="18">
        <f>Marketplace_customer!AO22/Marketplace_customer!AO$2</f>
        <v>0</v>
      </c>
      <c r="AQ22" s="18">
        <f>Marketplace_customer!AP22/Marketplace_customer!AP$2</f>
        <v>0</v>
      </c>
      <c r="AR22" s="18">
        <f>Marketplace_customer!AQ22/Marketplace_customer!AQ$2</f>
        <v>0</v>
      </c>
      <c r="AS22" s="18">
        <f>Marketplace_customer!AR22/Marketplace_customer!AR$2</f>
        <v>0</v>
      </c>
      <c r="AT22" s="18">
        <f>Marketplace_customer!AS22/Marketplace_customer!AS$2</f>
        <v>0</v>
      </c>
      <c r="AU22" s="18">
        <f>Marketplace_customer!AT22/Marketplace_customer!AT$2</f>
        <v>0</v>
      </c>
      <c r="AV22" s="18">
        <f>Marketplace_customer!AU22/Marketplace_customer!AU$2</f>
        <v>0</v>
      </c>
      <c r="AW22" s="18">
        <f>Marketplace_customer!AV22/Marketplace_customer!AV$2</f>
        <v>0</v>
      </c>
      <c r="AX22" s="18">
        <f>Marketplace_customer!AW22/Marketplace_customer!AW$2</f>
        <v>0</v>
      </c>
      <c r="AY22" s="18">
        <f>Marketplace_customer!AX22/Marketplace_customer!AX$2</f>
        <v>0</v>
      </c>
      <c r="AZ22" s="18">
        <f>Marketplace_customer!AY22/Marketplace_customer!AY$2</f>
        <v>0</v>
      </c>
      <c r="BA22" s="18">
        <f>Marketplace_customer!AZ22/Marketplace_customer!AZ$2</f>
        <v>0</v>
      </c>
      <c r="BB22" s="18">
        <f>Marketplace_customer!BA22/Marketplace_customer!BA$2</f>
        <v>0</v>
      </c>
      <c r="BC22" s="18">
        <f>Marketplace_customer!BB22/Marketplace_customer!BB$2</f>
        <v>0</v>
      </c>
      <c r="BD22" s="18">
        <f>Marketplace_customer!BC22/Marketplace_customer!BC$2</f>
        <v>0</v>
      </c>
      <c r="BE22" s="18">
        <f>Marketplace_customer!BD22/Marketplace_customer!BD$2</f>
        <v>0</v>
      </c>
      <c r="BF22" s="18">
        <f>Marketplace_customer!BE22/Marketplace_customer!BE$2</f>
        <v>0</v>
      </c>
      <c r="BG22" s="18">
        <f>Marketplace_customer!BF22/Marketplace_customer!BF$2</f>
        <v>0</v>
      </c>
      <c r="BH22" s="18">
        <f>Marketplace_customer!BG22/Marketplace_customer!BG$2</f>
        <v>0</v>
      </c>
      <c r="BI22" s="18">
        <f>Marketplace_customer!BH22/Marketplace_customer!BH$2</f>
        <v>0</v>
      </c>
      <c r="BJ22" s="18">
        <f>Marketplace_customer!BI22/Marketplace_customer!BI$2</f>
        <v>0</v>
      </c>
      <c r="BK22" s="18">
        <f>Marketplace_customer!BJ22/Marketplace_customer!BJ$2</f>
        <v>0</v>
      </c>
      <c r="BL22" s="18">
        <f>Marketplace_customer!BK22/Marketplace_customer!BK$2</f>
        <v>0</v>
      </c>
      <c r="BM22" s="18">
        <f>Marketplace_customer!BL22/Marketplace_customer!BL$2</f>
        <v>0</v>
      </c>
      <c r="BN22" s="18">
        <f>Marketplace_customer!BM22/Marketplace_customer!BM$2</f>
        <v>0</v>
      </c>
      <c r="BO22" s="18">
        <f>Marketplace_customer!BN22/Marketplace_customer!BN$2</f>
        <v>0</v>
      </c>
      <c r="BP22" s="18">
        <f>Marketplace_customer!BO22/Marketplace_customer!BO$2</f>
        <v>0</v>
      </c>
      <c r="BQ22" s="18">
        <f>Marketplace_customer!BP22/Marketplace_customer!BP$2</f>
        <v>0</v>
      </c>
      <c r="BR22" s="18">
        <f>Marketplace_customer!BQ22/Marketplace_customer!BQ$2</f>
        <v>0</v>
      </c>
      <c r="BS22" s="18">
        <f>Marketplace_customer!BR22/Marketplace_customer!BR$2</f>
        <v>0</v>
      </c>
      <c r="BT22" s="18">
        <f>Marketplace_customer!BS22/Marketplace_customer!BS$2</f>
        <v>0</v>
      </c>
      <c r="BU22" s="18">
        <f>Marketplace_customer!BT22/Marketplace_customer!BT$2</f>
        <v>0</v>
      </c>
      <c r="BV22" s="18">
        <f>Marketplace_customer!BU22/Marketplace_customer!BU$2</f>
        <v>0</v>
      </c>
      <c r="BW22" s="19"/>
      <c r="BX22" s="20">
        <f t="shared" ca="1" si="7"/>
        <v>0</v>
      </c>
      <c r="BY22" s="20">
        <f t="shared" ca="1" si="8"/>
        <v>0</v>
      </c>
      <c r="BZ22" s="20">
        <f t="shared" ca="1" si="9"/>
        <v>0</v>
      </c>
      <c r="CA22" s="20">
        <f t="shared" ca="1" si="10"/>
        <v>0</v>
      </c>
      <c r="CB22" s="20">
        <f t="shared" ca="1" si="11"/>
        <v>0</v>
      </c>
      <c r="CC22" s="20">
        <f t="shared" ca="1" si="12"/>
        <v>0</v>
      </c>
      <c r="CD22" s="20">
        <f t="shared" ca="1" si="13"/>
        <v>0</v>
      </c>
      <c r="CE22" s="20">
        <f t="shared" ca="1" si="14"/>
        <v>0</v>
      </c>
      <c r="CF22" s="20">
        <f t="shared" ca="1" si="15"/>
        <v>0</v>
      </c>
      <c r="CG22" s="20">
        <f t="shared" ca="1" si="16"/>
        <v>0</v>
      </c>
      <c r="CH22" s="20">
        <f t="shared" ca="1" si="17"/>
        <v>0</v>
      </c>
      <c r="CI22" s="20">
        <f t="shared" ca="1" si="18"/>
        <v>0</v>
      </c>
      <c r="CJ22" s="20">
        <f t="shared" ca="1" si="19"/>
        <v>55954.573790487528</v>
      </c>
      <c r="CK22" s="20">
        <f t="shared" ca="1" si="20"/>
        <v>0</v>
      </c>
      <c r="CL22" s="20">
        <f t="shared" ca="1" si="21"/>
        <v>0</v>
      </c>
      <c r="CM22" s="20">
        <f t="shared" ca="1" si="22"/>
        <v>0</v>
      </c>
      <c r="CN22" s="20">
        <f t="shared" ca="1" si="23"/>
        <v>0</v>
      </c>
      <c r="CO22" s="20">
        <f t="shared" ca="1" si="24"/>
        <v>0</v>
      </c>
      <c r="CP22" s="20">
        <f t="shared" ca="1" si="25"/>
        <v>0</v>
      </c>
      <c r="CQ22" s="20">
        <f t="shared" ca="1" si="26"/>
        <v>0</v>
      </c>
      <c r="CR22" s="20">
        <f t="shared" ca="1" si="27"/>
        <v>0</v>
      </c>
      <c r="CS22" s="20">
        <f t="shared" ca="1" si="28"/>
        <v>0</v>
      </c>
      <c r="CT22" s="20">
        <f t="shared" ca="1" si="29"/>
        <v>0</v>
      </c>
      <c r="CU22" s="20">
        <f t="shared" ca="1" si="30"/>
        <v>0</v>
      </c>
      <c r="CV22" s="20">
        <f t="shared" ca="1" si="31"/>
        <v>0</v>
      </c>
      <c r="CW22" s="20">
        <f t="shared" ca="1" si="32"/>
        <v>0</v>
      </c>
      <c r="CX22" s="20">
        <f t="shared" ca="1" si="33"/>
        <v>0</v>
      </c>
      <c r="CY22" s="20">
        <f t="shared" ca="1" si="34"/>
        <v>0</v>
      </c>
      <c r="CZ22" s="20">
        <f t="shared" ca="1" si="35"/>
        <v>0</v>
      </c>
      <c r="DA22" s="20">
        <f t="shared" ca="1" si="36"/>
        <v>0</v>
      </c>
      <c r="DB22" s="20">
        <f t="shared" ca="1" si="37"/>
        <v>0</v>
      </c>
      <c r="DC22" s="20">
        <f t="shared" ca="1" si="38"/>
        <v>0</v>
      </c>
      <c r="DD22" s="20">
        <f t="shared" ca="1" si="39"/>
        <v>0</v>
      </c>
      <c r="DE22" s="20">
        <f t="shared" ca="1" si="40"/>
        <v>0</v>
      </c>
      <c r="DF22" s="20">
        <f t="shared" ca="1" si="41"/>
        <v>0</v>
      </c>
      <c r="DG22" s="20">
        <f t="shared" ca="1" si="42"/>
        <v>0</v>
      </c>
      <c r="DH22" s="20">
        <f t="shared" ca="1" si="43"/>
        <v>0</v>
      </c>
      <c r="DI22" s="20">
        <f t="shared" ca="1" si="44"/>
        <v>0</v>
      </c>
      <c r="DJ22" s="20">
        <f t="shared" ca="1" si="45"/>
        <v>0</v>
      </c>
      <c r="DK22" s="20">
        <f t="shared" ca="1" si="46"/>
        <v>0</v>
      </c>
      <c r="DL22" s="20">
        <f t="shared" ca="1" si="47"/>
        <v>0</v>
      </c>
      <c r="DM22" s="20">
        <f t="shared" ca="1" si="48"/>
        <v>0</v>
      </c>
      <c r="DN22" s="20">
        <f t="shared" ca="1" si="49"/>
        <v>0</v>
      </c>
      <c r="DO22" s="20">
        <f t="shared" ca="1" si="50"/>
        <v>0</v>
      </c>
      <c r="DP22" s="20">
        <f t="shared" ca="1" si="51"/>
        <v>0</v>
      </c>
      <c r="DQ22" s="20">
        <f t="shared" ca="1" si="52"/>
        <v>0</v>
      </c>
      <c r="DR22" s="20">
        <f t="shared" ca="1" si="53"/>
        <v>0</v>
      </c>
      <c r="DS22" s="20">
        <f t="shared" ca="1" si="54"/>
        <v>0</v>
      </c>
      <c r="DT22" s="20">
        <f t="shared" ca="1" si="55"/>
        <v>0</v>
      </c>
      <c r="DU22" s="20">
        <f t="shared" ca="1" si="56"/>
        <v>0</v>
      </c>
      <c r="DV22" s="20">
        <f t="shared" ca="1" si="57"/>
        <v>0</v>
      </c>
      <c r="DW22" s="20">
        <f t="shared" ca="1" si="58"/>
        <v>0</v>
      </c>
      <c r="DX22" s="20">
        <f t="shared" ca="1" si="59"/>
        <v>0</v>
      </c>
      <c r="DY22" s="20">
        <f t="shared" ca="1" si="60"/>
        <v>0</v>
      </c>
      <c r="DZ22" s="20">
        <f t="shared" ca="1" si="61"/>
        <v>0</v>
      </c>
      <c r="EA22" s="20">
        <f t="shared" ca="1" si="62"/>
        <v>0</v>
      </c>
      <c r="EB22" s="20">
        <f t="shared" ca="1" si="63"/>
        <v>0</v>
      </c>
      <c r="EC22" s="20">
        <f t="shared" ca="1" si="64"/>
        <v>0</v>
      </c>
      <c r="ED22" s="20">
        <f t="shared" ca="1" si="65"/>
        <v>0</v>
      </c>
      <c r="EE22" s="20">
        <f t="shared" ca="1" si="66"/>
        <v>0</v>
      </c>
      <c r="EF22" s="20">
        <f t="shared" ca="1" si="67"/>
        <v>0</v>
      </c>
      <c r="EG22" s="20">
        <f t="shared" ca="1" si="68"/>
        <v>0</v>
      </c>
      <c r="EH22" s="20">
        <f t="shared" ca="1" si="69"/>
        <v>0</v>
      </c>
      <c r="EI22" s="20">
        <f t="shared" ca="1" si="70"/>
        <v>0</v>
      </c>
      <c r="EJ22" s="20">
        <f t="shared" ca="1" si="71"/>
        <v>0</v>
      </c>
      <c r="EK22" s="20">
        <f t="shared" ca="1" si="72"/>
        <v>0</v>
      </c>
      <c r="EL22" s="20">
        <f t="shared" ca="1" si="73"/>
        <v>0</v>
      </c>
      <c r="EM22" s="20">
        <f t="shared" ca="1" si="74"/>
        <v>0</v>
      </c>
      <c r="EN22" s="20">
        <f t="shared" ca="1" si="75"/>
        <v>0</v>
      </c>
      <c r="EO22" s="20">
        <f t="shared" ca="1" si="76"/>
        <v>0</v>
      </c>
      <c r="EP22" s="20">
        <f t="shared" ca="1" si="77"/>
        <v>0</v>
      </c>
      <c r="EQ22" s="17" t="s">
        <v>104</v>
      </c>
      <c r="ER22" s="19">
        <v>1472341043901.6499</v>
      </c>
      <c r="ES22" s="20">
        <f t="shared" si="6"/>
        <v>28.017874796833031</v>
      </c>
    </row>
    <row r="23" spans="1:149" ht="15">
      <c r="A23" s="21" t="s">
        <v>178</v>
      </c>
      <c r="B23" s="14">
        <f ca="1">IFERROR(__xludf.dummyfunction("QUERY('Countries markets attractivenes'!A:C, ""SELECT C WHERE A = '""&amp;A23&amp;""'"",0)"),26.5697046120041)</f>
        <v>26.569704612004099</v>
      </c>
      <c r="C23" s="14">
        <f t="shared" ca="1" si="78"/>
        <v>345999999999.9873</v>
      </c>
      <c r="D23" s="18">
        <f>Marketplace_customer!C23/Marketplace_customer!C$2</f>
        <v>0</v>
      </c>
      <c r="E23" s="18">
        <f>Marketplace_customer!D23/Marketplace_customer!D$2</f>
        <v>0</v>
      </c>
      <c r="F23" s="18">
        <f>Marketplace_customer!E23/Marketplace_customer!E$2</f>
        <v>0</v>
      </c>
      <c r="G23" s="18">
        <f>Marketplace_customer!F23/Marketplace_customer!F$2</f>
        <v>0</v>
      </c>
      <c r="H23" s="18">
        <f>Marketplace_customer!G23/Marketplace_customer!G$2</f>
        <v>0</v>
      </c>
      <c r="I23" s="18">
        <f>Marketplace_customer!H23/Marketplace_customer!H$2</f>
        <v>0</v>
      </c>
      <c r="J23" s="18">
        <f>Marketplace_customer!I23/Marketplace_customer!I$2</f>
        <v>0</v>
      </c>
      <c r="K23" s="18">
        <f>Marketplace_customer!J23/Marketplace_customer!J$2</f>
        <v>0</v>
      </c>
      <c r="L23" s="18">
        <f>Marketplace_customer!K23/Marketplace_customer!K$2</f>
        <v>0</v>
      </c>
      <c r="M23" s="18">
        <f>Marketplace_customer!L23/Marketplace_customer!L$2</f>
        <v>0</v>
      </c>
      <c r="N23" s="18">
        <f>Marketplace_customer!M23/Marketplace_customer!M$2</f>
        <v>0</v>
      </c>
      <c r="O23" s="18">
        <f>Marketplace_customer!N23/Marketplace_customer!N$2</f>
        <v>0</v>
      </c>
      <c r="P23" s="18">
        <f>Marketplace_customer!O23/Marketplace_customer!O$2</f>
        <v>1.4893617021276594E-3</v>
      </c>
      <c r="Q23" s="18">
        <f>Marketplace_customer!P23/Marketplace_customer!P$2</f>
        <v>0</v>
      </c>
      <c r="R23" s="18">
        <f>Marketplace_customer!Q23/Marketplace_customer!Q$2</f>
        <v>0</v>
      </c>
      <c r="S23" s="18">
        <f>Marketplace_customer!R23/Marketplace_customer!R$2</f>
        <v>0</v>
      </c>
      <c r="T23" s="18">
        <f>Marketplace_customer!S23/Marketplace_customer!S$2</f>
        <v>0</v>
      </c>
      <c r="U23" s="18">
        <f>Marketplace_customer!T23/Marketplace_customer!T$2</f>
        <v>0</v>
      </c>
      <c r="V23" s="18">
        <f>Marketplace_customer!U23/Marketplace_customer!U$2</f>
        <v>0</v>
      </c>
      <c r="W23" s="18">
        <f>Marketplace_customer!V23/Marketplace_customer!V$2</f>
        <v>0</v>
      </c>
      <c r="X23" s="18">
        <f>Marketplace_customer!W23/Marketplace_customer!W$2</f>
        <v>0</v>
      </c>
      <c r="Y23" s="18">
        <f>Marketplace_customer!X23/Marketplace_customer!X$2</f>
        <v>0</v>
      </c>
      <c r="Z23" s="18">
        <f>Marketplace_customer!Y23/Marketplace_customer!Y$2</f>
        <v>0</v>
      </c>
      <c r="AA23" s="18">
        <f>Marketplace_customer!Z23/Marketplace_customer!Z$2</f>
        <v>0</v>
      </c>
      <c r="AB23" s="18">
        <f>Marketplace_customer!AA23/Marketplace_customer!AA$2</f>
        <v>0</v>
      </c>
      <c r="AC23" s="18">
        <f>Marketplace_customer!AB23/Marketplace_customer!AB$2</f>
        <v>0</v>
      </c>
      <c r="AD23" s="18">
        <f>Marketplace_customer!AC23/Marketplace_customer!AC$2</f>
        <v>0</v>
      </c>
      <c r="AE23" s="18">
        <f>Marketplace_customer!AD23/Marketplace_customer!AD$2</f>
        <v>0</v>
      </c>
      <c r="AF23" s="18">
        <f>Marketplace_customer!AE23/Marketplace_customer!AE$2</f>
        <v>0</v>
      </c>
      <c r="AG23" s="18">
        <f>Marketplace_customer!AF23/Marketplace_customer!AF$2</f>
        <v>0</v>
      </c>
      <c r="AH23" s="18">
        <f>Marketplace_customer!AG23/Marketplace_customer!AG$2</f>
        <v>0</v>
      </c>
      <c r="AI23" s="18">
        <f>Marketplace_customer!AH23/Marketplace_customer!AH$2</f>
        <v>0</v>
      </c>
      <c r="AJ23" s="18">
        <f>Marketplace_customer!AI23/Marketplace_customer!AI$2</f>
        <v>0</v>
      </c>
      <c r="AK23" s="18">
        <f>Marketplace_customer!AJ23/Marketplace_customer!AJ$2</f>
        <v>0</v>
      </c>
      <c r="AL23" s="18">
        <f>Marketplace_customer!AK23/Marketplace_customer!AK$2</f>
        <v>0</v>
      </c>
      <c r="AM23" s="18">
        <f>Marketplace_customer!AL23/Marketplace_customer!AL$2</f>
        <v>0</v>
      </c>
      <c r="AN23" s="18">
        <f>Marketplace_customer!AM23/Marketplace_customer!AM$2</f>
        <v>0</v>
      </c>
      <c r="AO23" s="18">
        <f>Marketplace_customer!AN23/Marketplace_customer!AN$2</f>
        <v>0</v>
      </c>
      <c r="AP23" s="18">
        <f>Marketplace_customer!AO23/Marketplace_customer!AO$2</f>
        <v>0</v>
      </c>
      <c r="AQ23" s="18">
        <f>Marketplace_customer!AP23/Marketplace_customer!AP$2</f>
        <v>0</v>
      </c>
      <c r="AR23" s="18">
        <f>Marketplace_customer!AQ23/Marketplace_customer!AQ$2</f>
        <v>0</v>
      </c>
      <c r="AS23" s="18">
        <f>Marketplace_customer!AR23/Marketplace_customer!AR$2</f>
        <v>0</v>
      </c>
      <c r="AT23" s="18">
        <f>Marketplace_customer!AS23/Marketplace_customer!AS$2</f>
        <v>0</v>
      </c>
      <c r="AU23" s="18">
        <f>Marketplace_customer!AT23/Marketplace_customer!AT$2</f>
        <v>0</v>
      </c>
      <c r="AV23" s="18">
        <f>Marketplace_customer!AU23/Marketplace_customer!AU$2</f>
        <v>0</v>
      </c>
      <c r="AW23" s="18">
        <f>Marketplace_customer!AV23/Marketplace_customer!AV$2</f>
        <v>0</v>
      </c>
      <c r="AX23" s="18">
        <f>Marketplace_customer!AW23/Marketplace_customer!AW$2</f>
        <v>0</v>
      </c>
      <c r="AY23" s="18">
        <f>Marketplace_customer!AX23/Marketplace_customer!AX$2</f>
        <v>0</v>
      </c>
      <c r="AZ23" s="18">
        <f>Marketplace_customer!AY23/Marketplace_customer!AY$2</f>
        <v>0</v>
      </c>
      <c r="BA23" s="18">
        <f>Marketplace_customer!AZ23/Marketplace_customer!AZ$2</f>
        <v>0</v>
      </c>
      <c r="BB23" s="18">
        <f>Marketplace_customer!BA23/Marketplace_customer!BA$2</f>
        <v>0</v>
      </c>
      <c r="BC23" s="18">
        <f>Marketplace_customer!BB23/Marketplace_customer!BB$2</f>
        <v>0</v>
      </c>
      <c r="BD23" s="18">
        <f>Marketplace_customer!BC23/Marketplace_customer!BC$2</f>
        <v>0</v>
      </c>
      <c r="BE23" s="18">
        <f>Marketplace_customer!BD23/Marketplace_customer!BD$2</f>
        <v>0</v>
      </c>
      <c r="BF23" s="18">
        <f>Marketplace_customer!BE23/Marketplace_customer!BE$2</f>
        <v>0</v>
      </c>
      <c r="BG23" s="18">
        <f>Marketplace_customer!BF23/Marketplace_customer!BF$2</f>
        <v>0</v>
      </c>
      <c r="BH23" s="18">
        <f>Marketplace_customer!BG23/Marketplace_customer!BG$2</f>
        <v>0.96296296296296291</v>
      </c>
      <c r="BI23" s="18">
        <f>Marketplace_customer!BH23/Marketplace_customer!BH$2</f>
        <v>0</v>
      </c>
      <c r="BJ23" s="18">
        <f>Marketplace_customer!BI23/Marketplace_customer!BI$2</f>
        <v>0</v>
      </c>
      <c r="BK23" s="18">
        <f>Marketplace_customer!BJ23/Marketplace_customer!BJ$2</f>
        <v>0</v>
      </c>
      <c r="BL23" s="18">
        <f>Marketplace_customer!BK23/Marketplace_customer!BK$2</f>
        <v>0</v>
      </c>
      <c r="BM23" s="18">
        <f>Marketplace_customer!BL23/Marketplace_customer!BL$2</f>
        <v>0.30508474576271183</v>
      </c>
      <c r="BN23" s="18">
        <f>Marketplace_customer!BM23/Marketplace_customer!BM$2</f>
        <v>0</v>
      </c>
      <c r="BO23" s="18">
        <f>Marketplace_customer!BN23/Marketplace_customer!BN$2</f>
        <v>0</v>
      </c>
      <c r="BP23" s="18">
        <f>Marketplace_customer!BO23/Marketplace_customer!BO$2</f>
        <v>0</v>
      </c>
      <c r="BQ23" s="18">
        <f>Marketplace_customer!BP23/Marketplace_customer!BP$2</f>
        <v>0</v>
      </c>
      <c r="BR23" s="18">
        <f>Marketplace_customer!BQ23/Marketplace_customer!BQ$2</f>
        <v>0</v>
      </c>
      <c r="BS23" s="18">
        <f>Marketplace_customer!BR23/Marketplace_customer!BR$2</f>
        <v>0</v>
      </c>
      <c r="BT23" s="18">
        <f>Marketplace_customer!BS23/Marketplace_customer!BS$2</f>
        <v>0</v>
      </c>
      <c r="BU23" s="18">
        <f>Marketplace_customer!BT23/Marketplace_customer!BT$2</f>
        <v>0</v>
      </c>
      <c r="BV23" s="18">
        <f>Marketplace_customer!BU23/Marketplace_customer!BU$2</f>
        <v>0</v>
      </c>
      <c r="BW23" s="19"/>
      <c r="BX23" s="20">
        <f t="shared" ca="1" si="7"/>
        <v>0</v>
      </c>
      <c r="BY23" s="20">
        <f t="shared" ca="1" si="8"/>
        <v>0</v>
      </c>
      <c r="BZ23" s="20">
        <f t="shared" ca="1" si="9"/>
        <v>0</v>
      </c>
      <c r="CA23" s="20">
        <f t="shared" ca="1" si="10"/>
        <v>0</v>
      </c>
      <c r="CB23" s="20">
        <f t="shared" ca="1" si="11"/>
        <v>0</v>
      </c>
      <c r="CC23" s="20">
        <f t="shared" ca="1" si="12"/>
        <v>0</v>
      </c>
      <c r="CD23" s="20">
        <f t="shared" ca="1" si="13"/>
        <v>0</v>
      </c>
      <c r="CE23" s="20">
        <f t="shared" ca="1" si="14"/>
        <v>0</v>
      </c>
      <c r="CF23" s="20">
        <f t="shared" ca="1" si="15"/>
        <v>0</v>
      </c>
      <c r="CG23" s="20">
        <f t="shared" ca="1" si="16"/>
        <v>0</v>
      </c>
      <c r="CH23" s="20">
        <f t="shared" ca="1" si="17"/>
        <v>0</v>
      </c>
      <c r="CI23" s="20">
        <f t="shared" ca="1" si="18"/>
        <v>0</v>
      </c>
      <c r="CJ23" s="20">
        <f t="shared" ca="1" si="19"/>
        <v>515319148.93615127</v>
      </c>
      <c r="CK23" s="20">
        <f t="shared" ca="1" si="20"/>
        <v>0</v>
      </c>
      <c r="CL23" s="20">
        <f t="shared" ca="1" si="21"/>
        <v>0</v>
      </c>
      <c r="CM23" s="20">
        <f t="shared" ca="1" si="22"/>
        <v>0</v>
      </c>
      <c r="CN23" s="20">
        <f t="shared" ca="1" si="23"/>
        <v>0</v>
      </c>
      <c r="CO23" s="20">
        <f t="shared" ca="1" si="24"/>
        <v>0</v>
      </c>
      <c r="CP23" s="20">
        <f t="shared" ca="1" si="25"/>
        <v>0</v>
      </c>
      <c r="CQ23" s="20">
        <f t="shared" ca="1" si="26"/>
        <v>0</v>
      </c>
      <c r="CR23" s="20">
        <f t="shared" ca="1" si="27"/>
        <v>0</v>
      </c>
      <c r="CS23" s="20">
        <f t="shared" ca="1" si="28"/>
        <v>0</v>
      </c>
      <c r="CT23" s="20">
        <f t="shared" ca="1" si="29"/>
        <v>0</v>
      </c>
      <c r="CU23" s="20">
        <f t="shared" ca="1" si="30"/>
        <v>0</v>
      </c>
      <c r="CV23" s="20">
        <f t="shared" ca="1" si="31"/>
        <v>0</v>
      </c>
      <c r="CW23" s="20">
        <f t="shared" ca="1" si="32"/>
        <v>0</v>
      </c>
      <c r="CX23" s="20">
        <f t="shared" ca="1" si="33"/>
        <v>0</v>
      </c>
      <c r="CY23" s="20">
        <f t="shared" ca="1" si="34"/>
        <v>0</v>
      </c>
      <c r="CZ23" s="20">
        <f t="shared" ca="1" si="35"/>
        <v>0</v>
      </c>
      <c r="DA23" s="20">
        <f t="shared" ca="1" si="36"/>
        <v>0</v>
      </c>
      <c r="DB23" s="20">
        <f t="shared" ca="1" si="37"/>
        <v>0</v>
      </c>
      <c r="DC23" s="20">
        <f t="shared" ca="1" si="38"/>
        <v>0</v>
      </c>
      <c r="DD23" s="20">
        <f t="shared" ca="1" si="39"/>
        <v>0</v>
      </c>
      <c r="DE23" s="20">
        <f t="shared" ca="1" si="40"/>
        <v>0</v>
      </c>
      <c r="DF23" s="20">
        <f t="shared" ca="1" si="41"/>
        <v>0</v>
      </c>
      <c r="DG23" s="20">
        <f t="shared" ca="1" si="42"/>
        <v>0</v>
      </c>
      <c r="DH23" s="20">
        <f t="shared" ca="1" si="43"/>
        <v>0</v>
      </c>
      <c r="DI23" s="20">
        <f t="shared" ca="1" si="44"/>
        <v>0</v>
      </c>
      <c r="DJ23" s="20">
        <f t="shared" ca="1" si="45"/>
        <v>0</v>
      </c>
      <c r="DK23" s="20">
        <f t="shared" ca="1" si="46"/>
        <v>0</v>
      </c>
      <c r="DL23" s="20">
        <f t="shared" ca="1" si="47"/>
        <v>0</v>
      </c>
      <c r="DM23" s="20">
        <f t="shared" ca="1" si="48"/>
        <v>0</v>
      </c>
      <c r="DN23" s="20">
        <f t="shared" ca="1" si="49"/>
        <v>0</v>
      </c>
      <c r="DO23" s="20">
        <f t="shared" ca="1" si="50"/>
        <v>0</v>
      </c>
      <c r="DP23" s="20">
        <f t="shared" ca="1" si="51"/>
        <v>0</v>
      </c>
      <c r="DQ23" s="20">
        <f t="shared" ca="1" si="52"/>
        <v>0</v>
      </c>
      <c r="DR23" s="20">
        <f t="shared" ca="1" si="53"/>
        <v>0</v>
      </c>
      <c r="DS23" s="20">
        <f t="shared" ca="1" si="54"/>
        <v>0</v>
      </c>
      <c r="DT23" s="20">
        <f t="shared" ca="1" si="55"/>
        <v>0</v>
      </c>
      <c r="DU23" s="20">
        <f t="shared" ca="1" si="56"/>
        <v>0</v>
      </c>
      <c r="DV23" s="20">
        <f t="shared" ca="1" si="57"/>
        <v>0</v>
      </c>
      <c r="DW23" s="20">
        <f t="shared" ca="1" si="58"/>
        <v>0</v>
      </c>
      <c r="DX23" s="20">
        <f t="shared" ca="1" si="59"/>
        <v>0</v>
      </c>
      <c r="DY23" s="20">
        <f t="shared" ca="1" si="60"/>
        <v>0</v>
      </c>
      <c r="DZ23" s="20">
        <f t="shared" ca="1" si="61"/>
        <v>0</v>
      </c>
      <c r="EA23" s="20">
        <f t="shared" ca="1" si="62"/>
        <v>0</v>
      </c>
      <c r="EB23" s="20">
        <f t="shared" ca="1" si="63"/>
        <v>333185185185.17291</v>
      </c>
      <c r="EC23" s="20">
        <f t="shared" ca="1" si="64"/>
        <v>0</v>
      </c>
      <c r="ED23" s="20">
        <f t="shared" ca="1" si="65"/>
        <v>0</v>
      </c>
      <c r="EE23" s="20">
        <f t="shared" ca="1" si="66"/>
        <v>0</v>
      </c>
      <c r="EF23" s="20">
        <f t="shared" ca="1" si="67"/>
        <v>0</v>
      </c>
      <c r="EG23" s="20">
        <f t="shared" ca="1" si="68"/>
        <v>105559322033.89442</v>
      </c>
      <c r="EH23" s="20">
        <f t="shared" ca="1" si="69"/>
        <v>0</v>
      </c>
      <c r="EI23" s="20">
        <f t="shared" ca="1" si="70"/>
        <v>0</v>
      </c>
      <c r="EJ23" s="20">
        <f t="shared" ca="1" si="71"/>
        <v>0</v>
      </c>
      <c r="EK23" s="20">
        <f t="shared" ca="1" si="72"/>
        <v>0</v>
      </c>
      <c r="EL23" s="20">
        <f t="shared" ca="1" si="73"/>
        <v>0</v>
      </c>
      <c r="EM23" s="20">
        <f t="shared" ca="1" si="74"/>
        <v>0</v>
      </c>
      <c r="EN23" s="20">
        <f t="shared" ca="1" si="75"/>
        <v>0</v>
      </c>
      <c r="EO23" s="20">
        <f t="shared" ca="1" si="76"/>
        <v>0</v>
      </c>
      <c r="EP23" s="20">
        <f t="shared" ca="1" si="77"/>
        <v>0</v>
      </c>
      <c r="EQ23" s="17" t="s">
        <v>105</v>
      </c>
      <c r="ER23" s="19">
        <v>2354751491833.1001</v>
      </c>
      <c r="ES23" s="20">
        <f t="shared" si="6"/>
        <v>28.487456314191171</v>
      </c>
    </row>
    <row r="24" spans="1:149" ht="15">
      <c r="A24" s="21" t="s">
        <v>179</v>
      </c>
      <c r="B24" s="14">
        <f ca="1">IFERROR(__xludf.dummyfunction("QUERY('Countries markets attractivenes'!A:C, ""SELECT C WHERE A = '""&amp;A24&amp;""'"",0)"),25.6656001548345)</f>
        <v>25.6656001548345</v>
      </c>
      <c r="C24" s="14">
        <f t="shared" ca="1" si="78"/>
        <v>140096898857.09515</v>
      </c>
      <c r="D24" s="18">
        <f>Marketplace_customer!C24/Marketplace_customer!C$2</f>
        <v>0</v>
      </c>
      <c r="E24" s="18">
        <f>Marketplace_customer!D24/Marketplace_customer!D$2</f>
        <v>0</v>
      </c>
      <c r="F24" s="18">
        <f>Marketplace_customer!E24/Marketplace_customer!E$2</f>
        <v>0</v>
      </c>
      <c r="G24" s="18">
        <f>Marketplace_customer!F24/Marketplace_customer!F$2</f>
        <v>0</v>
      </c>
      <c r="H24" s="18">
        <f>Marketplace_customer!G24/Marketplace_customer!G$2</f>
        <v>0</v>
      </c>
      <c r="I24" s="18">
        <f>Marketplace_customer!H24/Marketplace_customer!H$2</f>
        <v>0</v>
      </c>
      <c r="J24" s="18">
        <f>Marketplace_customer!I24/Marketplace_customer!I$2</f>
        <v>0</v>
      </c>
      <c r="K24" s="18">
        <f>Marketplace_customer!J24/Marketplace_customer!J$2</f>
        <v>0</v>
      </c>
      <c r="L24" s="18">
        <f>Marketplace_customer!K24/Marketplace_customer!K$2</f>
        <v>0</v>
      </c>
      <c r="M24" s="18">
        <f>Marketplace_customer!L24/Marketplace_customer!L$2</f>
        <v>0</v>
      </c>
      <c r="N24" s="18">
        <f>Marketplace_customer!M24/Marketplace_customer!M$2</f>
        <v>0</v>
      </c>
      <c r="O24" s="18">
        <f>Marketplace_customer!N24/Marketplace_customer!N$2</f>
        <v>0</v>
      </c>
      <c r="P24" s="18">
        <f>Marketplace_customer!O24/Marketplace_customer!O$2</f>
        <v>5.5106382978723401E-4</v>
      </c>
      <c r="Q24" s="18">
        <f>Marketplace_customer!P24/Marketplace_customer!P$2</f>
        <v>0</v>
      </c>
      <c r="R24" s="18">
        <f>Marketplace_customer!Q24/Marketplace_customer!Q$2</f>
        <v>0</v>
      </c>
      <c r="S24" s="18">
        <f>Marketplace_customer!R24/Marketplace_customer!R$2</f>
        <v>0</v>
      </c>
      <c r="T24" s="18">
        <f>Marketplace_customer!S24/Marketplace_customer!S$2</f>
        <v>0</v>
      </c>
      <c r="U24" s="18">
        <f>Marketplace_customer!T24/Marketplace_customer!T$2</f>
        <v>0</v>
      </c>
      <c r="V24" s="18">
        <f>Marketplace_customer!U24/Marketplace_customer!U$2</f>
        <v>0</v>
      </c>
      <c r="W24" s="18">
        <f>Marketplace_customer!V24/Marketplace_customer!V$2</f>
        <v>0</v>
      </c>
      <c r="X24" s="18">
        <f>Marketplace_customer!W24/Marketplace_customer!W$2</f>
        <v>0</v>
      </c>
      <c r="Y24" s="18">
        <f>Marketplace_customer!X24/Marketplace_customer!X$2</f>
        <v>0</v>
      </c>
      <c r="Z24" s="18">
        <f>Marketplace_customer!Y24/Marketplace_customer!Y$2</f>
        <v>0</v>
      </c>
      <c r="AA24" s="18">
        <f>Marketplace_customer!Z24/Marketplace_customer!Z$2</f>
        <v>0</v>
      </c>
      <c r="AB24" s="18">
        <f>Marketplace_customer!AA24/Marketplace_customer!AA$2</f>
        <v>0</v>
      </c>
      <c r="AC24" s="18">
        <f>Marketplace_customer!AB24/Marketplace_customer!AB$2</f>
        <v>0</v>
      </c>
      <c r="AD24" s="18">
        <f>Marketplace_customer!AC24/Marketplace_customer!AC$2</f>
        <v>0</v>
      </c>
      <c r="AE24" s="18">
        <f>Marketplace_customer!AD24/Marketplace_customer!AD$2</f>
        <v>0</v>
      </c>
      <c r="AF24" s="18">
        <f>Marketplace_customer!AE24/Marketplace_customer!AE$2</f>
        <v>0</v>
      </c>
      <c r="AG24" s="18">
        <f>Marketplace_customer!AF24/Marketplace_customer!AF$2</f>
        <v>0</v>
      </c>
      <c r="AH24" s="18">
        <f>Marketplace_customer!AG24/Marketplace_customer!AG$2</f>
        <v>0</v>
      </c>
      <c r="AI24" s="18">
        <f>Marketplace_customer!AH24/Marketplace_customer!AH$2</f>
        <v>0</v>
      </c>
      <c r="AJ24" s="18">
        <f>Marketplace_customer!AI24/Marketplace_customer!AI$2</f>
        <v>0</v>
      </c>
      <c r="AK24" s="18">
        <f>Marketplace_customer!AJ24/Marketplace_customer!AJ$2</f>
        <v>0</v>
      </c>
      <c r="AL24" s="18">
        <f>Marketplace_customer!AK24/Marketplace_customer!AK$2</f>
        <v>0</v>
      </c>
      <c r="AM24" s="18">
        <f>Marketplace_customer!AL24/Marketplace_customer!AL$2</f>
        <v>0</v>
      </c>
      <c r="AN24" s="18">
        <f>Marketplace_customer!AM24/Marketplace_customer!AM$2</f>
        <v>0</v>
      </c>
      <c r="AO24" s="18">
        <f>Marketplace_customer!AN24/Marketplace_customer!AN$2</f>
        <v>0</v>
      </c>
      <c r="AP24" s="18">
        <f>Marketplace_customer!AO24/Marketplace_customer!AO$2</f>
        <v>0</v>
      </c>
      <c r="AQ24" s="18">
        <f>Marketplace_customer!AP24/Marketplace_customer!AP$2</f>
        <v>0</v>
      </c>
      <c r="AR24" s="18">
        <f>Marketplace_customer!AQ24/Marketplace_customer!AQ$2</f>
        <v>0</v>
      </c>
      <c r="AS24" s="18">
        <f>Marketplace_customer!AR24/Marketplace_customer!AR$2</f>
        <v>0</v>
      </c>
      <c r="AT24" s="18">
        <f>Marketplace_customer!AS24/Marketplace_customer!AS$2</f>
        <v>0</v>
      </c>
      <c r="AU24" s="18">
        <f>Marketplace_customer!AT24/Marketplace_customer!AT$2</f>
        <v>0</v>
      </c>
      <c r="AV24" s="18">
        <f>Marketplace_customer!AU24/Marketplace_customer!AU$2</f>
        <v>0</v>
      </c>
      <c r="AW24" s="18">
        <f>Marketplace_customer!AV24/Marketplace_customer!AV$2</f>
        <v>0</v>
      </c>
      <c r="AX24" s="18">
        <f>Marketplace_customer!AW24/Marketplace_customer!AW$2</f>
        <v>0</v>
      </c>
      <c r="AY24" s="18">
        <f>Marketplace_customer!AX24/Marketplace_customer!AX$2</f>
        <v>0</v>
      </c>
      <c r="AZ24" s="18">
        <f>Marketplace_customer!AY24/Marketplace_customer!AY$2</f>
        <v>0</v>
      </c>
      <c r="BA24" s="18">
        <f>Marketplace_customer!AZ24/Marketplace_customer!AZ$2</f>
        <v>0</v>
      </c>
      <c r="BB24" s="18">
        <f>Marketplace_customer!BA24/Marketplace_customer!BA$2</f>
        <v>0</v>
      </c>
      <c r="BC24" s="18">
        <f>Marketplace_customer!BB24/Marketplace_customer!BB$2</f>
        <v>0</v>
      </c>
      <c r="BD24" s="18">
        <f>Marketplace_customer!BC24/Marketplace_customer!BC$2</f>
        <v>0</v>
      </c>
      <c r="BE24" s="18">
        <f>Marketplace_customer!BD24/Marketplace_customer!BD$2</f>
        <v>0</v>
      </c>
      <c r="BF24" s="18">
        <f>Marketplace_customer!BE24/Marketplace_customer!BE$2</f>
        <v>0</v>
      </c>
      <c r="BG24" s="18">
        <f>Marketplace_customer!BF24/Marketplace_customer!BF$2</f>
        <v>0</v>
      </c>
      <c r="BH24" s="18">
        <f>Marketplace_customer!BG24/Marketplace_customer!BG$2</f>
        <v>0</v>
      </c>
      <c r="BI24" s="18">
        <f>Marketplace_customer!BH24/Marketplace_customer!BH$2</f>
        <v>0</v>
      </c>
      <c r="BJ24" s="18">
        <f>Marketplace_customer!BI24/Marketplace_customer!BI$2</f>
        <v>0</v>
      </c>
      <c r="BK24" s="18">
        <f>Marketplace_customer!BJ24/Marketplace_customer!BJ$2</f>
        <v>0</v>
      </c>
      <c r="BL24" s="18">
        <f>Marketplace_customer!BK24/Marketplace_customer!BK$2</f>
        <v>0</v>
      </c>
      <c r="BM24" s="18">
        <f>Marketplace_customer!BL24/Marketplace_customer!BL$2</f>
        <v>0</v>
      </c>
      <c r="BN24" s="18">
        <f>Marketplace_customer!BM24/Marketplace_customer!BM$2</f>
        <v>0</v>
      </c>
      <c r="BO24" s="18">
        <f>Marketplace_customer!BN24/Marketplace_customer!BN$2</f>
        <v>0</v>
      </c>
      <c r="BP24" s="18">
        <f>Marketplace_customer!BO24/Marketplace_customer!BO$2</f>
        <v>0</v>
      </c>
      <c r="BQ24" s="18">
        <f>Marketplace_customer!BP24/Marketplace_customer!BP$2</f>
        <v>0</v>
      </c>
      <c r="BR24" s="18">
        <f>Marketplace_customer!BQ24/Marketplace_customer!BQ$2</f>
        <v>0</v>
      </c>
      <c r="BS24" s="18">
        <f>Marketplace_customer!BR24/Marketplace_customer!BR$2</f>
        <v>0</v>
      </c>
      <c r="BT24" s="18">
        <f>Marketplace_customer!BS24/Marketplace_customer!BS$2</f>
        <v>0</v>
      </c>
      <c r="BU24" s="18">
        <f>Marketplace_customer!BT24/Marketplace_customer!BT$2</f>
        <v>0</v>
      </c>
      <c r="BV24" s="18">
        <f>Marketplace_customer!BU24/Marketplace_customer!BU$2</f>
        <v>0</v>
      </c>
      <c r="BW24" s="19"/>
      <c r="BX24" s="20">
        <f t="shared" ca="1" si="7"/>
        <v>0</v>
      </c>
      <c r="BY24" s="20">
        <f t="shared" ca="1" si="8"/>
        <v>0</v>
      </c>
      <c r="BZ24" s="20">
        <f t="shared" ca="1" si="9"/>
        <v>0</v>
      </c>
      <c r="CA24" s="20">
        <f t="shared" ca="1" si="10"/>
        <v>0</v>
      </c>
      <c r="CB24" s="20">
        <f t="shared" ca="1" si="11"/>
        <v>0</v>
      </c>
      <c r="CC24" s="20">
        <f t="shared" ca="1" si="12"/>
        <v>0</v>
      </c>
      <c r="CD24" s="20">
        <f t="shared" ca="1" si="13"/>
        <v>0</v>
      </c>
      <c r="CE24" s="20">
        <f t="shared" ca="1" si="14"/>
        <v>0</v>
      </c>
      <c r="CF24" s="20">
        <f t="shared" ca="1" si="15"/>
        <v>0</v>
      </c>
      <c r="CG24" s="20">
        <f t="shared" ca="1" si="16"/>
        <v>0</v>
      </c>
      <c r="CH24" s="20">
        <f t="shared" ca="1" si="17"/>
        <v>0</v>
      </c>
      <c r="CI24" s="20">
        <f t="shared" ca="1" si="18"/>
        <v>0</v>
      </c>
      <c r="CJ24" s="20">
        <f t="shared" ca="1" si="19"/>
        <v>77202333.625505626</v>
      </c>
      <c r="CK24" s="20">
        <f t="shared" ca="1" si="20"/>
        <v>0</v>
      </c>
      <c r="CL24" s="20">
        <f t="shared" ca="1" si="21"/>
        <v>0</v>
      </c>
      <c r="CM24" s="20">
        <f t="shared" ca="1" si="22"/>
        <v>0</v>
      </c>
      <c r="CN24" s="20">
        <f t="shared" ca="1" si="23"/>
        <v>0</v>
      </c>
      <c r="CO24" s="20">
        <f t="shared" ca="1" si="24"/>
        <v>0</v>
      </c>
      <c r="CP24" s="20">
        <f t="shared" ca="1" si="25"/>
        <v>0</v>
      </c>
      <c r="CQ24" s="20">
        <f t="shared" ca="1" si="26"/>
        <v>0</v>
      </c>
      <c r="CR24" s="20">
        <f t="shared" ca="1" si="27"/>
        <v>0</v>
      </c>
      <c r="CS24" s="20">
        <f t="shared" ca="1" si="28"/>
        <v>0</v>
      </c>
      <c r="CT24" s="20">
        <f t="shared" ca="1" si="29"/>
        <v>0</v>
      </c>
      <c r="CU24" s="20">
        <f t="shared" ca="1" si="30"/>
        <v>0</v>
      </c>
      <c r="CV24" s="20">
        <f t="shared" ca="1" si="31"/>
        <v>0</v>
      </c>
      <c r="CW24" s="20">
        <f t="shared" ca="1" si="32"/>
        <v>0</v>
      </c>
      <c r="CX24" s="20">
        <f t="shared" ca="1" si="33"/>
        <v>0</v>
      </c>
      <c r="CY24" s="20">
        <f t="shared" ca="1" si="34"/>
        <v>0</v>
      </c>
      <c r="CZ24" s="20">
        <f t="shared" ca="1" si="35"/>
        <v>0</v>
      </c>
      <c r="DA24" s="20">
        <f t="shared" ca="1" si="36"/>
        <v>0</v>
      </c>
      <c r="DB24" s="20">
        <f t="shared" ca="1" si="37"/>
        <v>0</v>
      </c>
      <c r="DC24" s="20">
        <f t="shared" ca="1" si="38"/>
        <v>0</v>
      </c>
      <c r="DD24" s="20">
        <f t="shared" ca="1" si="39"/>
        <v>0</v>
      </c>
      <c r="DE24" s="20">
        <f t="shared" ca="1" si="40"/>
        <v>0</v>
      </c>
      <c r="DF24" s="20">
        <f t="shared" ca="1" si="41"/>
        <v>0</v>
      </c>
      <c r="DG24" s="20">
        <f t="shared" ca="1" si="42"/>
        <v>0</v>
      </c>
      <c r="DH24" s="20">
        <f t="shared" ca="1" si="43"/>
        <v>0</v>
      </c>
      <c r="DI24" s="20">
        <f t="shared" ca="1" si="44"/>
        <v>0</v>
      </c>
      <c r="DJ24" s="20">
        <f t="shared" ca="1" si="45"/>
        <v>0</v>
      </c>
      <c r="DK24" s="20">
        <f t="shared" ca="1" si="46"/>
        <v>0</v>
      </c>
      <c r="DL24" s="20">
        <f t="shared" ca="1" si="47"/>
        <v>0</v>
      </c>
      <c r="DM24" s="20">
        <f t="shared" ca="1" si="48"/>
        <v>0</v>
      </c>
      <c r="DN24" s="20">
        <f t="shared" ca="1" si="49"/>
        <v>0</v>
      </c>
      <c r="DO24" s="20">
        <f t="shared" ca="1" si="50"/>
        <v>0</v>
      </c>
      <c r="DP24" s="20">
        <f t="shared" ca="1" si="51"/>
        <v>0</v>
      </c>
      <c r="DQ24" s="20">
        <f t="shared" ca="1" si="52"/>
        <v>0</v>
      </c>
      <c r="DR24" s="20">
        <f t="shared" ca="1" si="53"/>
        <v>0</v>
      </c>
      <c r="DS24" s="20">
        <f t="shared" ca="1" si="54"/>
        <v>0</v>
      </c>
      <c r="DT24" s="20">
        <f t="shared" ca="1" si="55"/>
        <v>0</v>
      </c>
      <c r="DU24" s="20">
        <f t="shared" ca="1" si="56"/>
        <v>0</v>
      </c>
      <c r="DV24" s="20">
        <f t="shared" ca="1" si="57"/>
        <v>0</v>
      </c>
      <c r="DW24" s="20">
        <f t="shared" ca="1" si="58"/>
        <v>0</v>
      </c>
      <c r="DX24" s="20">
        <f t="shared" ca="1" si="59"/>
        <v>0</v>
      </c>
      <c r="DY24" s="20">
        <f t="shared" ca="1" si="60"/>
        <v>0</v>
      </c>
      <c r="DZ24" s="20">
        <f t="shared" ca="1" si="61"/>
        <v>0</v>
      </c>
      <c r="EA24" s="20">
        <f t="shared" ca="1" si="62"/>
        <v>0</v>
      </c>
      <c r="EB24" s="20">
        <f t="shared" ca="1" si="63"/>
        <v>0</v>
      </c>
      <c r="EC24" s="20">
        <f t="shared" ca="1" si="64"/>
        <v>0</v>
      </c>
      <c r="ED24" s="20">
        <f t="shared" ca="1" si="65"/>
        <v>0</v>
      </c>
      <c r="EE24" s="20">
        <f t="shared" ca="1" si="66"/>
        <v>0</v>
      </c>
      <c r="EF24" s="20">
        <f t="shared" ca="1" si="67"/>
        <v>0</v>
      </c>
      <c r="EG24" s="20">
        <f t="shared" ca="1" si="68"/>
        <v>0</v>
      </c>
      <c r="EH24" s="20">
        <f t="shared" ca="1" si="69"/>
        <v>0</v>
      </c>
      <c r="EI24" s="20">
        <f t="shared" ca="1" si="70"/>
        <v>0</v>
      </c>
      <c r="EJ24" s="20">
        <f t="shared" ca="1" si="71"/>
        <v>0</v>
      </c>
      <c r="EK24" s="20">
        <f t="shared" ca="1" si="72"/>
        <v>0</v>
      </c>
      <c r="EL24" s="20">
        <f t="shared" ca="1" si="73"/>
        <v>0</v>
      </c>
      <c r="EM24" s="20">
        <f t="shared" ca="1" si="74"/>
        <v>0</v>
      </c>
      <c r="EN24" s="20">
        <f t="shared" ca="1" si="75"/>
        <v>0</v>
      </c>
      <c r="EO24" s="20">
        <f t="shared" ca="1" si="76"/>
        <v>0</v>
      </c>
      <c r="EP24" s="20">
        <f t="shared" ca="1" si="77"/>
        <v>0</v>
      </c>
      <c r="EQ24" s="17" t="s">
        <v>106</v>
      </c>
      <c r="ER24" s="19">
        <v>828437544059.302</v>
      </c>
      <c r="ES24" s="20">
        <f t="shared" si="6"/>
        <v>27.44280728661337</v>
      </c>
    </row>
    <row r="25" spans="1:149" ht="15">
      <c r="A25" s="21" t="s">
        <v>180</v>
      </c>
      <c r="B25" s="14">
        <f ca="1">IFERROR(__xludf.dummyfunction("QUERY('Countries markets attractivenes'!A:C, ""SELECT C WHERE A = '""&amp;A25&amp;""'"",0)"),23.6932416746441)</f>
        <v>23.693241674644099</v>
      </c>
      <c r="C25" s="14">
        <f t="shared" ca="1" si="78"/>
        <v>19491448632.067009</v>
      </c>
      <c r="D25" s="18">
        <f>Marketplace_customer!C25/Marketplace_customer!C$2</f>
        <v>0</v>
      </c>
      <c r="E25" s="18">
        <f>Marketplace_customer!D25/Marketplace_customer!D$2</f>
        <v>0</v>
      </c>
      <c r="F25" s="18">
        <f>Marketplace_customer!E25/Marketplace_customer!E$2</f>
        <v>0</v>
      </c>
      <c r="G25" s="18">
        <f>Marketplace_customer!F25/Marketplace_customer!F$2</f>
        <v>0</v>
      </c>
      <c r="H25" s="18">
        <f>Marketplace_customer!G25/Marketplace_customer!G$2</f>
        <v>0</v>
      </c>
      <c r="I25" s="18">
        <f>Marketplace_customer!H25/Marketplace_customer!H$2</f>
        <v>0</v>
      </c>
      <c r="J25" s="18">
        <f>Marketplace_customer!I25/Marketplace_customer!I$2</f>
        <v>0</v>
      </c>
      <c r="K25" s="18">
        <f>Marketplace_customer!J25/Marketplace_customer!J$2</f>
        <v>0</v>
      </c>
      <c r="L25" s="18">
        <f>Marketplace_customer!K25/Marketplace_customer!K$2</f>
        <v>0</v>
      </c>
      <c r="M25" s="18">
        <f>Marketplace_customer!L25/Marketplace_customer!L$2</f>
        <v>0</v>
      </c>
      <c r="N25" s="18">
        <f>Marketplace_customer!M25/Marketplace_customer!M$2</f>
        <v>0</v>
      </c>
      <c r="O25" s="18">
        <f>Marketplace_customer!N25/Marketplace_customer!N$2</f>
        <v>0</v>
      </c>
      <c r="P25" s="18">
        <f>Marketplace_customer!O25/Marketplace_customer!O$2</f>
        <v>4.5744680851063829E-5</v>
      </c>
      <c r="Q25" s="18">
        <f>Marketplace_customer!P25/Marketplace_customer!P$2</f>
        <v>0</v>
      </c>
      <c r="R25" s="18">
        <f>Marketplace_customer!Q25/Marketplace_customer!Q$2</f>
        <v>0</v>
      </c>
      <c r="S25" s="18">
        <f>Marketplace_customer!R25/Marketplace_customer!R$2</f>
        <v>0</v>
      </c>
      <c r="T25" s="18">
        <f>Marketplace_customer!S25/Marketplace_customer!S$2</f>
        <v>0</v>
      </c>
      <c r="U25" s="18">
        <f>Marketplace_customer!T25/Marketplace_customer!T$2</f>
        <v>0</v>
      </c>
      <c r="V25" s="18">
        <f>Marketplace_customer!U25/Marketplace_customer!U$2</f>
        <v>0</v>
      </c>
      <c r="W25" s="18">
        <f>Marketplace_customer!V25/Marketplace_customer!V$2</f>
        <v>0</v>
      </c>
      <c r="X25" s="18">
        <f>Marketplace_customer!W25/Marketplace_customer!W$2</f>
        <v>0</v>
      </c>
      <c r="Y25" s="18">
        <f>Marketplace_customer!X25/Marketplace_customer!X$2</f>
        <v>0</v>
      </c>
      <c r="Z25" s="18">
        <f>Marketplace_customer!Y25/Marketplace_customer!Y$2</f>
        <v>0</v>
      </c>
      <c r="AA25" s="18">
        <f>Marketplace_customer!Z25/Marketplace_customer!Z$2</f>
        <v>0</v>
      </c>
      <c r="AB25" s="18">
        <f>Marketplace_customer!AA25/Marketplace_customer!AA$2</f>
        <v>0</v>
      </c>
      <c r="AC25" s="18">
        <f>Marketplace_customer!AB25/Marketplace_customer!AB$2</f>
        <v>0</v>
      </c>
      <c r="AD25" s="18">
        <f>Marketplace_customer!AC25/Marketplace_customer!AC$2</f>
        <v>0</v>
      </c>
      <c r="AE25" s="18">
        <f>Marketplace_customer!AD25/Marketplace_customer!AD$2</f>
        <v>0</v>
      </c>
      <c r="AF25" s="18">
        <f>Marketplace_customer!AE25/Marketplace_customer!AE$2</f>
        <v>0</v>
      </c>
      <c r="AG25" s="18">
        <f>Marketplace_customer!AF25/Marketplace_customer!AF$2</f>
        <v>0</v>
      </c>
      <c r="AH25" s="18">
        <f>Marketplace_customer!AG25/Marketplace_customer!AG$2</f>
        <v>0</v>
      </c>
      <c r="AI25" s="18">
        <f>Marketplace_customer!AH25/Marketplace_customer!AH$2</f>
        <v>0</v>
      </c>
      <c r="AJ25" s="18">
        <f>Marketplace_customer!AI25/Marketplace_customer!AI$2</f>
        <v>0</v>
      </c>
      <c r="AK25" s="18">
        <f>Marketplace_customer!AJ25/Marketplace_customer!AJ$2</f>
        <v>0</v>
      </c>
      <c r="AL25" s="18">
        <f>Marketplace_customer!AK25/Marketplace_customer!AK$2</f>
        <v>0</v>
      </c>
      <c r="AM25" s="18">
        <f>Marketplace_customer!AL25/Marketplace_customer!AL$2</f>
        <v>0</v>
      </c>
      <c r="AN25" s="18">
        <f>Marketplace_customer!AM25/Marketplace_customer!AM$2</f>
        <v>0</v>
      </c>
      <c r="AO25" s="18">
        <f>Marketplace_customer!AN25/Marketplace_customer!AN$2</f>
        <v>0</v>
      </c>
      <c r="AP25" s="18">
        <f>Marketplace_customer!AO25/Marketplace_customer!AO$2</f>
        <v>0</v>
      </c>
      <c r="AQ25" s="18">
        <f>Marketplace_customer!AP25/Marketplace_customer!AP$2</f>
        <v>0</v>
      </c>
      <c r="AR25" s="18">
        <f>Marketplace_customer!AQ25/Marketplace_customer!AQ$2</f>
        <v>0</v>
      </c>
      <c r="AS25" s="18">
        <f>Marketplace_customer!AR25/Marketplace_customer!AR$2</f>
        <v>0</v>
      </c>
      <c r="AT25" s="18">
        <f>Marketplace_customer!AS25/Marketplace_customer!AS$2</f>
        <v>0</v>
      </c>
      <c r="AU25" s="18">
        <f>Marketplace_customer!AT25/Marketplace_customer!AT$2</f>
        <v>0</v>
      </c>
      <c r="AV25" s="18">
        <f>Marketplace_customer!AU25/Marketplace_customer!AU$2</f>
        <v>0</v>
      </c>
      <c r="AW25" s="18">
        <f>Marketplace_customer!AV25/Marketplace_customer!AV$2</f>
        <v>0</v>
      </c>
      <c r="AX25" s="18">
        <f>Marketplace_customer!AW25/Marketplace_customer!AW$2</f>
        <v>0</v>
      </c>
      <c r="AY25" s="18">
        <f>Marketplace_customer!AX25/Marketplace_customer!AX$2</f>
        <v>0</v>
      </c>
      <c r="AZ25" s="18">
        <f>Marketplace_customer!AY25/Marketplace_customer!AY$2</f>
        <v>0</v>
      </c>
      <c r="BA25" s="18">
        <f>Marketplace_customer!AZ25/Marketplace_customer!AZ$2</f>
        <v>0</v>
      </c>
      <c r="BB25" s="18">
        <f>Marketplace_customer!BA25/Marketplace_customer!BA$2</f>
        <v>0</v>
      </c>
      <c r="BC25" s="18">
        <f>Marketplace_customer!BB25/Marketplace_customer!BB$2</f>
        <v>0</v>
      </c>
      <c r="BD25" s="18">
        <f>Marketplace_customer!BC25/Marketplace_customer!BC$2</f>
        <v>0</v>
      </c>
      <c r="BE25" s="18">
        <f>Marketplace_customer!BD25/Marketplace_customer!BD$2</f>
        <v>0</v>
      </c>
      <c r="BF25" s="18">
        <f>Marketplace_customer!BE25/Marketplace_customer!BE$2</f>
        <v>0</v>
      </c>
      <c r="BG25" s="18">
        <f>Marketplace_customer!BF25/Marketplace_customer!BF$2</f>
        <v>0</v>
      </c>
      <c r="BH25" s="18">
        <f>Marketplace_customer!BG25/Marketplace_customer!BG$2</f>
        <v>0</v>
      </c>
      <c r="BI25" s="18">
        <f>Marketplace_customer!BH25/Marketplace_customer!BH$2</f>
        <v>0</v>
      </c>
      <c r="BJ25" s="18">
        <f>Marketplace_customer!BI25/Marketplace_customer!BI$2</f>
        <v>0</v>
      </c>
      <c r="BK25" s="18">
        <f>Marketplace_customer!BJ25/Marketplace_customer!BJ$2</f>
        <v>0</v>
      </c>
      <c r="BL25" s="18">
        <f>Marketplace_customer!BK25/Marketplace_customer!BK$2</f>
        <v>0</v>
      </c>
      <c r="BM25" s="18">
        <f>Marketplace_customer!BL25/Marketplace_customer!BL$2</f>
        <v>0</v>
      </c>
      <c r="BN25" s="18">
        <f>Marketplace_customer!BM25/Marketplace_customer!BM$2</f>
        <v>0</v>
      </c>
      <c r="BO25" s="18">
        <f>Marketplace_customer!BN25/Marketplace_customer!BN$2</f>
        <v>0</v>
      </c>
      <c r="BP25" s="18">
        <f>Marketplace_customer!BO25/Marketplace_customer!BO$2</f>
        <v>0</v>
      </c>
      <c r="BQ25" s="18">
        <f>Marketplace_customer!BP25/Marketplace_customer!BP$2</f>
        <v>0</v>
      </c>
      <c r="BR25" s="18">
        <f>Marketplace_customer!BQ25/Marketplace_customer!BQ$2</f>
        <v>0</v>
      </c>
      <c r="BS25" s="18">
        <f>Marketplace_customer!BR25/Marketplace_customer!BR$2</f>
        <v>0</v>
      </c>
      <c r="BT25" s="18">
        <f>Marketplace_customer!BS25/Marketplace_customer!BS$2</f>
        <v>0</v>
      </c>
      <c r="BU25" s="18">
        <f>Marketplace_customer!BT25/Marketplace_customer!BT$2</f>
        <v>0</v>
      </c>
      <c r="BV25" s="18">
        <f>Marketplace_customer!BU25/Marketplace_customer!BU$2</f>
        <v>0</v>
      </c>
      <c r="BW25" s="19"/>
      <c r="BX25" s="20">
        <f t="shared" ca="1" si="7"/>
        <v>0</v>
      </c>
      <c r="BY25" s="20">
        <f t="shared" ca="1" si="8"/>
        <v>0</v>
      </c>
      <c r="BZ25" s="20">
        <f t="shared" ca="1" si="9"/>
        <v>0</v>
      </c>
      <c r="CA25" s="20">
        <f t="shared" ca="1" si="10"/>
        <v>0</v>
      </c>
      <c r="CB25" s="20">
        <f t="shared" ca="1" si="11"/>
        <v>0</v>
      </c>
      <c r="CC25" s="20">
        <f t="shared" ca="1" si="12"/>
        <v>0</v>
      </c>
      <c r="CD25" s="20">
        <f t="shared" ca="1" si="13"/>
        <v>0</v>
      </c>
      <c r="CE25" s="20">
        <f t="shared" ca="1" si="14"/>
        <v>0</v>
      </c>
      <c r="CF25" s="20">
        <f t="shared" ca="1" si="15"/>
        <v>0</v>
      </c>
      <c r="CG25" s="20">
        <f t="shared" ca="1" si="16"/>
        <v>0</v>
      </c>
      <c r="CH25" s="20">
        <f t="shared" ca="1" si="17"/>
        <v>0</v>
      </c>
      <c r="CI25" s="20">
        <f t="shared" ca="1" si="18"/>
        <v>0</v>
      </c>
      <c r="CJ25" s="20">
        <f t="shared" ca="1" si="19"/>
        <v>891630.09699880995</v>
      </c>
      <c r="CK25" s="20">
        <f t="shared" ca="1" si="20"/>
        <v>0</v>
      </c>
      <c r="CL25" s="20">
        <f t="shared" ca="1" si="21"/>
        <v>0</v>
      </c>
      <c r="CM25" s="20">
        <f t="shared" ca="1" si="22"/>
        <v>0</v>
      </c>
      <c r="CN25" s="20">
        <f t="shared" ca="1" si="23"/>
        <v>0</v>
      </c>
      <c r="CO25" s="20">
        <f t="shared" ca="1" si="24"/>
        <v>0</v>
      </c>
      <c r="CP25" s="20">
        <f t="shared" ca="1" si="25"/>
        <v>0</v>
      </c>
      <c r="CQ25" s="20">
        <f t="shared" ca="1" si="26"/>
        <v>0</v>
      </c>
      <c r="CR25" s="20">
        <f t="shared" ca="1" si="27"/>
        <v>0</v>
      </c>
      <c r="CS25" s="20">
        <f t="shared" ca="1" si="28"/>
        <v>0</v>
      </c>
      <c r="CT25" s="20">
        <f t="shared" ca="1" si="29"/>
        <v>0</v>
      </c>
      <c r="CU25" s="20">
        <f t="shared" ca="1" si="30"/>
        <v>0</v>
      </c>
      <c r="CV25" s="20">
        <f t="shared" ca="1" si="31"/>
        <v>0</v>
      </c>
      <c r="CW25" s="20">
        <f t="shared" ca="1" si="32"/>
        <v>0</v>
      </c>
      <c r="CX25" s="20">
        <f t="shared" ca="1" si="33"/>
        <v>0</v>
      </c>
      <c r="CY25" s="20">
        <f t="shared" ca="1" si="34"/>
        <v>0</v>
      </c>
      <c r="CZ25" s="20">
        <f t="shared" ca="1" si="35"/>
        <v>0</v>
      </c>
      <c r="DA25" s="20">
        <f t="shared" ca="1" si="36"/>
        <v>0</v>
      </c>
      <c r="DB25" s="20">
        <f t="shared" ca="1" si="37"/>
        <v>0</v>
      </c>
      <c r="DC25" s="20">
        <f t="shared" ca="1" si="38"/>
        <v>0</v>
      </c>
      <c r="DD25" s="20">
        <f t="shared" ca="1" si="39"/>
        <v>0</v>
      </c>
      <c r="DE25" s="20">
        <f t="shared" ca="1" si="40"/>
        <v>0</v>
      </c>
      <c r="DF25" s="20">
        <f t="shared" ca="1" si="41"/>
        <v>0</v>
      </c>
      <c r="DG25" s="20">
        <f t="shared" ca="1" si="42"/>
        <v>0</v>
      </c>
      <c r="DH25" s="20">
        <f t="shared" ca="1" si="43"/>
        <v>0</v>
      </c>
      <c r="DI25" s="20">
        <f t="shared" ca="1" si="44"/>
        <v>0</v>
      </c>
      <c r="DJ25" s="20">
        <f t="shared" ca="1" si="45"/>
        <v>0</v>
      </c>
      <c r="DK25" s="20">
        <f t="shared" ca="1" si="46"/>
        <v>0</v>
      </c>
      <c r="DL25" s="20">
        <f t="shared" ca="1" si="47"/>
        <v>0</v>
      </c>
      <c r="DM25" s="20">
        <f t="shared" ca="1" si="48"/>
        <v>0</v>
      </c>
      <c r="DN25" s="20">
        <f t="shared" ca="1" si="49"/>
        <v>0</v>
      </c>
      <c r="DO25" s="20">
        <f t="shared" ca="1" si="50"/>
        <v>0</v>
      </c>
      <c r="DP25" s="20">
        <f t="shared" ca="1" si="51"/>
        <v>0</v>
      </c>
      <c r="DQ25" s="20">
        <f t="shared" ca="1" si="52"/>
        <v>0</v>
      </c>
      <c r="DR25" s="20">
        <f t="shared" ca="1" si="53"/>
        <v>0</v>
      </c>
      <c r="DS25" s="20">
        <f t="shared" ca="1" si="54"/>
        <v>0</v>
      </c>
      <c r="DT25" s="20">
        <f t="shared" ca="1" si="55"/>
        <v>0</v>
      </c>
      <c r="DU25" s="20">
        <f t="shared" ca="1" si="56"/>
        <v>0</v>
      </c>
      <c r="DV25" s="20">
        <f t="shared" ca="1" si="57"/>
        <v>0</v>
      </c>
      <c r="DW25" s="20">
        <f t="shared" ca="1" si="58"/>
        <v>0</v>
      </c>
      <c r="DX25" s="20">
        <f t="shared" ca="1" si="59"/>
        <v>0</v>
      </c>
      <c r="DY25" s="20">
        <f t="shared" ca="1" si="60"/>
        <v>0</v>
      </c>
      <c r="DZ25" s="20">
        <f t="shared" ca="1" si="61"/>
        <v>0</v>
      </c>
      <c r="EA25" s="20">
        <f t="shared" ca="1" si="62"/>
        <v>0</v>
      </c>
      <c r="EB25" s="20">
        <f t="shared" ca="1" si="63"/>
        <v>0</v>
      </c>
      <c r="EC25" s="20">
        <f t="shared" ca="1" si="64"/>
        <v>0</v>
      </c>
      <c r="ED25" s="20">
        <f t="shared" ca="1" si="65"/>
        <v>0</v>
      </c>
      <c r="EE25" s="20">
        <f t="shared" ca="1" si="66"/>
        <v>0</v>
      </c>
      <c r="EF25" s="20">
        <f t="shared" ca="1" si="67"/>
        <v>0</v>
      </c>
      <c r="EG25" s="20">
        <f t="shared" ca="1" si="68"/>
        <v>0</v>
      </c>
      <c r="EH25" s="20">
        <f t="shared" ca="1" si="69"/>
        <v>0</v>
      </c>
      <c r="EI25" s="20">
        <f t="shared" ca="1" si="70"/>
        <v>0</v>
      </c>
      <c r="EJ25" s="20">
        <f t="shared" ca="1" si="71"/>
        <v>0</v>
      </c>
      <c r="EK25" s="20">
        <f t="shared" ca="1" si="72"/>
        <v>0</v>
      </c>
      <c r="EL25" s="20">
        <f t="shared" ca="1" si="73"/>
        <v>0</v>
      </c>
      <c r="EM25" s="20">
        <f t="shared" ca="1" si="74"/>
        <v>0</v>
      </c>
      <c r="EN25" s="20">
        <f t="shared" ca="1" si="75"/>
        <v>0</v>
      </c>
      <c r="EO25" s="20">
        <f t="shared" ca="1" si="76"/>
        <v>0</v>
      </c>
      <c r="EP25" s="20">
        <f t="shared" ca="1" si="77"/>
        <v>0</v>
      </c>
      <c r="EQ25" s="17" t="s">
        <v>107</v>
      </c>
      <c r="ER25" s="19">
        <v>816713670574.026</v>
      </c>
      <c r="ES25" s="20">
        <f t="shared" si="6"/>
        <v>27.42855440596573</v>
      </c>
    </row>
    <row r="26" spans="1:149" ht="15">
      <c r="A26" s="21" t="s">
        <v>181</v>
      </c>
      <c r="B26" s="14">
        <f ca="1">IFERROR(__xludf.dummyfunction("QUERY('Countries markets attractivenes'!A:C, ""SELECT C WHERE A = '""&amp;A26&amp;""'"",0)"),27.6582498795749)</f>
        <v>27.6582498795749</v>
      </c>
      <c r="C26" s="14">
        <f t="shared" ca="1" si="78"/>
        <v>1027602854052.7635</v>
      </c>
      <c r="D26" s="18">
        <f>Marketplace_customer!C26/Marketplace_customer!C$2</f>
        <v>0</v>
      </c>
      <c r="E26" s="18">
        <f>Marketplace_customer!D26/Marketplace_customer!D$2</f>
        <v>0</v>
      </c>
      <c r="F26" s="18">
        <f>Marketplace_customer!E26/Marketplace_customer!E$2</f>
        <v>0</v>
      </c>
      <c r="G26" s="18">
        <f>Marketplace_customer!F26/Marketplace_customer!F$2</f>
        <v>0</v>
      </c>
      <c r="H26" s="18">
        <f>Marketplace_customer!G26/Marketplace_customer!G$2</f>
        <v>0</v>
      </c>
      <c r="I26" s="18">
        <f>Marketplace_customer!H26/Marketplace_customer!H$2</f>
        <v>0</v>
      </c>
      <c r="J26" s="18">
        <f>Marketplace_customer!I26/Marketplace_customer!I$2</f>
        <v>0</v>
      </c>
      <c r="K26" s="18">
        <f>Marketplace_customer!J26/Marketplace_customer!J$2</f>
        <v>0</v>
      </c>
      <c r="L26" s="18">
        <f>Marketplace_customer!K26/Marketplace_customer!K$2</f>
        <v>0</v>
      </c>
      <c r="M26" s="18">
        <f>Marketplace_customer!L26/Marketplace_customer!L$2</f>
        <v>0</v>
      </c>
      <c r="N26" s="18">
        <f>Marketplace_customer!M26/Marketplace_customer!M$2</f>
        <v>0</v>
      </c>
      <c r="O26" s="18">
        <f>Marketplace_customer!N26/Marketplace_customer!N$2</f>
        <v>0</v>
      </c>
      <c r="P26" s="18">
        <f>Marketplace_customer!O26/Marketplace_customer!O$2</f>
        <v>5.3191489361702126E-3</v>
      </c>
      <c r="Q26" s="18">
        <f>Marketplace_customer!P26/Marketplace_customer!P$2</f>
        <v>0</v>
      </c>
      <c r="R26" s="18">
        <f>Marketplace_customer!Q26/Marketplace_customer!Q$2</f>
        <v>0</v>
      </c>
      <c r="S26" s="18">
        <f>Marketplace_customer!R26/Marketplace_customer!R$2</f>
        <v>0.99371069182389937</v>
      </c>
      <c r="T26" s="18">
        <f>Marketplace_customer!S26/Marketplace_customer!S$2</f>
        <v>0</v>
      </c>
      <c r="U26" s="18">
        <f>Marketplace_customer!T26/Marketplace_customer!T$2</f>
        <v>0.9899749373433584</v>
      </c>
      <c r="V26" s="18">
        <f>Marketplace_customer!U26/Marketplace_customer!U$2</f>
        <v>0</v>
      </c>
      <c r="W26" s="18">
        <f>Marketplace_customer!V26/Marketplace_customer!V$2</f>
        <v>0</v>
      </c>
      <c r="X26" s="18">
        <f>Marketplace_customer!W26/Marketplace_customer!W$2</f>
        <v>0</v>
      </c>
      <c r="Y26" s="18">
        <f>Marketplace_customer!X26/Marketplace_customer!X$2</f>
        <v>0</v>
      </c>
      <c r="Z26" s="18">
        <f>Marketplace_customer!Y26/Marketplace_customer!Y$2</f>
        <v>0</v>
      </c>
      <c r="AA26" s="18">
        <f>Marketplace_customer!Z26/Marketplace_customer!Z$2</f>
        <v>0</v>
      </c>
      <c r="AB26" s="18">
        <f>Marketplace_customer!AA26/Marketplace_customer!AA$2</f>
        <v>0</v>
      </c>
      <c r="AC26" s="18">
        <f>Marketplace_customer!AB26/Marketplace_customer!AB$2</f>
        <v>0</v>
      </c>
      <c r="AD26" s="18">
        <f>Marketplace_customer!AC26/Marketplace_customer!AC$2</f>
        <v>0</v>
      </c>
      <c r="AE26" s="18">
        <f>Marketplace_customer!AD26/Marketplace_customer!AD$2</f>
        <v>0</v>
      </c>
      <c r="AF26" s="18">
        <f>Marketplace_customer!AE26/Marketplace_customer!AE$2</f>
        <v>1.732605729877217E-3</v>
      </c>
      <c r="AG26" s="18">
        <f>Marketplace_customer!AF26/Marketplace_customer!AF$2</f>
        <v>0</v>
      </c>
      <c r="AH26" s="18">
        <f>Marketplace_customer!AG26/Marketplace_customer!AG$2</f>
        <v>2.7731958762886601E-3</v>
      </c>
      <c r="AI26" s="18">
        <f>Marketplace_customer!AH26/Marketplace_customer!AH$2</f>
        <v>0</v>
      </c>
      <c r="AJ26" s="18">
        <f>Marketplace_customer!AI26/Marketplace_customer!AI$2</f>
        <v>0</v>
      </c>
      <c r="AK26" s="18">
        <f>Marketplace_customer!AJ26/Marketplace_customer!AJ$2</f>
        <v>0</v>
      </c>
      <c r="AL26" s="18">
        <f>Marketplace_customer!AK26/Marketplace_customer!AK$2</f>
        <v>0</v>
      </c>
      <c r="AM26" s="18">
        <f>Marketplace_customer!AL26/Marketplace_customer!AL$2</f>
        <v>0</v>
      </c>
      <c r="AN26" s="18">
        <f>Marketplace_customer!AM26/Marketplace_customer!AM$2</f>
        <v>0</v>
      </c>
      <c r="AO26" s="18">
        <f>Marketplace_customer!AN26/Marketplace_customer!AN$2</f>
        <v>0</v>
      </c>
      <c r="AP26" s="18">
        <f>Marketplace_customer!AO26/Marketplace_customer!AO$2</f>
        <v>0</v>
      </c>
      <c r="AQ26" s="18">
        <f>Marketplace_customer!AP26/Marketplace_customer!AP$2</f>
        <v>0</v>
      </c>
      <c r="AR26" s="18">
        <f>Marketplace_customer!AQ26/Marketplace_customer!AQ$2</f>
        <v>0</v>
      </c>
      <c r="AS26" s="18">
        <f>Marketplace_customer!AR26/Marketplace_customer!AR$2</f>
        <v>0</v>
      </c>
      <c r="AT26" s="18">
        <f>Marketplace_customer!AS26/Marketplace_customer!AS$2</f>
        <v>0</v>
      </c>
      <c r="AU26" s="18">
        <f>Marketplace_customer!AT26/Marketplace_customer!AT$2</f>
        <v>0.99730458221024254</v>
      </c>
      <c r="AV26" s="18">
        <f>Marketplace_customer!AU26/Marketplace_customer!AU$2</f>
        <v>0</v>
      </c>
      <c r="AW26" s="18">
        <f>Marketplace_customer!AV26/Marketplace_customer!AV$2</f>
        <v>0</v>
      </c>
      <c r="AX26" s="18">
        <f>Marketplace_customer!AW26/Marketplace_customer!AW$2</f>
        <v>0</v>
      </c>
      <c r="AY26" s="18">
        <f>Marketplace_customer!AX26/Marketplace_customer!AX$2</f>
        <v>0</v>
      </c>
      <c r="AZ26" s="18">
        <f>Marketplace_customer!AY26/Marketplace_customer!AY$2</f>
        <v>0</v>
      </c>
      <c r="BA26" s="18">
        <f>Marketplace_customer!AZ26/Marketplace_customer!AZ$2</f>
        <v>0</v>
      </c>
      <c r="BB26" s="18">
        <f>Marketplace_customer!BA26/Marketplace_customer!BA$2</f>
        <v>0</v>
      </c>
      <c r="BC26" s="18">
        <f>Marketplace_customer!BB26/Marketplace_customer!BB$2</f>
        <v>0</v>
      </c>
      <c r="BD26" s="18">
        <f>Marketplace_customer!BC26/Marketplace_customer!BC$2</f>
        <v>0</v>
      </c>
      <c r="BE26" s="18">
        <f>Marketplace_customer!BD26/Marketplace_customer!BD$2</f>
        <v>0</v>
      </c>
      <c r="BF26" s="18">
        <f>Marketplace_customer!BE26/Marketplace_customer!BE$2</f>
        <v>0</v>
      </c>
      <c r="BG26" s="18">
        <f>Marketplace_customer!BF26/Marketplace_customer!BF$2</f>
        <v>0</v>
      </c>
      <c r="BH26" s="18">
        <f>Marketplace_customer!BG26/Marketplace_customer!BG$2</f>
        <v>0</v>
      </c>
      <c r="BI26" s="18">
        <f>Marketplace_customer!BH26/Marketplace_customer!BH$2</f>
        <v>0</v>
      </c>
      <c r="BJ26" s="18">
        <f>Marketplace_customer!BI26/Marketplace_customer!BI$2</f>
        <v>0</v>
      </c>
      <c r="BK26" s="18">
        <f>Marketplace_customer!BJ26/Marketplace_customer!BJ$2</f>
        <v>0.28935720420162514</v>
      </c>
      <c r="BL26" s="18">
        <f>Marketplace_customer!BK26/Marketplace_customer!BK$2</f>
        <v>0</v>
      </c>
      <c r="BM26" s="18">
        <f>Marketplace_customer!BL26/Marketplace_customer!BL$2</f>
        <v>0</v>
      </c>
      <c r="BN26" s="18">
        <f>Marketplace_customer!BM26/Marketplace_customer!BM$2</f>
        <v>0</v>
      </c>
      <c r="BO26" s="18">
        <f>Marketplace_customer!BN26/Marketplace_customer!BN$2</f>
        <v>0</v>
      </c>
      <c r="BP26" s="18">
        <f>Marketplace_customer!BO26/Marketplace_customer!BO$2</f>
        <v>0.98889837745516651</v>
      </c>
      <c r="BQ26" s="18">
        <f>Marketplace_customer!BP26/Marketplace_customer!BP$2</f>
        <v>0</v>
      </c>
      <c r="BR26" s="18">
        <f>Marketplace_customer!BQ26/Marketplace_customer!BQ$2</f>
        <v>0</v>
      </c>
      <c r="BS26" s="18">
        <f>Marketplace_customer!BR26/Marketplace_customer!BR$2</f>
        <v>0</v>
      </c>
      <c r="BT26" s="18">
        <f>Marketplace_customer!BS26/Marketplace_customer!BS$2</f>
        <v>0</v>
      </c>
      <c r="BU26" s="18">
        <f>Marketplace_customer!BT26/Marketplace_customer!BT$2</f>
        <v>0</v>
      </c>
      <c r="BV26" s="18">
        <f>Marketplace_customer!BU26/Marketplace_customer!BU$2</f>
        <v>0</v>
      </c>
      <c r="BW26" s="19"/>
      <c r="BX26" s="20">
        <f t="shared" ca="1" si="7"/>
        <v>0</v>
      </c>
      <c r="BY26" s="20">
        <f t="shared" ca="1" si="8"/>
        <v>0</v>
      </c>
      <c r="BZ26" s="20">
        <f t="shared" ca="1" si="9"/>
        <v>0</v>
      </c>
      <c r="CA26" s="20">
        <f t="shared" ca="1" si="10"/>
        <v>0</v>
      </c>
      <c r="CB26" s="20">
        <f t="shared" ca="1" si="11"/>
        <v>0</v>
      </c>
      <c r="CC26" s="20">
        <f t="shared" ca="1" si="12"/>
        <v>0</v>
      </c>
      <c r="CD26" s="20">
        <f t="shared" ca="1" si="13"/>
        <v>0</v>
      </c>
      <c r="CE26" s="20">
        <f t="shared" ca="1" si="14"/>
        <v>0</v>
      </c>
      <c r="CF26" s="20">
        <f t="shared" ca="1" si="15"/>
        <v>0</v>
      </c>
      <c r="CG26" s="20">
        <f t="shared" ca="1" si="16"/>
        <v>0</v>
      </c>
      <c r="CH26" s="20">
        <f t="shared" ca="1" si="17"/>
        <v>0</v>
      </c>
      <c r="CI26" s="20">
        <f t="shared" ca="1" si="18"/>
        <v>0</v>
      </c>
      <c r="CJ26" s="20">
        <f t="shared" ca="1" si="19"/>
        <v>5465972627.9402313</v>
      </c>
      <c r="CK26" s="20">
        <f t="shared" ca="1" si="20"/>
        <v>0</v>
      </c>
      <c r="CL26" s="20">
        <f t="shared" ca="1" si="21"/>
        <v>0</v>
      </c>
      <c r="CM26" s="20">
        <f t="shared" ca="1" si="22"/>
        <v>1021139943020.9851</v>
      </c>
      <c r="CN26" s="20">
        <f t="shared" ca="1" si="23"/>
        <v>0</v>
      </c>
      <c r="CO26" s="20">
        <f t="shared" ca="1" si="24"/>
        <v>1017301071054.7408</v>
      </c>
      <c r="CP26" s="20">
        <f t="shared" ca="1" si="25"/>
        <v>0</v>
      </c>
      <c r="CQ26" s="20">
        <f t="shared" ca="1" si="26"/>
        <v>0</v>
      </c>
      <c r="CR26" s="20">
        <f t="shared" ca="1" si="27"/>
        <v>0</v>
      </c>
      <c r="CS26" s="20">
        <f t="shared" ca="1" si="28"/>
        <v>0</v>
      </c>
      <c r="CT26" s="20">
        <f t="shared" ca="1" si="29"/>
        <v>0</v>
      </c>
      <c r="CU26" s="20">
        <f t="shared" ca="1" si="30"/>
        <v>0</v>
      </c>
      <c r="CV26" s="20">
        <f t="shared" ca="1" si="31"/>
        <v>0</v>
      </c>
      <c r="CW26" s="20">
        <f t="shared" ca="1" si="32"/>
        <v>0</v>
      </c>
      <c r="CX26" s="20">
        <f t="shared" ca="1" si="33"/>
        <v>0</v>
      </c>
      <c r="CY26" s="20">
        <f t="shared" ca="1" si="34"/>
        <v>0</v>
      </c>
      <c r="CZ26" s="20">
        <f t="shared" ca="1" si="35"/>
        <v>1780430592.9699996</v>
      </c>
      <c r="DA26" s="20">
        <f t="shared" ca="1" si="36"/>
        <v>0</v>
      </c>
      <c r="DB26" s="20">
        <f t="shared" ca="1" si="37"/>
        <v>2849743997.3215818</v>
      </c>
      <c r="DC26" s="20">
        <f t="shared" ca="1" si="38"/>
        <v>0</v>
      </c>
      <c r="DD26" s="20">
        <f t="shared" ca="1" si="39"/>
        <v>0</v>
      </c>
      <c r="DE26" s="20">
        <f t="shared" ca="1" si="40"/>
        <v>0</v>
      </c>
      <c r="DF26" s="20">
        <f t="shared" ca="1" si="41"/>
        <v>0</v>
      </c>
      <c r="DG26" s="20">
        <f t="shared" ca="1" si="42"/>
        <v>0</v>
      </c>
      <c r="DH26" s="20">
        <f t="shared" ca="1" si="43"/>
        <v>0</v>
      </c>
      <c r="DI26" s="20">
        <f t="shared" ca="1" si="44"/>
        <v>0</v>
      </c>
      <c r="DJ26" s="20">
        <f t="shared" ca="1" si="45"/>
        <v>0</v>
      </c>
      <c r="DK26" s="20">
        <f t="shared" ca="1" si="46"/>
        <v>0</v>
      </c>
      <c r="DL26" s="20">
        <f t="shared" ca="1" si="47"/>
        <v>0</v>
      </c>
      <c r="DM26" s="20">
        <f t="shared" ca="1" si="48"/>
        <v>0</v>
      </c>
      <c r="DN26" s="20">
        <f t="shared" ca="1" si="49"/>
        <v>0</v>
      </c>
      <c r="DO26" s="20">
        <f t="shared" ca="1" si="50"/>
        <v>1024833035039.1442</v>
      </c>
      <c r="DP26" s="20">
        <f t="shared" ca="1" si="51"/>
        <v>0</v>
      </c>
      <c r="DQ26" s="20">
        <f t="shared" ca="1" si="52"/>
        <v>0</v>
      </c>
      <c r="DR26" s="20">
        <f t="shared" ca="1" si="53"/>
        <v>0</v>
      </c>
      <c r="DS26" s="20">
        <f t="shared" ca="1" si="54"/>
        <v>0</v>
      </c>
      <c r="DT26" s="20">
        <f t="shared" ca="1" si="55"/>
        <v>0</v>
      </c>
      <c r="DU26" s="20">
        <f t="shared" ca="1" si="56"/>
        <v>0</v>
      </c>
      <c r="DV26" s="20">
        <f t="shared" ca="1" si="57"/>
        <v>0</v>
      </c>
      <c r="DW26" s="20">
        <f t="shared" ca="1" si="58"/>
        <v>0</v>
      </c>
      <c r="DX26" s="20">
        <f t="shared" ca="1" si="59"/>
        <v>0</v>
      </c>
      <c r="DY26" s="20">
        <f t="shared" ca="1" si="60"/>
        <v>0</v>
      </c>
      <c r="DZ26" s="20">
        <f t="shared" ca="1" si="61"/>
        <v>0</v>
      </c>
      <c r="EA26" s="20">
        <f t="shared" ca="1" si="62"/>
        <v>0</v>
      </c>
      <c r="EB26" s="20">
        <f t="shared" ca="1" si="63"/>
        <v>0</v>
      </c>
      <c r="EC26" s="20">
        <f t="shared" ca="1" si="64"/>
        <v>0</v>
      </c>
      <c r="ED26" s="20">
        <f t="shared" ca="1" si="65"/>
        <v>0</v>
      </c>
      <c r="EE26" s="20">
        <f t="shared" ca="1" si="66"/>
        <v>297344288878.3183</v>
      </c>
      <c r="EF26" s="20">
        <f t="shared" ca="1" si="67"/>
        <v>0</v>
      </c>
      <c r="EG26" s="20">
        <f t="shared" ca="1" si="68"/>
        <v>0</v>
      </c>
      <c r="EH26" s="20">
        <f t="shared" ca="1" si="69"/>
        <v>0</v>
      </c>
      <c r="EI26" s="20">
        <f t="shared" ca="1" si="70"/>
        <v>0</v>
      </c>
      <c r="EJ26" s="20">
        <f t="shared" ca="1" si="71"/>
        <v>1016194795041.0762</v>
      </c>
      <c r="EK26" s="20">
        <f t="shared" ca="1" si="72"/>
        <v>0</v>
      </c>
      <c r="EL26" s="20">
        <f t="shared" ca="1" si="73"/>
        <v>0</v>
      </c>
      <c r="EM26" s="20">
        <f t="shared" ca="1" si="74"/>
        <v>0</v>
      </c>
      <c r="EN26" s="20">
        <f t="shared" ca="1" si="75"/>
        <v>0</v>
      </c>
      <c r="EO26" s="20">
        <f t="shared" ca="1" si="76"/>
        <v>0</v>
      </c>
      <c r="EP26" s="20">
        <f t="shared" ca="1" si="77"/>
        <v>0</v>
      </c>
      <c r="EQ26" s="17" t="s">
        <v>108</v>
      </c>
      <c r="ER26" s="19">
        <v>18290098883123.801</v>
      </c>
      <c r="ES26" s="20">
        <f t="shared" si="6"/>
        <v>30.537380984720414</v>
      </c>
    </row>
    <row r="27" spans="1:149" ht="15">
      <c r="A27" s="21" t="s">
        <v>182</v>
      </c>
      <c r="B27" s="14">
        <f ca="1">IFERROR(__xludf.dummyfunction("QUERY('Countries markets attractivenes'!A:C, ""SELECT C WHERE A = '""&amp;A27&amp;""'"",0)"),26.6954889848974)</f>
        <v>26.695488984897398</v>
      </c>
      <c r="C27" s="14">
        <f t="shared" ca="1" si="78"/>
        <v>392377013983.20142</v>
      </c>
      <c r="D27" s="18">
        <f>Marketplace_customer!C27/Marketplace_customer!C$2</f>
        <v>0</v>
      </c>
      <c r="E27" s="18">
        <f>Marketplace_customer!D27/Marketplace_customer!D$2</f>
        <v>0</v>
      </c>
      <c r="F27" s="18">
        <f>Marketplace_customer!E27/Marketplace_customer!E$2</f>
        <v>0</v>
      </c>
      <c r="G27" s="18">
        <f>Marketplace_customer!F27/Marketplace_customer!F$2</f>
        <v>0</v>
      </c>
      <c r="H27" s="18">
        <f>Marketplace_customer!G27/Marketplace_customer!G$2</f>
        <v>0</v>
      </c>
      <c r="I27" s="18">
        <f>Marketplace_customer!H27/Marketplace_customer!H$2</f>
        <v>0</v>
      </c>
      <c r="J27" s="18">
        <f>Marketplace_customer!I27/Marketplace_customer!I$2</f>
        <v>0</v>
      </c>
      <c r="K27" s="18">
        <f>Marketplace_customer!J27/Marketplace_customer!J$2</f>
        <v>0</v>
      </c>
      <c r="L27" s="18">
        <f>Marketplace_customer!K27/Marketplace_customer!K$2</f>
        <v>0</v>
      </c>
      <c r="M27" s="18">
        <f>Marketplace_customer!L27/Marketplace_customer!L$2</f>
        <v>0</v>
      </c>
      <c r="N27" s="18">
        <f>Marketplace_customer!M27/Marketplace_customer!M$2</f>
        <v>0</v>
      </c>
      <c r="O27" s="18">
        <f>Marketplace_customer!N27/Marketplace_customer!N$2</f>
        <v>0</v>
      </c>
      <c r="P27" s="18">
        <f>Marketplace_customer!O27/Marketplace_customer!O$2</f>
        <v>1.1702127659574469E-3</v>
      </c>
      <c r="Q27" s="18">
        <f>Marketplace_customer!P27/Marketplace_customer!P$2</f>
        <v>0</v>
      </c>
      <c r="R27" s="18">
        <f>Marketplace_customer!Q27/Marketplace_customer!Q$2</f>
        <v>8.4645669291338582E-3</v>
      </c>
      <c r="S27" s="18">
        <f>Marketplace_customer!R27/Marketplace_customer!R$2</f>
        <v>0</v>
      </c>
      <c r="T27" s="18">
        <f>Marketplace_customer!S27/Marketplace_customer!S$2</f>
        <v>0</v>
      </c>
      <c r="U27" s="18">
        <f>Marketplace_customer!T27/Marketplace_customer!T$2</f>
        <v>0</v>
      </c>
      <c r="V27" s="18">
        <f>Marketplace_customer!U27/Marketplace_customer!U$2</f>
        <v>0</v>
      </c>
      <c r="W27" s="18">
        <f>Marketplace_customer!V27/Marketplace_customer!V$2</f>
        <v>0</v>
      </c>
      <c r="X27" s="18">
        <f>Marketplace_customer!W27/Marketplace_customer!W$2</f>
        <v>0</v>
      </c>
      <c r="Y27" s="18">
        <f>Marketplace_customer!X27/Marketplace_customer!X$2</f>
        <v>0</v>
      </c>
      <c r="Z27" s="18">
        <f>Marketplace_customer!Y27/Marketplace_customer!Y$2</f>
        <v>0</v>
      </c>
      <c r="AA27" s="18">
        <f>Marketplace_customer!Z27/Marketplace_customer!Z$2</f>
        <v>0</v>
      </c>
      <c r="AB27" s="18">
        <f>Marketplace_customer!AA27/Marketplace_customer!AA$2</f>
        <v>0</v>
      </c>
      <c r="AC27" s="18">
        <f>Marketplace_customer!AB27/Marketplace_customer!AB$2</f>
        <v>0</v>
      </c>
      <c r="AD27" s="18">
        <f>Marketplace_customer!AC27/Marketplace_customer!AC$2</f>
        <v>0</v>
      </c>
      <c r="AE27" s="18">
        <f>Marketplace_customer!AD27/Marketplace_customer!AD$2</f>
        <v>0</v>
      </c>
      <c r="AF27" s="18">
        <f>Marketplace_customer!AE27/Marketplace_customer!AE$2</f>
        <v>2.1282401091405187E-3</v>
      </c>
      <c r="AG27" s="18">
        <f>Marketplace_customer!AF27/Marketplace_customer!AF$2</f>
        <v>0</v>
      </c>
      <c r="AH27" s="18">
        <f>Marketplace_customer!AG27/Marketplace_customer!AG$2</f>
        <v>0</v>
      </c>
      <c r="AI27" s="18">
        <f>Marketplace_customer!AH27/Marketplace_customer!AH$2</f>
        <v>0</v>
      </c>
      <c r="AJ27" s="18">
        <f>Marketplace_customer!AI27/Marketplace_customer!AI$2</f>
        <v>0</v>
      </c>
      <c r="AK27" s="18">
        <f>Marketplace_customer!AJ27/Marketplace_customer!AJ$2</f>
        <v>0</v>
      </c>
      <c r="AL27" s="18">
        <f>Marketplace_customer!AK27/Marketplace_customer!AK$2</f>
        <v>0</v>
      </c>
      <c r="AM27" s="18">
        <f>Marketplace_customer!AL27/Marketplace_customer!AL$2</f>
        <v>0</v>
      </c>
      <c r="AN27" s="18">
        <f>Marketplace_customer!AM27/Marketplace_customer!AM$2</f>
        <v>0</v>
      </c>
      <c r="AO27" s="18">
        <f>Marketplace_customer!AN27/Marketplace_customer!AN$2</f>
        <v>0</v>
      </c>
      <c r="AP27" s="18">
        <f>Marketplace_customer!AO27/Marketplace_customer!AO$2</f>
        <v>0</v>
      </c>
      <c r="AQ27" s="18">
        <f>Marketplace_customer!AP27/Marketplace_customer!AP$2</f>
        <v>0</v>
      </c>
      <c r="AR27" s="18">
        <f>Marketplace_customer!AQ27/Marketplace_customer!AQ$2</f>
        <v>0</v>
      </c>
      <c r="AS27" s="18">
        <f>Marketplace_customer!AR27/Marketplace_customer!AR$2</f>
        <v>0</v>
      </c>
      <c r="AT27" s="18">
        <f>Marketplace_customer!AS27/Marketplace_customer!AS$2</f>
        <v>0</v>
      </c>
      <c r="AU27" s="18">
        <f>Marketplace_customer!AT27/Marketplace_customer!AT$2</f>
        <v>0</v>
      </c>
      <c r="AV27" s="18">
        <f>Marketplace_customer!AU27/Marketplace_customer!AU$2</f>
        <v>0</v>
      </c>
      <c r="AW27" s="18">
        <f>Marketplace_customer!AV27/Marketplace_customer!AV$2</f>
        <v>0</v>
      </c>
      <c r="AX27" s="18">
        <f>Marketplace_customer!AW27/Marketplace_customer!AW$2</f>
        <v>0</v>
      </c>
      <c r="AY27" s="18">
        <f>Marketplace_customer!AX27/Marketplace_customer!AX$2</f>
        <v>0</v>
      </c>
      <c r="AZ27" s="18">
        <f>Marketplace_customer!AY27/Marketplace_customer!AY$2</f>
        <v>0</v>
      </c>
      <c r="BA27" s="18">
        <f>Marketplace_customer!AZ27/Marketplace_customer!AZ$2</f>
        <v>0</v>
      </c>
      <c r="BB27" s="18">
        <f>Marketplace_customer!BA27/Marketplace_customer!BA$2</f>
        <v>0</v>
      </c>
      <c r="BC27" s="18">
        <f>Marketplace_customer!BB27/Marketplace_customer!BB$2</f>
        <v>0</v>
      </c>
      <c r="BD27" s="18">
        <f>Marketplace_customer!BC27/Marketplace_customer!BC$2</f>
        <v>0</v>
      </c>
      <c r="BE27" s="18">
        <f>Marketplace_customer!BD27/Marketplace_customer!BD$2</f>
        <v>0</v>
      </c>
      <c r="BF27" s="18">
        <f>Marketplace_customer!BE27/Marketplace_customer!BE$2</f>
        <v>0</v>
      </c>
      <c r="BG27" s="18">
        <f>Marketplace_customer!BF27/Marketplace_customer!BF$2</f>
        <v>0</v>
      </c>
      <c r="BH27" s="18">
        <f>Marketplace_customer!BG27/Marketplace_customer!BG$2</f>
        <v>0</v>
      </c>
      <c r="BI27" s="18">
        <f>Marketplace_customer!BH27/Marketplace_customer!BH$2</f>
        <v>0</v>
      </c>
      <c r="BJ27" s="18">
        <f>Marketplace_customer!BI27/Marketplace_customer!BI$2</f>
        <v>0</v>
      </c>
      <c r="BK27" s="18">
        <f>Marketplace_customer!BJ27/Marketplace_customer!BJ$2</f>
        <v>0</v>
      </c>
      <c r="BL27" s="18">
        <f>Marketplace_customer!BK27/Marketplace_customer!BK$2</f>
        <v>0</v>
      </c>
      <c r="BM27" s="18">
        <f>Marketplace_customer!BL27/Marketplace_customer!BL$2</f>
        <v>0</v>
      </c>
      <c r="BN27" s="18">
        <f>Marketplace_customer!BM27/Marketplace_customer!BM$2</f>
        <v>0</v>
      </c>
      <c r="BO27" s="18">
        <f>Marketplace_customer!BN27/Marketplace_customer!BN$2</f>
        <v>0</v>
      </c>
      <c r="BP27" s="18">
        <f>Marketplace_customer!BO27/Marketplace_customer!BO$2</f>
        <v>0</v>
      </c>
      <c r="BQ27" s="18">
        <f>Marketplace_customer!BP27/Marketplace_customer!BP$2</f>
        <v>0</v>
      </c>
      <c r="BR27" s="18">
        <f>Marketplace_customer!BQ27/Marketplace_customer!BQ$2</f>
        <v>0</v>
      </c>
      <c r="BS27" s="18">
        <f>Marketplace_customer!BR27/Marketplace_customer!BR$2</f>
        <v>0</v>
      </c>
      <c r="BT27" s="18">
        <f>Marketplace_customer!BS27/Marketplace_customer!BS$2</f>
        <v>0</v>
      </c>
      <c r="BU27" s="18">
        <f>Marketplace_customer!BT27/Marketplace_customer!BT$2</f>
        <v>0</v>
      </c>
      <c r="BV27" s="18">
        <f>Marketplace_customer!BU27/Marketplace_customer!BU$2</f>
        <v>0</v>
      </c>
      <c r="BW27" s="19"/>
      <c r="BX27" s="20">
        <f t="shared" ca="1" si="7"/>
        <v>0</v>
      </c>
      <c r="BY27" s="20">
        <f t="shared" ca="1" si="8"/>
        <v>0</v>
      </c>
      <c r="BZ27" s="20">
        <f t="shared" ca="1" si="9"/>
        <v>0</v>
      </c>
      <c r="CA27" s="20">
        <f t="shared" ca="1" si="10"/>
        <v>0</v>
      </c>
      <c r="CB27" s="20">
        <f t="shared" ca="1" si="11"/>
        <v>0</v>
      </c>
      <c r="CC27" s="20">
        <f t="shared" ca="1" si="12"/>
        <v>0</v>
      </c>
      <c r="CD27" s="20">
        <f t="shared" ca="1" si="13"/>
        <v>0</v>
      </c>
      <c r="CE27" s="20">
        <f t="shared" ca="1" si="14"/>
        <v>0</v>
      </c>
      <c r="CF27" s="20">
        <f t="shared" ca="1" si="15"/>
        <v>0</v>
      </c>
      <c r="CG27" s="20">
        <f t="shared" ca="1" si="16"/>
        <v>0</v>
      </c>
      <c r="CH27" s="20">
        <f t="shared" ca="1" si="17"/>
        <v>0</v>
      </c>
      <c r="CI27" s="20">
        <f t="shared" ca="1" si="18"/>
        <v>0</v>
      </c>
      <c r="CJ27" s="20">
        <f t="shared" ca="1" si="19"/>
        <v>459164590.83140594</v>
      </c>
      <c r="CK27" s="20">
        <f t="shared" ca="1" si="20"/>
        <v>0</v>
      </c>
      <c r="CL27" s="20">
        <f t="shared" ca="1" si="21"/>
        <v>3321301496.3145003</v>
      </c>
      <c r="CM27" s="20">
        <f t="shared" ca="1" si="22"/>
        <v>0</v>
      </c>
      <c r="CN27" s="20">
        <f t="shared" ca="1" si="23"/>
        <v>0</v>
      </c>
      <c r="CO27" s="20">
        <f t="shared" ca="1" si="24"/>
        <v>0</v>
      </c>
      <c r="CP27" s="20">
        <f t="shared" ca="1" si="25"/>
        <v>0</v>
      </c>
      <c r="CQ27" s="20">
        <f t="shared" ca="1" si="26"/>
        <v>0</v>
      </c>
      <c r="CR27" s="20">
        <f t="shared" ca="1" si="27"/>
        <v>0</v>
      </c>
      <c r="CS27" s="20">
        <f t="shared" ca="1" si="28"/>
        <v>0</v>
      </c>
      <c r="CT27" s="20">
        <f t="shared" ca="1" si="29"/>
        <v>0</v>
      </c>
      <c r="CU27" s="20">
        <f t="shared" ca="1" si="30"/>
        <v>0</v>
      </c>
      <c r="CV27" s="20">
        <f t="shared" ca="1" si="31"/>
        <v>0</v>
      </c>
      <c r="CW27" s="20">
        <f t="shared" ca="1" si="32"/>
        <v>0</v>
      </c>
      <c r="CX27" s="20">
        <f t="shared" ca="1" si="33"/>
        <v>0</v>
      </c>
      <c r="CY27" s="20">
        <f t="shared" ca="1" si="34"/>
        <v>0</v>
      </c>
      <c r="CZ27" s="20">
        <f t="shared" ca="1" si="35"/>
        <v>835072499.06383944</v>
      </c>
      <c r="DA27" s="20">
        <f t="shared" ca="1" si="36"/>
        <v>0</v>
      </c>
      <c r="DB27" s="20">
        <f t="shared" ca="1" si="37"/>
        <v>0</v>
      </c>
      <c r="DC27" s="20">
        <f t="shared" ca="1" si="38"/>
        <v>0</v>
      </c>
      <c r="DD27" s="20">
        <f t="shared" ca="1" si="39"/>
        <v>0</v>
      </c>
      <c r="DE27" s="20">
        <f t="shared" ca="1" si="40"/>
        <v>0</v>
      </c>
      <c r="DF27" s="20">
        <f t="shared" ca="1" si="41"/>
        <v>0</v>
      </c>
      <c r="DG27" s="20">
        <f t="shared" ca="1" si="42"/>
        <v>0</v>
      </c>
      <c r="DH27" s="20">
        <f t="shared" ca="1" si="43"/>
        <v>0</v>
      </c>
      <c r="DI27" s="20">
        <f t="shared" ca="1" si="44"/>
        <v>0</v>
      </c>
      <c r="DJ27" s="20">
        <f t="shared" ca="1" si="45"/>
        <v>0</v>
      </c>
      <c r="DK27" s="20">
        <f t="shared" ca="1" si="46"/>
        <v>0</v>
      </c>
      <c r="DL27" s="20">
        <f t="shared" ca="1" si="47"/>
        <v>0</v>
      </c>
      <c r="DM27" s="20">
        <f t="shared" ca="1" si="48"/>
        <v>0</v>
      </c>
      <c r="DN27" s="20">
        <f t="shared" ca="1" si="49"/>
        <v>0</v>
      </c>
      <c r="DO27" s="20">
        <f t="shared" ca="1" si="50"/>
        <v>0</v>
      </c>
      <c r="DP27" s="20">
        <f t="shared" ca="1" si="51"/>
        <v>0</v>
      </c>
      <c r="DQ27" s="20">
        <f t="shared" ca="1" si="52"/>
        <v>0</v>
      </c>
      <c r="DR27" s="20">
        <f t="shared" ca="1" si="53"/>
        <v>0</v>
      </c>
      <c r="DS27" s="20">
        <f t="shared" ca="1" si="54"/>
        <v>0</v>
      </c>
      <c r="DT27" s="20">
        <f t="shared" ca="1" si="55"/>
        <v>0</v>
      </c>
      <c r="DU27" s="20">
        <f t="shared" ca="1" si="56"/>
        <v>0</v>
      </c>
      <c r="DV27" s="20">
        <f t="shared" ca="1" si="57"/>
        <v>0</v>
      </c>
      <c r="DW27" s="20">
        <f t="shared" ca="1" si="58"/>
        <v>0</v>
      </c>
      <c r="DX27" s="20">
        <f t="shared" ca="1" si="59"/>
        <v>0</v>
      </c>
      <c r="DY27" s="20">
        <f t="shared" ca="1" si="60"/>
        <v>0</v>
      </c>
      <c r="DZ27" s="20">
        <f t="shared" ca="1" si="61"/>
        <v>0</v>
      </c>
      <c r="EA27" s="20">
        <f t="shared" ca="1" si="62"/>
        <v>0</v>
      </c>
      <c r="EB27" s="20">
        <f t="shared" ca="1" si="63"/>
        <v>0</v>
      </c>
      <c r="EC27" s="20">
        <f t="shared" ca="1" si="64"/>
        <v>0</v>
      </c>
      <c r="ED27" s="20">
        <f t="shared" ca="1" si="65"/>
        <v>0</v>
      </c>
      <c r="EE27" s="20">
        <f t="shared" ca="1" si="66"/>
        <v>0</v>
      </c>
      <c r="EF27" s="20">
        <f t="shared" ca="1" si="67"/>
        <v>0</v>
      </c>
      <c r="EG27" s="20">
        <f t="shared" ca="1" si="68"/>
        <v>0</v>
      </c>
      <c r="EH27" s="20">
        <f t="shared" ca="1" si="69"/>
        <v>0</v>
      </c>
      <c r="EI27" s="20">
        <f t="shared" ca="1" si="70"/>
        <v>0</v>
      </c>
      <c r="EJ27" s="20">
        <f t="shared" ca="1" si="71"/>
        <v>0</v>
      </c>
      <c r="EK27" s="20">
        <f t="shared" ca="1" si="72"/>
        <v>0</v>
      </c>
      <c r="EL27" s="20">
        <f t="shared" ca="1" si="73"/>
        <v>0</v>
      </c>
      <c r="EM27" s="20">
        <f t="shared" ca="1" si="74"/>
        <v>0</v>
      </c>
      <c r="EN27" s="20">
        <f t="shared" ca="1" si="75"/>
        <v>0</v>
      </c>
      <c r="EO27" s="20">
        <f t="shared" ca="1" si="76"/>
        <v>0</v>
      </c>
      <c r="EP27" s="20">
        <f t="shared" ca="1" si="77"/>
        <v>0</v>
      </c>
      <c r="EQ27" s="17" t="s">
        <v>109</v>
      </c>
      <c r="ER27" s="19">
        <v>1772411690795.8701</v>
      </c>
      <c r="ES27" s="20">
        <f t="shared" si="6"/>
        <v>28.203362272275648</v>
      </c>
    </row>
    <row r="28" spans="1:149" ht="15">
      <c r="A28" s="21" t="s">
        <v>183</v>
      </c>
      <c r="B28" s="14">
        <f ca="1">IFERROR(__xludf.dummyfunction("QUERY('Countries markets attractivenes'!A:C, ""SELECT C WHERE A = '""&amp;A28&amp;""'"",0)"),26.5681422975469)</f>
        <v>26.568142297546899</v>
      </c>
      <c r="C28" s="14">
        <f t="shared" ca="1" si="78"/>
        <v>345459861240.9577</v>
      </c>
      <c r="D28" s="18">
        <f>Marketplace_customer!C28/Marketplace_customer!C$2</f>
        <v>0</v>
      </c>
      <c r="E28" s="18">
        <f>Marketplace_customer!D28/Marketplace_customer!D$2</f>
        <v>0</v>
      </c>
      <c r="F28" s="18">
        <f>Marketplace_customer!E28/Marketplace_customer!E$2</f>
        <v>0</v>
      </c>
      <c r="G28" s="18">
        <f>Marketplace_customer!F28/Marketplace_customer!F$2</f>
        <v>0</v>
      </c>
      <c r="H28" s="18">
        <f>Marketplace_customer!G28/Marketplace_customer!G$2</f>
        <v>0</v>
      </c>
      <c r="I28" s="18">
        <f>Marketplace_customer!H28/Marketplace_customer!H$2</f>
        <v>0</v>
      </c>
      <c r="J28" s="18">
        <f>Marketplace_customer!I28/Marketplace_customer!I$2</f>
        <v>0</v>
      </c>
      <c r="K28" s="18">
        <f>Marketplace_customer!J28/Marketplace_customer!J$2</f>
        <v>0</v>
      </c>
      <c r="L28" s="18">
        <f>Marketplace_customer!K28/Marketplace_customer!K$2</f>
        <v>0</v>
      </c>
      <c r="M28" s="18">
        <f>Marketplace_customer!L28/Marketplace_customer!L$2</f>
        <v>0</v>
      </c>
      <c r="N28" s="18">
        <f>Marketplace_customer!M28/Marketplace_customer!M$2</f>
        <v>0</v>
      </c>
      <c r="O28" s="18">
        <f>Marketplace_customer!N28/Marketplace_customer!N$2</f>
        <v>0</v>
      </c>
      <c r="P28" s="18">
        <f>Marketplace_customer!O28/Marketplace_customer!O$2</f>
        <v>1.5957446808510637E-3</v>
      </c>
      <c r="Q28" s="18">
        <f>Marketplace_customer!P28/Marketplace_customer!P$2</f>
        <v>0</v>
      </c>
      <c r="R28" s="18">
        <f>Marketplace_customer!Q28/Marketplace_customer!Q$2</f>
        <v>0</v>
      </c>
      <c r="S28" s="18">
        <f>Marketplace_customer!R28/Marketplace_customer!R$2</f>
        <v>0</v>
      </c>
      <c r="T28" s="18">
        <f>Marketplace_customer!S28/Marketplace_customer!S$2</f>
        <v>0</v>
      </c>
      <c r="U28" s="18">
        <f>Marketplace_customer!T28/Marketplace_customer!T$2</f>
        <v>0</v>
      </c>
      <c r="V28" s="18">
        <f>Marketplace_customer!U28/Marketplace_customer!U$2</f>
        <v>0</v>
      </c>
      <c r="W28" s="18">
        <f>Marketplace_customer!V28/Marketplace_customer!V$2</f>
        <v>0</v>
      </c>
      <c r="X28" s="18">
        <f>Marketplace_customer!W28/Marketplace_customer!W$2</f>
        <v>0</v>
      </c>
      <c r="Y28" s="18">
        <f>Marketplace_customer!X28/Marketplace_customer!X$2</f>
        <v>0</v>
      </c>
      <c r="Z28" s="18">
        <f>Marketplace_customer!Y28/Marketplace_customer!Y$2</f>
        <v>0</v>
      </c>
      <c r="AA28" s="18">
        <f>Marketplace_customer!Z28/Marketplace_customer!Z$2</f>
        <v>0</v>
      </c>
      <c r="AB28" s="18">
        <f>Marketplace_customer!AA28/Marketplace_customer!AA$2</f>
        <v>0</v>
      </c>
      <c r="AC28" s="18">
        <f>Marketplace_customer!AB28/Marketplace_customer!AB$2</f>
        <v>0</v>
      </c>
      <c r="AD28" s="18">
        <f>Marketplace_customer!AC28/Marketplace_customer!AC$2</f>
        <v>0</v>
      </c>
      <c r="AE28" s="18">
        <f>Marketplace_customer!AD28/Marketplace_customer!AD$2</f>
        <v>0</v>
      </c>
      <c r="AF28" s="18">
        <f>Marketplace_customer!AE28/Marketplace_customer!AE$2</f>
        <v>0</v>
      </c>
      <c r="AG28" s="18">
        <f>Marketplace_customer!AF28/Marketplace_customer!AF$2</f>
        <v>0</v>
      </c>
      <c r="AH28" s="18">
        <f>Marketplace_customer!AG28/Marketplace_customer!AG$2</f>
        <v>0</v>
      </c>
      <c r="AI28" s="18">
        <f>Marketplace_customer!AH28/Marketplace_customer!AH$2</f>
        <v>0</v>
      </c>
      <c r="AJ28" s="18">
        <f>Marketplace_customer!AI28/Marketplace_customer!AI$2</f>
        <v>0</v>
      </c>
      <c r="AK28" s="18">
        <f>Marketplace_customer!AJ28/Marketplace_customer!AJ$2</f>
        <v>0</v>
      </c>
      <c r="AL28" s="18">
        <f>Marketplace_customer!AK28/Marketplace_customer!AK$2</f>
        <v>0</v>
      </c>
      <c r="AM28" s="18">
        <f>Marketplace_customer!AL28/Marketplace_customer!AL$2</f>
        <v>0</v>
      </c>
      <c r="AN28" s="18">
        <f>Marketplace_customer!AM28/Marketplace_customer!AM$2</f>
        <v>0</v>
      </c>
      <c r="AO28" s="18">
        <f>Marketplace_customer!AN28/Marketplace_customer!AN$2</f>
        <v>0</v>
      </c>
      <c r="AP28" s="18">
        <f>Marketplace_customer!AO28/Marketplace_customer!AO$2</f>
        <v>0</v>
      </c>
      <c r="AQ28" s="18">
        <f>Marketplace_customer!AP28/Marketplace_customer!AP$2</f>
        <v>0</v>
      </c>
      <c r="AR28" s="18">
        <f>Marketplace_customer!AQ28/Marketplace_customer!AQ$2</f>
        <v>0</v>
      </c>
      <c r="AS28" s="18">
        <f>Marketplace_customer!AR28/Marketplace_customer!AR$2</f>
        <v>0</v>
      </c>
      <c r="AT28" s="18">
        <f>Marketplace_customer!AS28/Marketplace_customer!AS$2</f>
        <v>0</v>
      </c>
      <c r="AU28" s="18">
        <f>Marketplace_customer!AT28/Marketplace_customer!AT$2</f>
        <v>0</v>
      </c>
      <c r="AV28" s="18">
        <f>Marketplace_customer!AU28/Marketplace_customer!AU$2</f>
        <v>0</v>
      </c>
      <c r="AW28" s="18">
        <f>Marketplace_customer!AV28/Marketplace_customer!AV$2</f>
        <v>0</v>
      </c>
      <c r="AX28" s="18">
        <f>Marketplace_customer!AW28/Marketplace_customer!AW$2</f>
        <v>0</v>
      </c>
      <c r="AY28" s="18">
        <f>Marketplace_customer!AX28/Marketplace_customer!AX$2</f>
        <v>0</v>
      </c>
      <c r="AZ28" s="18">
        <f>Marketplace_customer!AY28/Marketplace_customer!AY$2</f>
        <v>0</v>
      </c>
      <c r="BA28" s="18">
        <f>Marketplace_customer!AZ28/Marketplace_customer!AZ$2</f>
        <v>0</v>
      </c>
      <c r="BB28" s="18">
        <f>Marketplace_customer!BA28/Marketplace_customer!BA$2</f>
        <v>0</v>
      </c>
      <c r="BC28" s="18">
        <f>Marketplace_customer!BB28/Marketplace_customer!BB$2</f>
        <v>0</v>
      </c>
      <c r="BD28" s="18">
        <f>Marketplace_customer!BC28/Marketplace_customer!BC$2</f>
        <v>0</v>
      </c>
      <c r="BE28" s="18">
        <f>Marketplace_customer!BD28/Marketplace_customer!BD$2</f>
        <v>0</v>
      </c>
      <c r="BF28" s="18">
        <f>Marketplace_customer!BE28/Marketplace_customer!BE$2</f>
        <v>0</v>
      </c>
      <c r="BG28" s="18">
        <f>Marketplace_customer!BF28/Marketplace_customer!BF$2</f>
        <v>0</v>
      </c>
      <c r="BH28" s="18">
        <f>Marketplace_customer!BG28/Marketplace_customer!BG$2</f>
        <v>0</v>
      </c>
      <c r="BI28" s="18">
        <f>Marketplace_customer!BH28/Marketplace_customer!BH$2</f>
        <v>0</v>
      </c>
      <c r="BJ28" s="18">
        <f>Marketplace_customer!BI28/Marketplace_customer!BI$2</f>
        <v>0</v>
      </c>
      <c r="BK28" s="18">
        <f>Marketplace_customer!BJ28/Marketplace_customer!BJ$2</f>
        <v>0</v>
      </c>
      <c r="BL28" s="18">
        <f>Marketplace_customer!BK28/Marketplace_customer!BK$2</f>
        <v>0</v>
      </c>
      <c r="BM28" s="18">
        <f>Marketplace_customer!BL28/Marketplace_customer!BL$2</f>
        <v>0</v>
      </c>
      <c r="BN28" s="18">
        <f>Marketplace_customer!BM28/Marketplace_customer!BM$2</f>
        <v>0</v>
      </c>
      <c r="BO28" s="18">
        <f>Marketplace_customer!BN28/Marketplace_customer!BN$2</f>
        <v>0</v>
      </c>
      <c r="BP28" s="18">
        <f>Marketplace_customer!BO28/Marketplace_customer!BO$2</f>
        <v>0</v>
      </c>
      <c r="BQ28" s="18">
        <f>Marketplace_customer!BP28/Marketplace_customer!BP$2</f>
        <v>0</v>
      </c>
      <c r="BR28" s="18">
        <f>Marketplace_customer!BQ28/Marketplace_customer!BQ$2</f>
        <v>0</v>
      </c>
      <c r="BS28" s="18">
        <f>Marketplace_customer!BR28/Marketplace_customer!BR$2</f>
        <v>0</v>
      </c>
      <c r="BT28" s="18">
        <f>Marketplace_customer!BS28/Marketplace_customer!BS$2</f>
        <v>0</v>
      </c>
      <c r="BU28" s="18">
        <f>Marketplace_customer!BT28/Marketplace_customer!BT$2</f>
        <v>0</v>
      </c>
      <c r="BV28" s="18">
        <f>Marketplace_customer!BU28/Marketplace_customer!BU$2</f>
        <v>0</v>
      </c>
      <c r="BW28" s="19"/>
      <c r="BX28" s="20">
        <f t="shared" ca="1" si="7"/>
        <v>0</v>
      </c>
      <c r="BY28" s="20">
        <f t="shared" ca="1" si="8"/>
        <v>0</v>
      </c>
      <c r="BZ28" s="20">
        <f t="shared" ca="1" si="9"/>
        <v>0</v>
      </c>
      <c r="CA28" s="20">
        <f t="shared" ca="1" si="10"/>
        <v>0</v>
      </c>
      <c r="CB28" s="20">
        <f t="shared" ca="1" si="11"/>
        <v>0</v>
      </c>
      <c r="CC28" s="20">
        <f t="shared" ca="1" si="12"/>
        <v>0</v>
      </c>
      <c r="CD28" s="20">
        <f t="shared" ca="1" si="13"/>
        <v>0</v>
      </c>
      <c r="CE28" s="20">
        <f t="shared" ca="1" si="14"/>
        <v>0</v>
      </c>
      <c r="CF28" s="20">
        <f t="shared" ca="1" si="15"/>
        <v>0</v>
      </c>
      <c r="CG28" s="20">
        <f t="shared" ca="1" si="16"/>
        <v>0</v>
      </c>
      <c r="CH28" s="20">
        <f t="shared" ca="1" si="17"/>
        <v>0</v>
      </c>
      <c r="CI28" s="20">
        <f t="shared" ca="1" si="18"/>
        <v>0</v>
      </c>
      <c r="CJ28" s="20">
        <f t="shared" ca="1" si="19"/>
        <v>551265736.02280486</v>
      </c>
      <c r="CK28" s="20">
        <f t="shared" ca="1" si="20"/>
        <v>0</v>
      </c>
      <c r="CL28" s="20">
        <f t="shared" ca="1" si="21"/>
        <v>0</v>
      </c>
      <c r="CM28" s="20">
        <f t="shared" ca="1" si="22"/>
        <v>0</v>
      </c>
      <c r="CN28" s="20">
        <f t="shared" ca="1" si="23"/>
        <v>0</v>
      </c>
      <c r="CO28" s="20">
        <f t="shared" ca="1" si="24"/>
        <v>0</v>
      </c>
      <c r="CP28" s="20">
        <f t="shared" ca="1" si="25"/>
        <v>0</v>
      </c>
      <c r="CQ28" s="20">
        <f t="shared" ca="1" si="26"/>
        <v>0</v>
      </c>
      <c r="CR28" s="20">
        <f t="shared" ca="1" si="27"/>
        <v>0</v>
      </c>
      <c r="CS28" s="20">
        <f t="shared" ca="1" si="28"/>
        <v>0</v>
      </c>
      <c r="CT28" s="20">
        <f t="shared" ca="1" si="29"/>
        <v>0</v>
      </c>
      <c r="CU28" s="20">
        <f t="shared" ca="1" si="30"/>
        <v>0</v>
      </c>
      <c r="CV28" s="20">
        <f t="shared" ca="1" si="31"/>
        <v>0</v>
      </c>
      <c r="CW28" s="20">
        <f t="shared" ca="1" si="32"/>
        <v>0</v>
      </c>
      <c r="CX28" s="20">
        <f t="shared" ca="1" si="33"/>
        <v>0</v>
      </c>
      <c r="CY28" s="20">
        <f t="shared" ca="1" si="34"/>
        <v>0</v>
      </c>
      <c r="CZ28" s="20">
        <f t="shared" ca="1" si="35"/>
        <v>0</v>
      </c>
      <c r="DA28" s="20">
        <f t="shared" ca="1" si="36"/>
        <v>0</v>
      </c>
      <c r="DB28" s="20">
        <f t="shared" ca="1" si="37"/>
        <v>0</v>
      </c>
      <c r="DC28" s="20">
        <f t="shared" ca="1" si="38"/>
        <v>0</v>
      </c>
      <c r="DD28" s="20">
        <f t="shared" ca="1" si="39"/>
        <v>0</v>
      </c>
      <c r="DE28" s="20">
        <f t="shared" ca="1" si="40"/>
        <v>0</v>
      </c>
      <c r="DF28" s="20">
        <f t="shared" ca="1" si="41"/>
        <v>0</v>
      </c>
      <c r="DG28" s="20">
        <f t="shared" ca="1" si="42"/>
        <v>0</v>
      </c>
      <c r="DH28" s="20">
        <f t="shared" ca="1" si="43"/>
        <v>0</v>
      </c>
      <c r="DI28" s="20">
        <f t="shared" ca="1" si="44"/>
        <v>0</v>
      </c>
      <c r="DJ28" s="20">
        <f t="shared" ca="1" si="45"/>
        <v>0</v>
      </c>
      <c r="DK28" s="20">
        <f t="shared" ca="1" si="46"/>
        <v>0</v>
      </c>
      <c r="DL28" s="20">
        <f t="shared" ca="1" si="47"/>
        <v>0</v>
      </c>
      <c r="DM28" s="20">
        <f t="shared" ca="1" si="48"/>
        <v>0</v>
      </c>
      <c r="DN28" s="20">
        <f t="shared" ca="1" si="49"/>
        <v>0</v>
      </c>
      <c r="DO28" s="20">
        <f t="shared" ca="1" si="50"/>
        <v>0</v>
      </c>
      <c r="DP28" s="20">
        <f t="shared" ca="1" si="51"/>
        <v>0</v>
      </c>
      <c r="DQ28" s="20">
        <f t="shared" ca="1" si="52"/>
        <v>0</v>
      </c>
      <c r="DR28" s="20">
        <f t="shared" ca="1" si="53"/>
        <v>0</v>
      </c>
      <c r="DS28" s="20">
        <f t="shared" ca="1" si="54"/>
        <v>0</v>
      </c>
      <c r="DT28" s="20">
        <f t="shared" ca="1" si="55"/>
        <v>0</v>
      </c>
      <c r="DU28" s="20">
        <f t="shared" ca="1" si="56"/>
        <v>0</v>
      </c>
      <c r="DV28" s="20">
        <f t="shared" ca="1" si="57"/>
        <v>0</v>
      </c>
      <c r="DW28" s="20">
        <f t="shared" ca="1" si="58"/>
        <v>0</v>
      </c>
      <c r="DX28" s="20">
        <f t="shared" ca="1" si="59"/>
        <v>0</v>
      </c>
      <c r="DY28" s="20">
        <f t="shared" ca="1" si="60"/>
        <v>0</v>
      </c>
      <c r="DZ28" s="20">
        <f t="shared" ca="1" si="61"/>
        <v>0</v>
      </c>
      <c r="EA28" s="20">
        <f t="shared" ca="1" si="62"/>
        <v>0</v>
      </c>
      <c r="EB28" s="20">
        <f t="shared" ca="1" si="63"/>
        <v>0</v>
      </c>
      <c r="EC28" s="20">
        <f t="shared" ca="1" si="64"/>
        <v>0</v>
      </c>
      <c r="ED28" s="20">
        <f t="shared" ca="1" si="65"/>
        <v>0</v>
      </c>
      <c r="EE28" s="20">
        <f t="shared" ca="1" si="66"/>
        <v>0</v>
      </c>
      <c r="EF28" s="20">
        <f t="shared" ca="1" si="67"/>
        <v>0</v>
      </c>
      <c r="EG28" s="20">
        <f t="shared" ca="1" si="68"/>
        <v>0</v>
      </c>
      <c r="EH28" s="20">
        <f t="shared" ca="1" si="69"/>
        <v>0</v>
      </c>
      <c r="EI28" s="20">
        <f t="shared" ca="1" si="70"/>
        <v>0</v>
      </c>
      <c r="EJ28" s="20">
        <f t="shared" ca="1" si="71"/>
        <v>0</v>
      </c>
      <c r="EK28" s="20">
        <f t="shared" ca="1" si="72"/>
        <v>0</v>
      </c>
      <c r="EL28" s="20">
        <f t="shared" ca="1" si="73"/>
        <v>0</v>
      </c>
      <c r="EM28" s="20">
        <f t="shared" ca="1" si="74"/>
        <v>0</v>
      </c>
      <c r="EN28" s="20">
        <f t="shared" ca="1" si="75"/>
        <v>0</v>
      </c>
      <c r="EO28" s="20">
        <f t="shared" ca="1" si="76"/>
        <v>0</v>
      </c>
      <c r="EP28" s="20">
        <f t="shared" ca="1" si="77"/>
        <v>0</v>
      </c>
      <c r="EQ28" s="17" t="s">
        <v>110</v>
      </c>
      <c r="ER28" s="19">
        <v>16779930044249.699</v>
      </c>
      <c r="ES28" s="20">
        <f t="shared" si="6"/>
        <v>30.45120464796307</v>
      </c>
    </row>
    <row r="29" spans="1:149" ht="15">
      <c r="A29" s="21" t="s">
        <v>184</v>
      </c>
      <c r="B29" s="14">
        <f ca="1">IFERROR(__xludf.dummyfunction("QUERY('Countries markets attractivenes'!A:C, ""SELECT C WHERE A = '""&amp;A29&amp;""'"",0)"),28.1876220504987)</f>
        <v>28.1876220504987</v>
      </c>
      <c r="C29" s="14">
        <f t="shared" ca="1" si="78"/>
        <v>1744731951797.4578</v>
      </c>
      <c r="D29" s="18">
        <f>Marketplace_customer!C29/Marketplace_customer!C$2</f>
        <v>0</v>
      </c>
      <c r="E29" s="18">
        <f>Marketplace_customer!D29/Marketplace_customer!D$2</f>
        <v>0</v>
      </c>
      <c r="F29" s="18">
        <f>Marketplace_customer!E29/Marketplace_customer!E$2</f>
        <v>0</v>
      </c>
      <c r="G29" s="18">
        <f>Marketplace_customer!F29/Marketplace_customer!F$2</f>
        <v>0</v>
      </c>
      <c r="H29" s="18">
        <f>Marketplace_customer!G29/Marketplace_customer!G$2</f>
        <v>0</v>
      </c>
      <c r="I29" s="18">
        <f>Marketplace_customer!H29/Marketplace_customer!H$2</f>
        <v>0</v>
      </c>
      <c r="J29" s="18">
        <f>Marketplace_customer!I29/Marketplace_customer!I$2</f>
        <v>0</v>
      </c>
      <c r="K29" s="18">
        <f>Marketplace_customer!J29/Marketplace_customer!J$2</f>
        <v>0.99344262295081975</v>
      </c>
      <c r="L29" s="18">
        <f>Marketplace_customer!K29/Marketplace_customer!K$2</f>
        <v>0</v>
      </c>
      <c r="M29" s="18">
        <f>Marketplace_customer!L29/Marketplace_customer!L$2</f>
        <v>0</v>
      </c>
      <c r="N29" s="18">
        <f>Marketplace_customer!M29/Marketplace_customer!M$2</f>
        <v>0</v>
      </c>
      <c r="O29" s="18">
        <f>Marketplace_customer!N29/Marketplace_customer!N$2</f>
        <v>0</v>
      </c>
      <c r="P29" s="18">
        <f>Marketplace_customer!O29/Marketplace_customer!O$2</f>
        <v>7.8191489361702129E-4</v>
      </c>
      <c r="Q29" s="18">
        <f>Marketplace_customer!P29/Marketplace_customer!P$2</f>
        <v>0</v>
      </c>
      <c r="R29" s="18">
        <f>Marketplace_customer!Q29/Marketplace_customer!Q$2</f>
        <v>0</v>
      </c>
      <c r="S29" s="18">
        <f>Marketplace_customer!R29/Marketplace_customer!R$2</f>
        <v>0</v>
      </c>
      <c r="T29" s="18">
        <f>Marketplace_customer!S29/Marketplace_customer!S$2</f>
        <v>0</v>
      </c>
      <c r="U29" s="18">
        <f>Marketplace_customer!T29/Marketplace_customer!T$2</f>
        <v>0</v>
      </c>
      <c r="V29" s="18">
        <f>Marketplace_customer!U29/Marketplace_customer!U$2</f>
        <v>0</v>
      </c>
      <c r="W29" s="18">
        <f>Marketplace_customer!V29/Marketplace_customer!V$2</f>
        <v>0</v>
      </c>
      <c r="X29" s="18">
        <f>Marketplace_customer!W29/Marketplace_customer!W$2</f>
        <v>0</v>
      </c>
      <c r="Y29" s="18">
        <f>Marketplace_customer!X29/Marketplace_customer!X$2</f>
        <v>0</v>
      </c>
      <c r="Z29" s="18">
        <f>Marketplace_customer!Y29/Marketplace_customer!Y$2</f>
        <v>0</v>
      </c>
      <c r="AA29" s="18">
        <f>Marketplace_customer!Z29/Marketplace_customer!Z$2</f>
        <v>0</v>
      </c>
      <c r="AB29" s="18">
        <f>Marketplace_customer!AA29/Marketplace_customer!AA$2</f>
        <v>0</v>
      </c>
      <c r="AC29" s="18">
        <f>Marketplace_customer!AB29/Marketplace_customer!AB$2</f>
        <v>0</v>
      </c>
      <c r="AD29" s="18">
        <f>Marketplace_customer!AC29/Marketplace_customer!AC$2</f>
        <v>0</v>
      </c>
      <c r="AE29" s="18">
        <f>Marketplace_customer!AD29/Marketplace_customer!AD$2</f>
        <v>0</v>
      </c>
      <c r="AF29" s="18">
        <f>Marketplace_customer!AE29/Marketplace_customer!AE$2</f>
        <v>0</v>
      </c>
      <c r="AG29" s="18">
        <f>Marketplace_customer!AF29/Marketplace_customer!AF$2</f>
        <v>0</v>
      </c>
      <c r="AH29" s="18">
        <f>Marketplace_customer!AG29/Marketplace_customer!AG$2</f>
        <v>9.2783505154639175E-3</v>
      </c>
      <c r="AI29" s="18">
        <f>Marketplace_customer!AH29/Marketplace_customer!AH$2</f>
        <v>0</v>
      </c>
      <c r="AJ29" s="18">
        <f>Marketplace_customer!AI29/Marketplace_customer!AI$2</f>
        <v>0</v>
      </c>
      <c r="AK29" s="18">
        <f>Marketplace_customer!AJ29/Marketplace_customer!AJ$2</f>
        <v>0</v>
      </c>
      <c r="AL29" s="18">
        <f>Marketplace_customer!AK29/Marketplace_customer!AK$2</f>
        <v>0</v>
      </c>
      <c r="AM29" s="18">
        <f>Marketplace_customer!AL29/Marketplace_customer!AL$2</f>
        <v>0</v>
      </c>
      <c r="AN29" s="18">
        <f>Marketplace_customer!AM29/Marketplace_customer!AM$2</f>
        <v>0</v>
      </c>
      <c r="AO29" s="18">
        <f>Marketplace_customer!AN29/Marketplace_customer!AN$2</f>
        <v>0</v>
      </c>
      <c r="AP29" s="18">
        <f>Marketplace_customer!AO29/Marketplace_customer!AO$2</f>
        <v>0</v>
      </c>
      <c r="AQ29" s="18">
        <f>Marketplace_customer!AP29/Marketplace_customer!AP$2</f>
        <v>0</v>
      </c>
      <c r="AR29" s="18">
        <f>Marketplace_customer!AQ29/Marketplace_customer!AQ$2</f>
        <v>0</v>
      </c>
      <c r="AS29" s="18">
        <f>Marketplace_customer!AR29/Marketplace_customer!AR$2</f>
        <v>0</v>
      </c>
      <c r="AT29" s="18">
        <f>Marketplace_customer!AS29/Marketplace_customer!AS$2</f>
        <v>0</v>
      </c>
      <c r="AU29" s="18">
        <f>Marketplace_customer!AT29/Marketplace_customer!AT$2</f>
        <v>0</v>
      </c>
      <c r="AV29" s="18">
        <f>Marketplace_customer!AU29/Marketplace_customer!AU$2</f>
        <v>0</v>
      </c>
      <c r="AW29" s="18">
        <f>Marketplace_customer!AV29/Marketplace_customer!AV$2</f>
        <v>0</v>
      </c>
      <c r="AX29" s="18">
        <f>Marketplace_customer!AW29/Marketplace_customer!AW$2</f>
        <v>0</v>
      </c>
      <c r="AY29" s="18">
        <f>Marketplace_customer!AX29/Marketplace_customer!AX$2</f>
        <v>0</v>
      </c>
      <c r="AZ29" s="18">
        <f>Marketplace_customer!AY29/Marketplace_customer!AY$2</f>
        <v>0</v>
      </c>
      <c r="BA29" s="18">
        <f>Marketplace_customer!AZ29/Marketplace_customer!AZ$2</f>
        <v>0</v>
      </c>
      <c r="BB29" s="18">
        <f>Marketplace_customer!BA29/Marketplace_customer!BA$2</f>
        <v>0</v>
      </c>
      <c r="BC29" s="18">
        <f>Marketplace_customer!BB29/Marketplace_customer!BB$2</f>
        <v>0</v>
      </c>
      <c r="BD29" s="18">
        <f>Marketplace_customer!BC29/Marketplace_customer!BC$2</f>
        <v>0</v>
      </c>
      <c r="BE29" s="18">
        <f>Marketplace_customer!BD29/Marketplace_customer!BD$2</f>
        <v>0</v>
      </c>
      <c r="BF29" s="18">
        <f>Marketplace_customer!BE29/Marketplace_customer!BE$2</f>
        <v>0</v>
      </c>
      <c r="BG29" s="18">
        <f>Marketplace_customer!BF29/Marketplace_customer!BF$2</f>
        <v>0</v>
      </c>
      <c r="BH29" s="18">
        <f>Marketplace_customer!BG29/Marketplace_customer!BG$2</f>
        <v>0</v>
      </c>
      <c r="BI29" s="18">
        <f>Marketplace_customer!BH29/Marketplace_customer!BH$2</f>
        <v>0</v>
      </c>
      <c r="BJ29" s="18">
        <f>Marketplace_customer!BI29/Marketplace_customer!BI$2</f>
        <v>0</v>
      </c>
      <c r="BK29" s="18">
        <f>Marketplace_customer!BJ29/Marketplace_customer!BJ$2</f>
        <v>0</v>
      </c>
      <c r="BL29" s="18">
        <f>Marketplace_customer!BK29/Marketplace_customer!BK$2</f>
        <v>0</v>
      </c>
      <c r="BM29" s="18">
        <f>Marketplace_customer!BL29/Marketplace_customer!BL$2</f>
        <v>0</v>
      </c>
      <c r="BN29" s="18">
        <f>Marketplace_customer!BM29/Marketplace_customer!BM$2</f>
        <v>0</v>
      </c>
      <c r="BO29" s="18">
        <f>Marketplace_customer!BN29/Marketplace_customer!BN$2</f>
        <v>0</v>
      </c>
      <c r="BP29" s="18">
        <f>Marketplace_customer!BO29/Marketplace_customer!BO$2</f>
        <v>0</v>
      </c>
      <c r="BQ29" s="18">
        <f>Marketplace_customer!BP29/Marketplace_customer!BP$2</f>
        <v>0</v>
      </c>
      <c r="BR29" s="18">
        <f>Marketplace_customer!BQ29/Marketplace_customer!BQ$2</f>
        <v>0</v>
      </c>
      <c r="BS29" s="18">
        <f>Marketplace_customer!BR29/Marketplace_customer!BR$2</f>
        <v>0</v>
      </c>
      <c r="BT29" s="18">
        <f>Marketplace_customer!BS29/Marketplace_customer!BS$2</f>
        <v>0</v>
      </c>
      <c r="BU29" s="18">
        <f>Marketplace_customer!BT29/Marketplace_customer!BT$2</f>
        <v>0</v>
      </c>
      <c r="BV29" s="18">
        <f>Marketplace_customer!BU29/Marketplace_customer!BU$2</f>
        <v>0</v>
      </c>
      <c r="BW29" s="19"/>
      <c r="BX29" s="20">
        <f t="shared" ca="1" si="7"/>
        <v>0</v>
      </c>
      <c r="BY29" s="20">
        <f t="shared" ca="1" si="8"/>
        <v>0</v>
      </c>
      <c r="BZ29" s="20">
        <f t="shared" ca="1" si="9"/>
        <v>0</v>
      </c>
      <c r="CA29" s="20">
        <f t="shared" ca="1" si="10"/>
        <v>0</v>
      </c>
      <c r="CB29" s="20">
        <f t="shared" ca="1" si="11"/>
        <v>0</v>
      </c>
      <c r="CC29" s="20">
        <f t="shared" ca="1" si="12"/>
        <v>0</v>
      </c>
      <c r="CD29" s="20">
        <f t="shared" ca="1" si="13"/>
        <v>0</v>
      </c>
      <c r="CE29" s="20">
        <f t="shared" ca="1" si="14"/>
        <v>1733291086539.7698</v>
      </c>
      <c r="CF29" s="20">
        <f t="shared" ca="1" si="15"/>
        <v>0</v>
      </c>
      <c r="CG29" s="20">
        <f t="shared" ca="1" si="16"/>
        <v>0</v>
      </c>
      <c r="CH29" s="20">
        <f t="shared" ca="1" si="17"/>
        <v>0</v>
      </c>
      <c r="CI29" s="20">
        <f t="shared" ca="1" si="18"/>
        <v>0</v>
      </c>
      <c r="CJ29" s="20">
        <f t="shared" ca="1" si="19"/>
        <v>1364231898.4799271</v>
      </c>
      <c r="CK29" s="20">
        <f t="shared" ca="1" si="20"/>
        <v>0</v>
      </c>
      <c r="CL29" s="20">
        <f t="shared" ca="1" si="21"/>
        <v>0</v>
      </c>
      <c r="CM29" s="20">
        <f t="shared" ca="1" si="22"/>
        <v>0</v>
      </c>
      <c r="CN29" s="20">
        <f t="shared" ca="1" si="23"/>
        <v>0</v>
      </c>
      <c r="CO29" s="20">
        <f t="shared" ca="1" si="24"/>
        <v>0</v>
      </c>
      <c r="CP29" s="20">
        <f t="shared" ca="1" si="25"/>
        <v>0</v>
      </c>
      <c r="CQ29" s="20">
        <f t="shared" ca="1" si="26"/>
        <v>0</v>
      </c>
      <c r="CR29" s="20">
        <f t="shared" ca="1" si="27"/>
        <v>0</v>
      </c>
      <c r="CS29" s="20">
        <f t="shared" ca="1" si="28"/>
        <v>0</v>
      </c>
      <c r="CT29" s="20">
        <f t="shared" ca="1" si="29"/>
        <v>0</v>
      </c>
      <c r="CU29" s="20">
        <f t="shared" ca="1" si="30"/>
        <v>0</v>
      </c>
      <c r="CV29" s="20">
        <f t="shared" ca="1" si="31"/>
        <v>0</v>
      </c>
      <c r="CW29" s="20">
        <f t="shared" ca="1" si="32"/>
        <v>0</v>
      </c>
      <c r="CX29" s="20">
        <f t="shared" ca="1" si="33"/>
        <v>0</v>
      </c>
      <c r="CY29" s="20">
        <f t="shared" ca="1" si="34"/>
        <v>0</v>
      </c>
      <c r="CZ29" s="20">
        <f t="shared" ca="1" si="35"/>
        <v>0</v>
      </c>
      <c r="DA29" s="20">
        <f t="shared" ca="1" si="36"/>
        <v>0</v>
      </c>
      <c r="DB29" s="20">
        <f t="shared" ca="1" si="37"/>
        <v>16188234604.306309</v>
      </c>
      <c r="DC29" s="20">
        <f t="shared" ca="1" si="38"/>
        <v>0</v>
      </c>
      <c r="DD29" s="20">
        <f t="shared" ca="1" si="39"/>
        <v>0</v>
      </c>
      <c r="DE29" s="20">
        <f t="shared" ca="1" si="40"/>
        <v>0</v>
      </c>
      <c r="DF29" s="20">
        <f t="shared" ca="1" si="41"/>
        <v>0</v>
      </c>
      <c r="DG29" s="20">
        <f t="shared" ca="1" si="42"/>
        <v>0</v>
      </c>
      <c r="DH29" s="20">
        <f t="shared" ca="1" si="43"/>
        <v>0</v>
      </c>
      <c r="DI29" s="20">
        <f t="shared" ca="1" si="44"/>
        <v>0</v>
      </c>
      <c r="DJ29" s="20">
        <f t="shared" ca="1" si="45"/>
        <v>0</v>
      </c>
      <c r="DK29" s="20">
        <f t="shared" ca="1" si="46"/>
        <v>0</v>
      </c>
      <c r="DL29" s="20">
        <f t="shared" ca="1" si="47"/>
        <v>0</v>
      </c>
      <c r="DM29" s="20">
        <f t="shared" ca="1" si="48"/>
        <v>0</v>
      </c>
      <c r="DN29" s="20">
        <f t="shared" ca="1" si="49"/>
        <v>0</v>
      </c>
      <c r="DO29" s="20">
        <f t="shared" ca="1" si="50"/>
        <v>0</v>
      </c>
      <c r="DP29" s="20">
        <f t="shared" ca="1" si="51"/>
        <v>0</v>
      </c>
      <c r="DQ29" s="20">
        <f t="shared" ca="1" si="52"/>
        <v>0</v>
      </c>
      <c r="DR29" s="20">
        <f t="shared" ca="1" si="53"/>
        <v>0</v>
      </c>
      <c r="DS29" s="20">
        <f t="shared" ca="1" si="54"/>
        <v>0</v>
      </c>
      <c r="DT29" s="20">
        <f t="shared" ca="1" si="55"/>
        <v>0</v>
      </c>
      <c r="DU29" s="20">
        <f t="shared" ca="1" si="56"/>
        <v>0</v>
      </c>
      <c r="DV29" s="20">
        <f t="shared" ca="1" si="57"/>
        <v>0</v>
      </c>
      <c r="DW29" s="20">
        <f t="shared" ca="1" si="58"/>
        <v>0</v>
      </c>
      <c r="DX29" s="20">
        <f t="shared" ca="1" si="59"/>
        <v>0</v>
      </c>
      <c r="DY29" s="20">
        <f t="shared" ca="1" si="60"/>
        <v>0</v>
      </c>
      <c r="DZ29" s="20">
        <f t="shared" ca="1" si="61"/>
        <v>0</v>
      </c>
      <c r="EA29" s="20">
        <f t="shared" ca="1" si="62"/>
        <v>0</v>
      </c>
      <c r="EB29" s="20">
        <f t="shared" ca="1" si="63"/>
        <v>0</v>
      </c>
      <c r="EC29" s="20">
        <f t="shared" ca="1" si="64"/>
        <v>0</v>
      </c>
      <c r="ED29" s="20">
        <f t="shared" ca="1" si="65"/>
        <v>0</v>
      </c>
      <c r="EE29" s="20">
        <f t="shared" ca="1" si="66"/>
        <v>0</v>
      </c>
      <c r="EF29" s="20">
        <f t="shared" ca="1" si="67"/>
        <v>0</v>
      </c>
      <c r="EG29" s="20">
        <f t="shared" ca="1" si="68"/>
        <v>0</v>
      </c>
      <c r="EH29" s="20">
        <f t="shared" ca="1" si="69"/>
        <v>0</v>
      </c>
      <c r="EI29" s="20">
        <f t="shared" ca="1" si="70"/>
        <v>0</v>
      </c>
      <c r="EJ29" s="20">
        <f t="shared" ca="1" si="71"/>
        <v>0</v>
      </c>
      <c r="EK29" s="20">
        <f t="shared" ca="1" si="72"/>
        <v>0</v>
      </c>
      <c r="EL29" s="20">
        <f t="shared" ca="1" si="73"/>
        <v>0</v>
      </c>
      <c r="EM29" s="20">
        <f t="shared" ca="1" si="74"/>
        <v>0</v>
      </c>
      <c r="EN29" s="20">
        <f t="shared" ca="1" si="75"/>
        <v>0</v>
      </c>
      <c r="EO29" s="20">
        <f t="shared" ca="1" si="76"/>
        <v>0</v>
      </c>
      <c r="EP29" s="20">
        <f t="shared" ca="1" si="77"/>
        <v>0</v>
      </c>
      <c r="EQ29" s="17" t="s">
        <v>111</v>
      </c>
      <c r="ER29" s="19">
        <v>3368581334503.79</v>
      </c>
      <c r="ES29" s="20">
        <f t="shared" si="6"/>
        <v>28.845512802670523</v>
      </c>
    </row>
    <row r="30" spans="1:149" ht="15">
      <c r="A30" s="21" t="s">
        <v>185</v>
      </c>
      <c r="B30" s="14">
        <f ca="1">IFERROR(__xludf.dummyfunction("QUERY('Countries markets attractivenes'!A:C, ""SELECT C WHERE A = '""&amp;A30&amp;""'"",0)"),29.108242549273)</f>
        <v>29.108242549273001</v>
      </c>
      <c r="C30" s="14">
        <f t="shared" ca="1" si="78"/>
        <v>4380756530555.6304</v>
      </c>
      <c r="D30" s="18">
        <f>Marketplace_customer!C30/Marketplace_customer!C$2</f>
        <v>0</v>
      </c>
      <c r="E30" s="18">
        <f>Marketplace_customer!D30/Marketplace_customer!D$2</f>
        <v>0</v>
      </c>
      <c r="F30" s="18">
        <f>Marketplace_customer!E30/Marketplace_customer!E$2</f>
        <v>0</v>
      </c>
      <c r="G30" s="18">
        <f>Marketplace_customer!F30/Marketplace_customer!F$2</f>
        <v>0</v>
      </c>
      <c r="H30" s="18">
        <f>Marketplace_customer!G30/Marketplace_customer!G$2</f>
        <v>0</v>
      </c>
      <c r="I30" s="18">
        <f>Marketplace_customer!H30/Marketplace_customer!H$2</f>
        <v>0</v>
      </c>
      <c r="J30" s="18">
        <f>Marketplace_customer!I30/Marketplace_customer!I$2</f>
        <v>0</v>
      </c>
      <c r="K30" s="18">
        <f>Marketplace_customer!J30/Marketplace_customer!J$2</f>
        <v>0</v>
      </c>
      <c r="L30" s="18">
        <f>Marketplace_customer!K30/Marketplace_customer!K$2</f>
        <v>0.99358426005132594</v>
      </c>
      <c r="M30" s="18">
        <f>Marketplace_customer!L30/Marketplace_customer!L$2</f>
        <v>0</v>
      </c>
      <c r="N30" s="18">
        <f>Marketplace_customer!M30/Marketplace_customer!M$2</f>
        <v>0</v>
      </c>
      <c r="O30" s="18">
        <f>Marketplace_customer!N30/Marketplace_customer!N$2</f>
        <v>0</v>
      </c>
      <c r="P30" s="18">
        <f>Marketplace_customer!O30/Marketplace_customer!O$2</f>
        <v>7.2765957446808516E-4</v>
      </c>
      <c r="Q30" s="18">
        <f>Marketplace_customer!P30/Marketplace_customer!P$2</f>
        <v>0</v>
      </c>
      <c r="R30" s="18">
        <f>Marketplace_customer!Q30/Marketplace_customer!Q$2</f>
        <v>0</v>
      </c>
      <c r="S30" s="18">
        <f>Marketplace_customer!R30/Marketplace_customer!R$2</f>
        <v>0</v>
      </c>
      <c r="T30" s="18">
        <f>Marketplace_customer!S30/Marketplace_customer!S$2</f>
        <v>0</v>
      </c>
      <c r="U30" s="18">
        <f>Marketplace_customer!T30/Marketplace_customer!T$2</f>
        <v>0</v>
      </c>
      <c r="V30" s="18">
        <f>Marketplace_customer!U30/Marketplace_customer!U$2</f>
        <v>0</v>
      </c>
      <c r="W30" s="18">
        <f>Marketplace_customer!V30/Marketplace_customer!V$2</f>
        <v>0</v>
      </c>
      <c r="X30" s="18">
        <f>Marketplace_customer!W30/Marketplace_customer!W$2</f>
        <v>0</v>
      </c>
      <c r="Y30" s="18">
        <f>Marketplace_customer!X30/Marketplace_customer!X$2</f>
        <v>0</v>
      </c>
      <c r="Z30" s="18">
        <f>Marketplace_customer!Y30/Marketplace_customer!Y$2</f>
        <v>0</v>
      </c>
      <c r="AA30" s="18">
        <f>Marketplace_customer!Z30/Marketplace_customer!Z$2</f>
        <v>0</v>
      </c>
      <c r="AB30" s="18">
        <f>Marketplace_customer!AA30/Marketplace_customer!AA$2</f>
        <v>0</v>
      </c>
      <c r="AC30" s="18">
        <f>Marketplace_customer!AB30/Marketplace_customer!AB$2</f>
        <v>0</v>
      </c>
      <c r="AD30" s="18">
        <f>Marketplace_customer!AC30/Marketplace_customer!AC$2</f>
        <v>0</v>
      </c>
      <c r="AE30" s="18">
        <f>Marketplace_customer!AD30/Marketplace_customer!AD$2</f>
        <v>0</v>
      </c>
      <c r="AF30" s="18">
        <f>Marketplace_customer!AE30/Marketplace_customer!AE$2</f>
        <v>0</v>
      </c>
      <c r="AG30" s="18">
        <f>Marketplace_customer!AF30/Marketplace_customer!AF$2</f>
        <v>0</v>
      </c>
      <c r="AH30" s="18">
        <f>Marketplace_customer!AG30/Marketplace_customer!AG$2</f>
        <v>0</v>
      </c>
      <c r="AI30" s="18">
        <f>Marketplace_customer!AH30/Marketplace_customer!AH$2</f>
        <v>0</v>
      </c>
      <c r="AJ30" s="18">
        <f>Marketplace_customer!AI30/Marketplace_customer!AI$2</f>
        <v>0</v>
      </c>
      <c r="AK30" s="18">
        <f>Marketplace_customer!AJ30/Marketplace_customer!AJ$2</f>
        <v>0</v>
      </c>
      <c r="AL30" s="18">
        <f>Marketplace_customer!AK30/Marketplace_customer!AK$2</f>
        <v>0</v>
      </c>
      <c r="AM30" s="18">
        <f>Marketplace_customer!AL30/Marketplace_customer!AL$2</f>
        <v>0</v>
      </c>
      <c r="AN30" s="18">
        <f>Marketplace_customer!AM30/Marketplace_customer!AM$2</f>
        <v>0</v>
      </c>
      <c r="AO30" s="18">
        <f>Marketplace_customer!AN30/Marketplace_customer!AN$2</f>
        <v>0</v>
      </c>
      <c r="AP30" s="18">
        <f>Marketplace_customer!AO30/Marketplace_customer!AO$2</f>
        <v>0</v>
      </c>
      <c r="AQ30" s="18">
        <f>Marketplace_customer!AP30/Marketplace_customer!AP$2</f>
        <v>0</v>
      </c>
      <c r="AR30" s="18">
        <f>Marketplace_customer!AQ30/Marketplace_customer!AQ$2</f>
        <v>0</v>
      </c>
      <c r="AS30" s="18">
        <f>Marketplace_customer!AR30/Marketplace_customer!AR$2</f>
        <v>0</v>
      </c>
      <c r="AT30" s="18">
        <f>Marketplace_customer!AS30/Marketplace_customer!AS$2</f>
        <v>0</v>
      </c>
      <c r="AU30" s="18">
        <f>Marketplace_customer!AT30/Marketplace_customer!AT$2</f>
        <v>0</v>
      </c>
      <c r="AV30" s="18">
        <f>Marketplace_customer!AU30/Marketplace_customer!AU$2</f>
        <v>0</v>
      </c>
      <c r="AW30" s="18">
        <f>Marketplace_customer!AV30/Marketplace_customer!AV$2</f>
        <v>0</v>
      </c>
      <c r="AX30" s="18">
        <f>Marketplace_customer!AW30/Marketplace_customer!AW$2</f>
        <v>0</v>
      </c>
      <c r="AY30" s="18">
        <f>Marketplace_customer!AX30/Marketplace_customer!AX$2</f>
        <v>0</v>
      </c>
      <c r="AZ30" s="18">
        <f>Marketplace_customer!AY30/Marketplace_customer!AY$2</f>
        <v>0</v>
      </c>
      <c r="BA30" s="18">
        <f>Marketplace_customer!AZ30/Marketplace_customer!AZ$2</f>
        <v>0</v>
      </c>
      <c r="BB30" s="18">
        <f>Marketplace_customer!BA30/Marketplace_customer!BA$2</f>
        <v>0</v>
      </c>
      <c r="BC30" s="18">
        <f>Marketplace_customer!BB30/Marketplace_customer!BB$2</f>
        <v>0</v>
      </c>
      <c r="BD30" s="18">
        <f>Marketplace_customer!BC30/Marketplace_customer!BC$2</f>
        <v>0</v>
      </c>
      <c r="BE30" s="18">
        <f>Marketplace_customer!BD30/Marketplace_customer!BD$2</f>
        <v>0</v>
      </c>
      <c r="BF30" s="18">
        <f>Marketplace_customer!BE30/Marketplace_customer!BE$2</f>
        <v>0</v>
      </c>
      <c r="BG30" s="18">
        <f>Marketplace_customer!BF30/Marketplace_customer!BF$2</f>
        <v>0</v>
      </c>
      <c r="BH30" s="18">
        <f>Marketplace_customer!BG30/Marketplace_customer!BG$2</f>
        <v>0</v>
      </c>
      <c r="BI30" s="18">
        <f>Marketplace_customer!BH30/Marketplace_customer!BH$2</f>
        <v>0.73948869638706949</v>
      </c>
      <c r="BJ30" s="18">
        <f>Marketplace_customer!BI30/Marketplace_customer!BI$2</f>
        <v>0</v>
      </c>
      <c r="BK30" s="18">
        <f>Marketplace_customer!BJ30/Marketplace_customer!BJ$2</f>
        <v>0</v>
      </c>
      <c r="BL30" s="18">
        <f>Marketplace_customer!BK30/Marketplace_customer!BK$2</f>
        <v>0</v>
      </c>
      <c r="BM30" s="18">
        <f>Marketplace_customer!BL30/Marketplace_customer!BL$2</f>
        <v>0</v>
      </c>
      <c r="BN30" s="18">
        <f>Marketplace_customer!BM30/Marketplace_customer!BM$2</f>
        <v>0</v>
      </c>
      <c r="BO30" s="18">
        <f>Marketplace_customer!BN30/Marketplace_customer!BN$2</f>
        <v>0</v>
      </c>
      <c r="BP30" s="18">
        <f>Marketplace_customer!BO30/Marketplace_customer!BO$2</f>
        <v>0</v>
      </c>
      <c r="BQ30" s="18">
        <f>Marketplace_customer!BP30/Marketplace_customer!BP$2</f>
        <v>0</v>
      </c>
      <c r="BR30" s="18">
        <f>Marketplace_customer!BQ30/Marketplace_customer!BQ$2</f>
        <v>0</v>
      </c>
      <c r="BS30" s="18">
        <f>Marketplace_customer!BR30/Marketplace_customer!BR$2</f>
        <v>0</v>
      </c>
      <c r="BT30" s="18">
        <f>Marketplace_customer!BS30/Marketplace_customer!BS$2</f>
        <v>0</v>
      </c>
      <c r="BU30" s="18">
        <f>Marketplace_customer!BT30/Marketplace_customer!BT$2</f>
        <v>0</v>
      </c>
      <c r="BV30" s="18">
        <f>Marketplace_customer!BU30/Marketplace_customer!BU$2</f>
        <v>0</v>
      </c>
      <c r="BW30" s="19"/>
      <c r="BX30" s="20">
        <f t="shared" ca="1" si="7"/>
        <v>0</v>
      </c>
      <c r="BY30" s="20">
        <f t="shared" ca="1" si="8"/>
        <v>0</v>
      </c>
      <c r="BZ30" s="20">
        <f t="shared" ca="1" si="9"/>
        <v>0</v>
      </c>
      <c r="CA30" s="20">
        <f t="shared" ca="1" si="10"/>
        <v>0</v>
      </c>
      <c r="CB30" s="20">
        <f t="shared" ca="1" si="11"/>
        <v>0</v>
      </c>
      <c r="CC30" s="20">
        <f t="shared" ca="1" si="12"/>
        <v>0</v>
      </c>
      <c r="CD30" s="20">
        <f t="shared" ca="1" si="13"/>
        <v>0</v>
      </c>
      <c r="CE30" s="20">
        <f t="shared" ca="1" si="14"/>
        <v>0</v>
      </c>
      <c r="CF30" s="20">
        <f t="shared" ca="1" si="15"/>
        <v>4352650735877.1299</v>
      </c>
      <c r="CG30" s="20">
        <f t="shared" ca="1" si="16"/>
        <v>0</v>
      </c>
      <c r="CH30" s="20">
        <f t="shared" ca="1" si="17"/>
        <v>0</v>
      </c>
      <c r="CI30" s="20">
        <f t="shared" ca="1" si="18"/>
        <v>0</v>
      </c>
      <c r="CJ30" s="20">
        <f t="shared" ca="1" si="19"/>
        <v>3187699432.872395</v>
      </c>
      <c r="CK30" s="20">
        <f t="shared" ca="1" si="20"/>
        <v>0</v>
      </c>
      <c r="CL30" s="20">
        <f t="shared" ca="1" si="21"/>
        <v>0</v>
      </c>
      <c r="CM30" s="20">
        <f t="shared" ca="1" si="22"/>
        <v>0</v>
      </c>
      <c r="CN30" s="20">
        <f t="shared" ca="1" si="23"/>
        <v>0</v>
      </c>
      <c r="CO30" s="20">
        <f t="shared" ca="1" si="24"/>
        <v>0</v>
      </c>
      <c r="CP30" s="20">
        <f t="shared" ca="1" si="25"/>
        <v>0</v>
      </c>
      <c r="CQ30" s="20">
        <f t="shared" ca="1" si="26"/>
        <v>0</v>
      </c>
      <c r="CR30" s="20">
        <f t="shared" ca="1" si="27"/>
        <v>0</v>
      </c>
      <c r="CS30" s="20">
        <f t="shared" ca="1" si="28"/>
        <v>0</v>
      </c>
      <c r="CT30" s="20">
        <f t="shared" ca="1" si="29"/>
        <v>0</v>
      </c>
      <c r="CU30" s="20">
        <f t="shared" ca="1" si="30"/>
        <v>0</v>
      </c>
      <c r="CV30" s="20">
        <f t="shared" ca="1" si="31"/>
        <v>0</v>
      </c>
      <c r="CW30" s="20">
        <f t="shared" ca="1" si="32"/>
        <v>0</v>
      </c>
      <c r="CX30" s="20">
        <f t="shared" ca="1" si="33"/>
        <v>0</v>
      </c>
      <c r="CY30" s="20">
        <f t="shared" ca="1" si="34"/>
        <v>0</v>
      </c>
      <c r="CZ30" s="20">
        <f t="shared" ca="1" si="35"/>
        <v>0</v>
      </c>
      <c r="DA30" s="20">
        <f t="shared" ca="1" si="36"/>
        <v>0</v>
      </c>
      <c r="DB30" s="20">
        <f t="shared" ca="1" si="37"/>
        <v>0</v>
      </c>
      <c r="DC30" s="20">
        <f t="shared" ca="1" si="38"/>
        <v>0</v>
      </c>
      <c r="DD30" s="20">
        <f t="shared" ca="1" si="39"/>
        <v>0</v>
      </c>
      <c r="DE30" s="20">
        <f t="shared" ca="1" si="40"/>
        <v>0</v>
      </c>
      <c r="DF30" s="20">
        <f t="shared" ca="1" si="41"/>
        <v>0</v>
      </c>
      <c r="DG30" s="20">
        <f t="shared" ca="1" si="42"/>
        <v>0</v>
      </c>
      <c r="DH30" s="20">
        <f t="shared" ca="1" si="43"/>
        <v>0</v>
      </c>
      <c r="DI30" s="20">
        <f t="shared" ca="1" si="44"/>
        <v>0</v>
      </c>
      <c r="DJ30" s="20">
        <f t="shared" ca="1" si="45"/>
        <v>0</v>
      </c>
      <c r="DK30" s="20">
        <f t="shared" ca="1" si="46"/>
        <v>0</v>
      </c>
      <c r="DL30" s="20">
        <f t="shared" ca="1" si="47"/>
        <v>0</v>
      </c>
      <c r="DM30" s="20">
        <f t="shared" ca="1" si="48"/>
        <v>0</v>
      </c>
      <c r="DN30" s="20">
        <f t="shared" ca="1" si="49"/>
        <v>0</v>
      </c>
      <c r="DO30" s="20">
        <f t="shared" ca="1" si="50"/>
        <v>0</v>
      </c>
      <c r="DP30" s="20">
        <f t="shared" ca="1" si="51"/>
        <v>0</v>
      </c>
      <c r="DQ30" s="20">
        <f t="shared" ca="1" si="52"/>
        <v>0</v>
      </c>
      <c r="DR30" s="20">
        <f t="shared" ca="1" si="53"/>
        <v>0</v>
      </c>
      <c r="DS30" s="20">
        <f t="shared" ca="1" si="54"/>
        <v>0</v>
      </c>
      <c r="DT30" s="20">
        <f t="shared" ca="1" si="55"/>
        <v>0</v>
      </c>
      <c r="DU30" s="20">
        <f t="shared" ca="1" si="56"/>
        <v>0</v>
      </c>
      <c r="DV30" s="20">
        <f t="shared" ca="1" si="57"/>
        <v>0</v>
      </c>
      <c r="DW30" s="20">
        <f t="shared" ca="1" si="58"/>
        <v>0</v>
      </c>
      <c r="DX30" s="20">
        <f t="shared" ca="1" si="59"/>
        <v>0</v>
      </c>
      <c r="DY30" s="20">
        <f t="shared" ca="1" si="60"/>
        <v>0</v>
      </c>
      <c r="DZ30" s="20">
        <f t="shared" ca="1" si="61"/>
        <v>0</v>
      </c>
      <c r="EA30" s="20">
        <f t="shared" ca="1" si="62"/>
        <v>0</v>
      </c>
      <c r="EB30" s="20">
        <f t="shared" ca="1" si="63"/>
        <v>0</v>
      </c>
      <c r="EC30" s="20">
        <f t="shared" ca="1" si="64"/>
        <v>3239519935969.7246</v>
      </c>
      <c r="ED30" s="20">
        <f t="shared" ca="1" si="65"/>
        <v>0</v>
      </c>
      <c r="EE30" s="20">
        <f t="shared" ca="1" si="66"/>
        <v>0</v>
      </c>
      <c r="EF30" s="20">
        <f t="shared" ca="1" si="67"/>
        <v>0</v>
      </c>
      <c r="EG30" s="20">
        <f t="shared" ca="1" si="68"/>
        <v>0</v>
      </c>
      <c r="EH30" s="20">
        <f t="shared" ca="1" si="69"/>
        <v>0</v>
      </c>
      <c r="EI30" s="20">
        <f t="shared" ca="1" si="70"/>
        <v>0</v>
      </c>
      <c r="EJ30" s="20">
        <f t="shared" ca="1" si="71"/>
        <v>0</v>
      </c>
      <c r="EK30" s="20">
        <f t="shared" ca="1" si="72"/>
        <v>0</v>
      </c>
      <c r="EL30" s="20">
        <f t="shared" ca="1" si="73"/>
        <v>0</v>
      </c>
      <c r="EM30" s="20">
        <f t="shared" ca="1" si="74"/>
        <v>0</v>
      </c>
      <c r="EN30" s="20">
        <f t="shared" ca="1" si="75"/>
        <v>0</v>
      </c>
      <c r="EO30" s="20">
        <f t="shared" ca="1" si="76"/>
        <v>0</v>
      </c>
      <c r="EP30" s="20">
        <f t="shared" ca="1" si="77"/>
        <v>0</v>
      </c>
      <c r="EQ30" s="17" t="s">
        <v>112</v>
      </c>
      <c r="ER30" s="19">
        <v>2893075688838.5698</v>
      </c>
      <c r="ES30" s="20">
        <f t="shared" si="6"/>
        <v>28.69334130433128</v>
      </c>
    </row>
    <row r="31" spans="1:149" ht="15">
      <c r="A31" s="21" t="s">
        <v>186</v>
      </c>
      <c r="B31" s="14">
        <f ca="1">IFERROR(__xludf.dummyfunction("QUERY('Countries markets attractivenes'!A:C, ""SELECT C WHERE A = '""&amp;A31&amp;""'"",0)"),28.1202144395674)</f>
        <v>28.120214439567398</v>
      </c>
      <c r="C31" s="14">
        <f t="shared" ca="1" si="78"/>
        <v>1630999999999.9563</v>
      </c>
      <c r="D31" s="18">
        <f>Marketplace_customer!C31/Marketplace_customer!C$2</f>
        <v>0</v>
      </c>
      <c r="E31" s="18">
        <f>Marketplace_customer!D31/Marketplace_customer!D$2</f>
        <v>0</v>
      </c>
      <c r="F31" s="18">
        <f>Marketplace_customer!E31/Marketplace_customer!E$2</f>
        <v>0</v>
      </c>
      <c r="G31" s="18">
        <f>Marketplace_customer!F31/Marketplace_customer!F$2</f>
        <v>0</v>
      </c>
      <c r="H31" s="18">
        <f>Marketplace_customer!G31/Marketplace_customer!G$2</f>
        <v>0</v>
      </c>
      <c r="I31" s="18">
        <f>Marketplace_customer!H31/Marketplace_customer!H$2</f>
        <v>0</v>
      </c>
      <c r="J31" s="18">
        <f>Marketplace_customer!I31/Marketplace_customer!I$2</f>
        <v>0</v>
      </c>
      <c r="K31" s="18">
        <f>Marketplace_customer!J31/Marketplace_customer!J$2</f>
        <v>0</v>
      </c>
      <c r="L31" s="18">
        <f>Marketplace_customer!K31/Marketplace_customer!K$2</f>
        <v>0</v>
      </c>
      <c r="M31" s="18">
        <f>Marketplace_customer!L31/Marketplace_customer!L$2</f>
        <v>0</v>
      </c>
      <c r="N31" s="18">
        <f>Marketplace_customer!M31/Marketplace_customer!M$2</f>
        <v>0</v>
      </c>
      <c r="O31" s="18">
        <f>Marketplace_customer!N31/Marketplace_customer!N$2</f>
        <v>0</v>
      </c>
      <c r="P31" s="18">
        <f>Marketplace_customer!O31/Marketplace_customer!O$2</f>
        <v>1.276595744680851E-3</v>
      </c>
      <c r="Q31" s="18">
        <f>Marketplace_customer!P31/Marketplace_customer!P$2</f>
        <v>0</v>
      </c>
      <c r="R31" s="18">
        <f>Marketplace_customer!Q31/Marketplace_customer!Q$2</f>
        <v>0</v>
      </c>
      <c r="S31" s="18">
        <f>Marketplace_customer!R31/Marketplace_customer!R$2</f>
        <v>0</v>
      </c>
      <c r="T31" s="18">
        <f>Marketplace_customer!S31/Marketplace_customer!S$2</f>
        <v>0</v>
      </c>
      <c r="U31" s="18">
        <f>Marketplace_customer!T31/Marketplace_customer!T$2</f>
        <v>0</v>
      </c>
      <c r="V31" s="18">
        <f>Marketplace_customer!U31/Marketplace_customer!U$2</f>
        <v>0</v>
      </c>
      <c r="W31" s="18">
        <f>Marketplace_customer!V31/Marketplace_customer!V$2</f>
        <v>0</v>
      </c>
      <c r="X31" s="18">
        <f>Marketplace_customer!W31/Marketplace_customer!W$2</f>
        <v>0</v>
      </c>
      <c r="Y31" s="18">
        <f>Marketplace_customer!X31/Marketplace_customer!X$2</f>
        <v>0</v>
      </c>
      <c r="Z31" s="18">
        <f>Marketplace_customer!Y31/Marketplace_customer!Y$2</f>
        <v>0</v>
      </c>
      <c r="AA31" s="18">
        <f>Marketplace_customer!Z31/Marketplace_customer!Z$2</f>
        <v>0</v>
      </c>
      <c r="AB31" s="18">
        <f>Marketplace_customer!AA31/Marketplace_customer!AA$2</f>
        <v>0</v>
      </c>
      <c r="AC31" s="18">
        <f>Marketplace_customer!AB31/Marketplace_customer!AB$2</f>
        <v>0</v>
      </c>
      <c r="AD31" s="18">
        <f>Marketplace_customer!AC31/Marketplace_customer!AC$2</f>
        <v>0</v>
      </c>
      <c r="AE31" s="18">
        <f>Marketplace_customer!AD31/Marketplace_customer!AD$2</f>
        <v>0</v>
      </c>
      <c r="AF31" s="18">
        <f>Marketplace_customer!AE31/Marketplace_customer!AE$2</f>
        <v>0</v>
      </c>
      <c r="AG31" s="18">
        <f>Marketplace_customer!AF31/Marketplace_customer!AF$2</f>
        <v>0</v>
      </c>
      <c r="AH31" s="18">
        <f>Marketplace_customer!AG31/Marketplace_customer!AG$2</f>
        <v>0</v>
      </c>
      <c r="AI31" s="18">
        <f>Marketplace_customer!AH31/Marketplace_customer!AH$2</f>
        <v>0</v>
      </c>
      <c r="AJ31" s="18">
        <f>Marketplace_customer!AI31/Marketplace_customer!AI$2</f>
        <v>0</v>
      </c>
      <c r="AK31" s="18">
        <f>Marketplace_customer!AJ31/Marketplace_customer!AJ$2</f>
        <v>0</v>
      </c>
      <c r="AL31" s="18">
        <f>Marketplace_customer!AK31/Marketplace_customer!AK$2</f>
        <v>0</v>
      </c>
      <c r="AM31" s="18">
        <f>Marketplace_customer!AL31/Marketplace_customer!AL$2</f>
        <v>0</v>
      </c>
      <c r="AN31" s="18">
        <f>Marketplace_customer!AM31/Marketplace_customer!AM$2</f>
        <v>0</v>
      </c>
      <c r="AO31" s="18">
        <f>Marketplace_customer!AN31/Marketplace_customer!AN$2</f>
        <v>0</v>
      </c>
      <c r="AP31" s="18">
        <f>Marketplace_customer!AO31/Marketplace_customer!AO$2</f>
        <v>0</v>
      </c>
      <c r="AQ31" s="18">
        <f>Marketplace_customer!AP31/Marketplace_customer!AP$2</f>
        <v>0</v>
      </c>
      <c r="AR31" s="18">
        <f>Marketplace_customer!AQ31/Marketplace_customer!AQ$2</f>
        <v>0</v>
      </c>
      <c r="AS31" s="18">
        <f>Marketplace_customer!AR31/Marketplace_customer!AR$2</f>
        <v>0</v>
      </c>
      <c r="AT31" s="18">
        <f>Marketplace_customer!AS31/Marketplace_customer!AS$2</f>
        <v>0</v>
      </c>
      <c r="AU31" s="18">
        <f>Marketplace_customer!AT31/Marketplace_customer!AT$2</f>
        <v>0</v>
      </c>
      <c r="AV31" s="18">
        <f>Marketplace_customer!AU31/Marketplace_customer!AU$2</f>
        <v>0</v>
      </c>
      <c r="AW31" s="18">
        <f>Marketplace_customer!AV31/Marketplace_customer!AV$2</f>
        <v>0</v>
      </c>
      <c r="AX31" s="18">
        <f>Marketplace_customer!AW31/Marketplace_customer!AW$2</f>
        <v>0</v>
      </c>
      <c r="AY31" s="18">
        <f>Marketplace_customer!AX31/Marketplace_customer!AX$2</f>
        <v>0</v>
      </c>
      <c r="AZ31" s="18">
        <f>Marketplace_customer!AY31/Marketplace_customer!AY$2</f>
        <v>0</v>
      </c>
      <c r="BA31" s="18">
        <f>Marketplace_customer!AZ31/Marketplace_customer!AZ$2</f>
        <v>0</v>
      </c>
      <c r="BB31" s="18">
        <f>Marketplace_customer!BA31/Marketplace_customer!BA$2</f>
        <v>0</v>
      </c>
      <c r="BC31" s="18">
        <f>Marketplace_customer!BB31/Marketplace_customer!BB$2</f>
        <v>0</v>
      </c>
      <c r="BD31" s="18">
        <f>Marketplace_customer!BC31/Marketplace_customer!BC$2</f>
        <v>0</v>
      </c>
      <c r="BE31" s="18">
        <f>Marketplace_customer!BD31/Marketplace_customer!BD$2</f>
        <v>0</v>
      </c>
      <c r="BF31" s="18">
        <f>Marketplace_customer!BE31/Marketplace_customer!BE$2</f>
        <v>0</v>
      </c>
      <c r="BG31" s="18">
        <f>Marketplace_customer!BF31/Marketplace_customer!BF$2</f>
        <v>0</v>
      </c>
      <c r="BH31" s="18">
        <f>Marketplace_customer!BG31/Marketplace_customer!BG$2</f>
        <v>0</v>
      </c>
      <c r="BI31" s="18">
        <f>Marketplace_customer!BH31/Marketplace_customer!BH$2</f>
        <v>0</v>
      </c>
      <c r="BJ31" s="18">
        <f>Marketplace_customer!BI31/Marketplace_customer!BI$2</f>
        <v>0</v>
      </c>
      <c r="BK31" s="18">
        <f>Marketplace_customer!BJ31/Marketplace_customer!BJ$2</f>
        <v>0</v>
      </c>
      <c r="BL31" s="18">
        <f>Marketplace_customer!BK31/Marketplace_customer!BK$2</f>
        <v>0</v>
      </c>
      <c r="BM31" s="18">
        <f>Marketplace_customer!BL31/Marketplace_customer!BL$2</f>
        <v>0</v>
      </c>
      <c r="BN31" s="18">
        <f>Marketplace_customer!BM31/Marketplace_customer!BM$2</f>
        <v>0</v>
      </c>
      <c r="BO31" s="18">
        <f>Marketplace_customer!BN31/Marketplace_customer!BN$2</f>
        <v>0</v>
      </c>
      <c r="BP31" s="18">
        <f>Marketplace_customer!BO31/Marketplace_customer!BO$2</f>
        <v>0</v>
      </c>
      <c r="BQ31" s="18">
        <f>Marketplace_customer!BP31/Marketplace_customer!BP$2</f>
        <v>0</v>
      </c>
      <c r="BR31" s="18">
        <f>Marketplace_customer!BQ31/Marketplace_customer!BQ$2</f>
        <v>0</v>
      </c>
      <c r="BS31" s="18">
        <f>Marketplace_customer!BR31/Marketplace_customer!BR$2</f>
        <v>0</v>
      </c>
      <c r="BT31" s="18">
        <f>Marketplace_customer!BS31/Marketplace_customer!BS$2</f>
        <v>0</v>
      </c>
      <c r="BU31" s="18">
        <f>Marketplace_customer!BT31/Marketplace_customer!BT$2</f>
        <v>0</v>
      </c>
      <c r="BV31" s="18">
        <f>Marketplace_customer!BU31/Marketplace_customer!BU$2</f>
        <v>0</v>
      </c>
      <c r="BW31" s="19"/>
      <c r="BX31" s="20">
        <f t="shared" ca="1" si="7"/>
        <v>0</v>
      </c>
      <c r="BY31" s="20">
        <f t="shared" ca="1" si="8"/>
        <v>0</v>
      </c>
      <c r="BZ31" s="20">
        <f t="shared" ca="1" si="9"/>
        <v>0</v>
      </c>
      <c r="CA31" s="20">
        <f t="shared" ca="1" si="10"/>
        <v>0</v>
      </c>
      <c r="CB31" s="20">
        <f t="shared" ca="1" si="11"/>
        <v>0</v>
      </c>
      <c r="CC31" s="20">
        <f t="shared" ca="1" si="12"/>
        <v>0</v>
      </c>
      <c r="CD31" s="20">
        <f t="shared" ca="1" si="13"/>
        <v>0</v>
      </c>
      <c r="CE31" s="20">
        <f t="shared" ca="1" si="14"/>
        <v>0</v>
      </c>
      <c r="CF31" s="20">
        <f t="shared" ca="1" si="15"/>
        <v>0</v>
      </c>
      <c r="CG31" s="20">
        <f t="shared" ca="1" si="16"/>
        <v>0</v>
      </c>
      <c r="CH31" s="20">
        <f t="shared" ca="1" si="17"/>
        <v>0</v>
      </c>
      <c r="CI31" s="20">
        <f t="shared" ca="1" si="18"/>
        <v>0</v>
      </c>
      <c r="CJ31" s="20">
        <f t="shared" ca="1" si="19"/>
        <v>2082127659.5744121</v>
      </c>
      <c r="CK31" s="20">
        <f t="shared" ca="1" si="20"/>
        <v>0</v>
      </c>
      <c r="CL31" s="20">
        <f t="shared" ca="1" si="21"/>
        <v>0</v>
      </c>
      <c r="CM31" s="20">
        <f t="shared" ca="1" si="22"/>
        <v>0</v>
      </c>
      <c r="CN31" s="20">
        <f t="shared" ca="1" si="23"/>
        <v>0</v>
      </c>
      <c r="CO31" s="20">
        <f t="shared" ca="1" si="24"/>
        <v>0</v>
      </c>
      <c r="CP31" s="20">
        <f t="shared" ca="1" si="25"/>
        <v>0</v>
      </c>
      <c r="CQ31" s="20">
        <f t="shared" ca="1" si="26"/>
        <v>0</v>
      </c>
      <c r="CR31" s="20">
        <f t="shared" ca="1" si="27"/>
        <v>0</v>
      </c>
      <c r="CS31" s="20">
        <f t="shared" ca="1" si="28"/>
        <v>0</v>
      </c>
      <c r="CT31" s="20">
        <f t="shared" ca="1" si="29"/>
        <v>0</v>
      </c>
      <c r="CU31" s="20">
        <f t="shared" ca="1" si="30"/>
        <v>0</v>
      </c>
      <c r="CV31" s="20">
        <f t="shared" ca="1" si="31"/>
        <v>0</v>
      </c>
      <c r="CW31" s="20">
        <f t="shared" ca="1" si="32"/>
        <v>0</v>
      </c>
      <c r="CX31" s="20">
        <f t="shared" ca="1" si="33"/>
        <v>0</v>
      </c>
      <c r="CY31" s="20">
        <f t="shared" ca="1" si="34"/>
        <v>0</v>
      </c>
      <c r="CZ31" s="20">
        <f t="shared" ca="1" si="35"/>
        <v>0</v>
      </c>
      <c r="DA31" s="20">
        <f t="shared" ca="1" si="36"/>
        <v>0</v>
      </c>
      <c r="DB31" s="20">
        <f t="shared" ca="1" si="37"/>
        <v>0</v>
      </c>
      <c r="DC31" s="20">
        <f t="shared" ca="1" si="38"/>
        <v>0</v>
      </c>
      <c r="DD31" s="20">
        <f t="shared" ca="1" si="39"/>
        <v>0</v>
      </c>
      <c r="DE31" s="20">
        <f t="shared" ca="1" si="40"/>
        <v>0</v>
      </c>
      <c r="DF31" s="20">
        <f t="shared" ca="1" si="41"/>
        <v>0</v>
      </c>
      <c r="DG31" s="20">
        <f t="shared" ca="1" si="42"/>
        <v>0</v>
      </c>
      <c r="DH31" s="20">
        <f t="shared" ca="1" si="43"/>
        <v>0</v>
      </c>
      <c r="DI31" s="20">
        <f t="shared" ca="1" si="44"/>
        <v>0</v>
      </c>
      <c r="DJ31" s="20">
        <f t="shared" ca="1" si="45"/>
        <v>0</v>
      </c>
      <c r="DK31" s="20">
        <f t="shared" ca="1" si="46"/>
        <v>0</v>
      </c>
      <c r="DL31" s="20">
        <f t="shared" ca="1" si="47"/>
        <v>0</v>
      </c>
      <c r="DM31" s="20">
        <f t="shared" ca="1" si="48"/>
        <v>0</v>
      </c>
      <c r="DN31" s="20">
        <f t="shared" ca="1" si="49"/>
        <v>0</v>
      </c>
      <c r="DO31" s="20">
        <f t="shared" ca="1" si="50"/>
        <v>0</v>
      </c>
      <c r="DP31" s="20">
        <f t="shared" ca="1" si="51"/>
        <v>0</v>
      </c>
      <c r="DQ31" s="20">
        <f t="shared" ca="1" si="52"/>
        <v>0</v>
      </c>
      <c r="DR31" s="20">
        <f t="shared" ca="1" si="53"/>
        <v>0</v>
      </c>
      <c r="DS31" s="20">
        <f t="shared" ca="1" si="54"/>
        <v>0</v>
      </c>
      <c r="DT31" s="20">
        <f t="shared" ca="1" si="55"/>
        <v>0</v>
      </c>
      <c r="DU31" s="20">
        <f t="shared" ca="1" si="56"/>
        <v>0</v>
      </c>
      <c r="DV31" s="20">
        <f t="shared" ca="1" si="57"/>
        <v>0</v>
      </c>
      <c r="DW31" s="20">
        <f t="shared" ca="1" si="58"/>
        <v>0</v>
      </c>
      <c r="DX31" s="20">
        <f t="shared" ca="1" si="59"/>
        <v>0</v>
      </c>
      <c r="DY31" s="20">
        <f t="shared" ca="1" si="60"/>
        <v>0</v>
      </c>
      <c r="DZ31" s="20">
        <f t="shared" ca="1" si="61"/>
        <v>0</v>
      </c>
      <c r="EA31" s="20">
        <f t="shared" ca="1" si="62"/>
        <v>0</v>
      </c>
      <c r="EB31" s="20">
        <f t="shared" ca="1" si="63"/>
        <v>0</v>
      </c>
      <c r="EC31" s="20">
        <f t="shared" ca="1" si="64"/>
        <v>0</v>
      </c>
      <c r="ED31" s="20">
        <f t="shared" ca="1" si="65"/>
        <v>0</v>
      </c>
      <c r="EE31" s="20">
        <f t="shared" ca="1" si="66"/>
        <v>0</v>
      </c>
      <c r="EF31" s="20">
        <f t="shared" ca="1" si="67"/>
        <v>0</v>
      </c>
      <c r="EG31" s="20">
        <f t="shared" ca="1" si="68"/>
        <v>0</v>
      </c>
      <c r="EH31" s="20">
        <f t="shared" ca="1" si="69"/>
        <v>0</v>
      </c>
      <c r="EI31" s="20">
        <f t="shared" ca="1" si="70"/>
        <v>0</v>
      </c>
      <c r="EJ31" s="20">
        <f t="shared" ca="1" si="71"/>
        <v>0</v>
      </c>
      <c r="EK31" s="20">
        <f t="shared" ca="1" si="72"/>
        <v>0</v>
      </c>
      <c r="EL31" s="20">
        <f t="shared" ca="1" si="73"/>
        <v>0</v>
      </c>
      <c r="EM31" s="20">
        <f t="shared" ca="1" si="74"/>
        <v>0</v>
      </c>
      <c r="EN31" s="20">
        <f t="shared" ca="1" si="75"/>
        <v>0</v>
      </c>
      <c r="EO31" s="20">
        <f t="shared" ca="1" si="76"/>
        <v>0</v>
      </c>
      <c r="EP31" s="20">
        <f t="shared" ca="1" si="77"/>
        <v>0</v>
      </c>
      <c r="EQ31" s="17" t="s">
        <v>113</v>
      </c>
      <c r="ER31" s="19">
        <v>1278370938652.8899</v>
      </c>
      <c r="ES31" s="20">
        <f t="shared" si="6"/>
        <v>27.876607679106861</v>
      </c>
    </row>
    <row r="32" spans="1:149" ht="15">
      <c r="A32" s="21" t="s">
        <v>187</v>
      </c>
      <c r="B32" s="14">
        <f ca="1">IFERROR(__xludf.dummyfunction("QUERY('Countries markets attractivenes'!A:C, ""SELECT C WHERE A = '""&amp;A32&amp;""'"",0)"),25.3707914813467)</f>
        <v>25.3707914813467</v>
      </c>
      <c r="C32" s="14">
        <f t="shared" ca="1" si="78"/>
        <v>104326525025.92914</v>
      </c>
      <c r="D32" s="18">
        <f>Marketplace_customer!C32/Marketplace_customer!C$2</f>
        <v>0</v>
      </c>
      <c r="E32" s="18">
        <f>Marketplace_customer!D32/Marketplace_customer!D$2</f>
        <v>0</v>
      </c>
      <c r="F32" s="18">
        <f>Marketplace_customer!E32/Marketplace_customer!E$2</f>
        <v>0</v>
      </c>
      <c r="G32" s="18">
        <f>Marketplace_customer!F32/Marketplace_customer!F$2</f>
        <v>0</v>
      </c>
      <c r="H32" s="18">
        <f>Marketplace_customer!G32/Marketplace_customer!G$2</f>
        <v>0</v>
      </c>
      <c r="I32" s="18">
        <f>Marketplace_customer!H32/Marketplace_customer!H$2</f>
        <v>0</v>
      </c>
      <c r="J32" s="18">
        <f>Marketplace_customer!I32/Marketplace_customer!I$2</f>
        <v>0</v>
      </c>
      <c r="K32" s="18">
        <f>Marketplace_customer!J32/Marketplace_customer!J$2</f>
        <v>0</v>
      </c>
      <c r="L32" s="18">
        <f>Marketplace_customer!K32/Marketplace_customer!K$2</f>
        <v>0</v>
      </c>
      <c r="M32" s="18">
        <f>Marketplace_customer!L32/Marketplace_customer!L$2</f>
        <v>0</v>
      </c>
      <c r="N32" s="18">
        <f>Marketplace_customer!M32/Marketplace_customer!M$2</f>
        <v>0</v>
      </c>
      <c r="O32" s="18">
        <f>Marketplace_customer!N32/Marketplace_customer!N$2</f>
        <v>0</v>
      </c>
      <c r="P32" s="18">
        <f>Marketplace_customer!O32/Marketplace_customer!O$2</f>
        <v>3.2978723404255319E-4</v>
      </c>
      <c r="Q32" s="18">
        <f>Marketplace_customer!P32/Marketplace_customer!P$2</f>
        <v>0</v>
      </c>
      <c r="R32" s="18">
        <f>Marketplace_customer!Q32/Marketplace_customer!Q$2</f>
        <v>0</v>
      </c>
      <c r="S32" s="18">
        <f>Marketplace_customer!R32/Marketplace_customer!R$2</f>
        <v>0</v>
      </c>
      <c r="T32" s="18">
        <f>Marketplace_customer!S32/Marketplace_customer!S$2</f>
        <v>0</v>
      </c>
      <c r="U32" s="18">
        <f>Marketplace_customer!T32/Marketplace_customer!T$2</f>
        <v>0</v>
      </c>
      <c r="V32" s="18">
        <f>Marketplace_customer!U32/Marketplace_customer!U$2</f>
        <v>0</v>
      </c>
      <c r="W32" s="18">
        <f>Marketplace_customer!V32/Marketplace_customer!V$2</f>
        <v>0</v>
      </c>
      <c r="X32" s="18">
        <f>Marketplace_customer!W32/Marketplace_customer!W$2</f>
        <v>0</v>
      </c>
      <c r="Y32" s="18">
        <f>Marketplace_customer!X32/Marketplace_customer!X$2</f>
        <v>0</v>
      </c>
      <c r="Z32" s="18">
        <f>Marketplace_customer!Y32/Marketplace_customer!Y$2</f>
        <v>0</v>
      </c>
      <c r="AA32" s="18">
        <f>Marketplace_customer!Z32/Marketplace_customer!Z$2</f>
        <v>0</v>
      </c>
      <c r="AB32" s="18">
        <f>Marketplace_customer!AA32/Marketplace_customer!AA$2</f>
        <v>0</v>
      </c>
      <c r="AC32" s="18">
        <f>Marketplace_customer!AB32/Marketplace_customer!AB$2</f>
        <v>0</v>
      </c>
      <c r="AD32" s="18">
        <f>Marketplace_customer!AC32/Marketplace_customer!AC$2</f>
        <v>0</v>
      </c>
      <c r="AE32" s="18">
        <f>Marketplace_customer!AD32/Marketplace_customer!AD$2</f>
        <v>0</v>
      </c>
      <c r="AF32" s="18">
        <f>Marketplace_customer!AE32/Marketplace_customer!AE$2</f>
        <v>0</v>
      </c>
      <c r="AG32" s="18">
        <f>Marketplace_customer!AF32/Marketplace_customer!AF$2</f>
        <v>0</v>
      </c>
      <c r="AH32" s="18">
        <f>Marketplace_customer!AG32/Marketplace_customer!AG$2</f>
        <v>0</v>
      </c>
      <c r="AI32" s="18">
        <f>Marketplace_customer!AH32/Marketplace_customer!AH$2</f>
        <v>0</v>
      </c>
      <c r="AJ32" s="18">
        <f>Marketplace_customer!AI32/Marketplace_customer!AI$2</f>
        <v>0</v>
      </c>
      <c r="AK32" s="18">
        <f>Marketplace_customer!AJ32/Marketplace_customer!AJ$2</f>
        <v>0</v>
      </c>
      <c r="AL32" s="18">
        <f>Marketplace_customer!AK32/Marketplace_customer!AK$2</f>
        <v>0</v>
      </c>
      <c r="AM32" s="18">
        <f>Marketplace_customer!AL32/Marketplace_customer!AL$2</f>
        <v>0</v>
      </c>
      <c r="AN32" s="18">
        <f>Marketplace_customer!AM32/Marketplace_customer!AM$2</f>
        <v>0</v>
      </c>
      <c r="AO32" s="18">
        <f>Marketplace_customer!AN32/Marketplace_customer!AN$2</f>
        <v>0</v>
      </c>
      <c r="AP32" s="18">
        <f>Marketplace_customer!AO32/Marketplace_customer!AO$2</f>
        <v>0</v>
      </c>
      <c r="AQ32" s="18">
        <f>Marketplace_customer!AP32/Marketplace_customer!AP$2</f>
        <v>0</v>
      </c>
      <c r="AR32" s="18">
        <f>Marketplace_customer!AQ32/Marketplace_customer!AQ$2</f>
        <v>0</v>
      </c>
      <c r="AS32" s="18">
        <f>Marketplace_customer!AR32/Marketplace_customer!AR$2</f>
        <v>0</v>
      </c>
      <c r="AT32" s="18">
        <f>Marketplace_customer!AS32/Marketplace_customer!AS$2</f>
        <v>0</v>
      </c>
      <c r="AU32" s="18">
        <f>Marketplace_customer!AT32/Marketplace_customer!AT$2</f>
        <v>0</v>
      </c>
      <c r="AV32" s="18">
        <f>Marketplace_customer!AU32/Marketplace_customer!AU$2</f>
        <v>0</v>
      </c>
      <c r="AW32" s="18">
        <f>Marketplace_customer!AV32/Marketplace_customer!AV$2</f>
        <v>0</v>
      </c>
      <c r="AX32" s="18">
        <f>Marketplace_customer!AW32/Marketplace_customer!AW$2</f>
        <v>0</v>
      </c>
      <c r="AY32" s="18">
        <f>Marketplace_customer!AX32/Marketplace_customer!AX$2</f>
        <v>0</v>
      </c>
      <c r="AZ32" s="18">
        <f>Marketplace_customer!AY32/Marketplace_customer!AY$2</f>
        <v>0</v>
      </c>
      <c r="BA32" s="18">
        <f>Marketplace_customer!AZ32/Marketplace_customer!AZ$2</f>
        <v>0</v>
      </c>
      <c r="BB32" s="18">
        <f>Marketplace_customer!BA32/Marketplace_customer!BA$2</f>
        <v>0</v>
      </c>
      <c r="BC32" s="18">
        <f>Marketplace_customer!BB32/Marketplace_customer!BB$2</f>
        <v>0</v>
      </c>
      <c r="BD32" s="18">
        <f>Marketplace_customer!BC32/Marketplace_customer!BC$2</f>
        <v>0</v>
      </c>
      <c r="BE32" s="18">
        <f>Marketplace_customer!BD32/Marketplace_customer!BD$2</f>
        <v>0</v>
      </c>
      <c r="BF32" s="18">
        <f>Marketplace_customer!BE32/Marketplace_customer!BE$2</f>
        <v>0</v>
      </c>
      <c r="BG32" s="18">
        <f>Marketplace_customer!BF32/Marketplace_customer!BF$2</f>
        <v>0</v>
      </c>
      <c r="BH32" s="18">
        <f>Marketplace_customer!BG32/Marketplace_customer!BG$2</f>
        <v>0</v>
      </c>
      <c r="BI32" s="18">
        <f>Marketplace_customer!BH32/Marketplace_customer!BH$2</f>
        <v>0</v>
      </c>
      <c r="BJ32" s="18">
        <f>Marketplace_customer!BI32/Marketplace_customer!BI$2</f>
        <v>0</v>
      </c>
      <c r="BK32" s="18">
        <f>Marketplace_customer!BJ32/Marketplace_customer!BJ$2</f>
        <v>0</v>
      </c>
      <c r="BL32" s="18">
        <f>Marketplace_customer!BK32/Marketplace_customer!BK$2</f>
        <v>0</v>
      </c>
      <c r="BM32" s="18">
        <f>Marketplace_customer!BL32/Marketplace_customer!BL$2</f>
        <v>0</v>
      </c>
      <c r="BN32" s="18">
        <f>Marketplace_customer!BM32/Marketplace_customer!BM$2</f>
        <v>0</v>
      </c>
      <c r="BO32" s="18">
        <f>Marketplace_customer!BN32/Marketplace_customer!BN$2</f>
        <v>0</v>
      </c>
      <c r="BP32" s="18">
        <f>Marketplace_customer!BO32/Marketplace_customer!BO$2</f>
        <v>0</v>
      </c>
      <c r="BQ32" s="18">
        <f>Marketplace_customer!BP32/Marketplace_customer!BP$2</f>
        <v>0</v>
      </c>
      <c r="BR32" s="18">
        <f>Marketplace_customer!BQ32/Marketplace_customer!BQ$2</f>
        <v>0</v>
      </c>
      <c r="BS32" s="18">
        <f>Marketplace_customer!BR32/Marketplace_customer!BR$2</f>
        <v>0</v>
      </c>
      <c r="BT32" s="18">
        <f>Marketplace_customer!BS32/Marketplace_customer!BS$2</f>
        <v>0</v>
      </c>
      <c r="BU32" s="18">
        <f>Marketplace_customer!BT32/Marketplace_customer!BT$2</f>
        <v>0</v>
      </c>
      <c r="BV32" s="18">
        <f>Marketplace_customer!BU32/Marketplace_customer!BU$2</f>
        <v>0</v>
      </c>
      <c r="BW32" s="19"/>
      <c r="BX32" s="20">
        <f t="shared" ca="1" si="7"/>
        <v>0</v>
      </c>
      <c r="BY32" s="20">
        <f t="shared" ca="1" si="8"/>
        <v>0</v>
      </c>
      <c r="BZ32" s="20">
        <f t="shared" ca="1" si="9"/>
        <v>0</v>
      </c>
      <c r="CA32" s="20">
        <f t="shared" ca="1" si="10"/>
        <v>0</v>
      </c>
      <c r="CB32" s="20">
        <f t="shared" ca="1" si="11"/>
        <v>0</v>
      </c>
      <c r="CC32" s="20">
        <f t="shared" ca="1" si="12"/>
        <v>0</v>
      </c>
      <c r="CD32" s="20">
        <f t="shared" ca="1" si="13"/>
        <v>0</v>
      </c>
      <c r="CE32" s="20">
        <f t="shared" ca="1" si="14"/>
        <v>0</v>
      </c>
      <c r="CF32" s="20">
        <f t="shared" ca="1" si="15"/>
        <v>0</v>
      </c>
      <c r="CG32" s="20">
        <f t="shared" ca="1" si="16"/>
        <v>0</v>
      </c>
      <c r="CH32" s="20">
        <f t="shared" ca="1" si="17"/>
        <v>0</v>
      </c>
      <c r="CI32" s="20">
        <f t="shared" ca="1" si="18"/>
        <v>0</v>
      </c>
      <c r="CJ32" s="20">
        <f t="shared" ca="1" si="19"/>
        <v>34405556.125572376</v>
      </c>
      <c r="CK32" s="20">
        <f t="shared" ca="1" si="20"/>
        <v>0</v>
      </c>
      <c r="CL32" s="20">
        <f t="shared" ca="1" si="21"/>
        <v>0</v>
      </c>
      <c r="CM32" s="20">
        <f t="shared" ca="1" si="22"/>
        <v>0</v>
      </c>
      <c r="CN32" s="20">
        <f t="shared" ca="1" si="23"/>
        <v>0</v>
      </c>
      <c r="CO32" s="20">
        <f t="shared" ca="1" si="24"/>
        <v>0</v>
      </c>
      <c r="CP32" s="20">
        <f t="shared" ca="1" si="25"/>
        <v>0</v>
      </c>
      <c r="CQ32" s="20">
        <f t="shared" ca="1" si="26"/>
        <v>0</v>
      </c>
      <c r="CR32" s="20">
        <f t="shared" ca="1" si="27"/>
        <v>0</v>
      </c>
      <c r="CS32" s="20">
        <f t="shared" ca="1" si="28"/>
        <v>0</v>
      </c>
      <c r="CT32" s="20">
        <f t="shared" ca="1" si="29"/>
        <v>0</v>
      </c>
      <c r="CU32" s="20">
        <f t="shared" ca="1" si="30"/>
        <v>0</v>
      </c>
      <c r="CV32" s="20">
        <f t="shared" ca="1" si="31"/>
        <v>0</v>
      </c>
      <c r="CW32" s="20">
        <f t="shared" ca="1" si="32"/>
        <v>0</v>
      </c>
      <c r="CX32" s="20">
        <f t="shared" ca="1" si="33"/>
        <v>0</v>
      </c>
      <c r="CY32" s="20">
        <f t="shared" ca="1" si="34"/>
        <v>0</v>
      </c>
      <c r="CZ32" s="20">
        <f t="shared" ca="1" si="35"/>
        <v>0</v>
      </c>
      <c r="DA32" s="20">
        <f t="shared" ca="1" si="36"/>
        <v>0</v>
      </c>
      <c r="DB32" s="20">
        <f t="shared" ca="1" si="37"/>
        <v>0</v>
      </c>
      <c r="DC32" s="20">
        <f t="shared" ca="1" si="38"/>
        <v>0</v>
      </c>
      <c r="DD32" s="20">
        <f t="shared" ca="1" si="39"/>
        <v>0</v>
      </c>
      <c r="DE32" s="20">
        <f t="shared" ca="1" si="40"/>
        <v>0</v>
      </c>
      <c r="DF32" s="20">
        <f t="shared" ca="1" si="41"/>
        <v>0</v>
      </c>
      <c r="DG32" s="20">
        <f t="shared" ca="1" si="42"/>
        <v>0</v>
      </c>
      <c r="DH32" s="20">
        <f t="shared" ca="1" si="43"/>
        <v>0</v>
      </c>
      <c r="DI32" s="20">
        <f t="shared" ca="1" si="44"/>
        <v>0</v>
      </c>
      <c r="DJ32" s="20">
        <f t="shared" ca="1" si="45"/>
        <v>0</v>
      </c>
      <c r="DK32" s="20">
        <f t="shared" ca="1" si="46"/>
        <v>0</v>
      </c>
      <c r="DL32" s="20">
        <f t="shared" ca="1" si="47"/>
        <v>0</v>
      </c>
      <c r="DM32" s="20">
        <f t="shared" ca="1" si="48"/>
        <v>0</v>
      </c>
      <c r="DN32" s="20">
        <f t="shared" ca="1" si="49"/>
        <v>0</v>
      </c>
      <c r="DO32" s="20">
        <f t="shared" ca="1" si="50"/>
        <v>0</v>
      </c>
      <c r="DP32" s="20">
        <f t="shared" ca="1" si="51"/>
        <v>0</v>
      </c>
      <c r="DQ32" s="20">
        <f t="shared" ca="1" si="52"/>
        <v>0</v>
      </c>
      <c r="DR32" s="20">
        <f t="shared" ca="1" si="53"/>
        <v>0</v>
      </c>
      <c r="DS32" s="20">
        <f t="shared" ca="1" si="54"/>
        <v>0</v>
      </c>
      <c r="DT32" s="20">
        <f t="shared" ca="1" si="55"/>
        <v>0</v>
      </c>
      <c r="DU32" s="20">
        <f t="shared" ca="1" si="56"/>
        <v>0</v>
      </c>
      <c r="DV32" s="20">
        <f t="shared" ca="1" si="57"/>
        <v>0</v>
      </c>
      <c r="DW32" s="20">
        <f t="shared" ca="1" si="58"/>
        <v>0</v>
      </c>
      <c r="DX32" s="20">
        <f t="shared" ca="1" si="59"/>
        <v>0</v>
      </c>
      <c r="DY32" s="20">
        <f t="shared" ca="1" si="60"/>
        <v>0</v>
      </c>
      <c r="DZ32" s="20">
        <f t="shared" ca="1" si="61"/>
        <v>0</v>
      </c>
      <c r="EA32" s="20">
        <f t="shared" ca="1" si="62"/>
        <v>0</v>
      </c>
      <c r="EB32" s="20">
        <f t="shared" ca="1" si="63"/>
        <v>0</v>
      </c>
      <c r="EC32" s="20">
        <f t="shared" ca="1" si="64"/>
        <v>0</v>
      </c>
      <c r="ED32" s="20">
        <f t="shared" ca="1" si="65"/>
        <v>0</v>
      </c>
      <c r="EE32" s="20">
        <f t="shared" ca="1" si="66"/>
        <v>0</v>
      </c>
      <c r="EF32" s="20">
        <f t="shared" ca="1" si="67"/>
        <v>0</v>
      </c>
      <c r="EG32" s="20">
        <f t="shared" ca="1" si="68"/>
        <v>0</v>
      </c>
      <c r="EH32" s="20">
        <f t="shared" ca="1" si="69"/>
        <v>0</v>
      </c>
      <c r="EI32" s="20">
        <f t="shared" ca="1" si="70"/>
        <v>0</v>
      </c>
      <c r="EJ32" s="20">
        <f t="shared" ca="1" si="71"/>
        <v>0</v>
      </c>
      <c r="EK32" s="20">
        <f t="shared" ca="1" si="72"/>
        <v>0</v>
      </c>
      <c r="EL32" s="20">
        <f t="shared" ca="1" si="73"/>
        <v>0</v>
      </c>
      <c r="EM32" s="20">
        <f t="shared" ca="1" si="74"/>
        <v>0</v>
      </c>
      <c r="EN32" s="20">
        <f t="shared" ca="1" si="75"/>
        <v>0</v>
      </c>
      <c r="EO32" s="20">
        <f t="shared" ca="1" si="76"/>
        <v>0</v>
      </c>
      <c r="EP32" s="20">
        <f t="shared" ca="1" si="77"/>
        <v>0</v>
      </c>
      <c r="EQ32" s="17" t="s">
        <v>114</v>
      </c>
      <c r="ER32" s="19">
        <v>12188876339829.801</v>
      </c>
      <c r="ES32" s="20">
        <f t="shared" si="6"/>
        <v>30.131544876323925</v>
      </c>
    </row>
    <row r="33" spans="1:149" ht="15">
      <c r="A33" s="21" t="s">
        <v>188</v>
      </c>
      <c r="B33" s="14">
        <f ca="1">IFERROR(__xludf.dummyfunction("QUERY('Countries markets attractivenes'!A:C, ""SELECT C WHERE A = '""&amp;A33&amp;""'"",0)"),26.5641962522608)</f>
        <v>26.5641962522608</v>
      </c>
      <c r="C33" s="14">
        <f t="shared" ca="1" si="78"/>
        <v>344099347074.63867</v>
      </c>
      <c r="D33" s="18">
        <f>Marketplace_customer!C33/Marketplace_customer!C$2</f>
        <v>0</v>
      </c>
      <c r="E33" s="18">
        <f>Marketplace_customer!D33/Marketplace_customer!D$2</f>
        <v>0</v>
      </c>
      <c r="F33" s="18">
        <f>Marketplace_customer!E33/Marketplace_customer!E$2</f>
        <v>0</v>
      </c>
      <c r="G33" s="18">
        <f>Marketplace_customer!F33/Marketplace_customer!F$2</f>
        <v>0</v>
      </c>
      <c r="H33" s="18">
        <f>Marketplace_customer!G33/Marketplace_customer!G$2</f>
        <v>0</v>
      </c>
      <c r="I33" s="18">
        <f>Marketplace_customer!H33/Marketplace_customer!H$2</f>
        <v>0</v>
      </c>
      <c r="J33" s="18">
        <f>Marketplace_customer!I33/Marketplace_customer!I$2</f>
        <v>0</v>
      </c>
      <c r="K33" s="18">
        <f>Marketplace_customer!J33/Marketplace_customer!J$2</f>
        <v>0</v>
      </c>
      <c r="L33" s="18">
        <f>Marketplace_customer!K33/Marketplace_customer!K$2</f>
        <v>0</v>
      </c>
      <c r="M33" s="18">
        <f>Marketplace_customer!L33/Marketplace_customer!L$2</f>
        <v>0</v>
      </c>
      <c r="N33" s="18">
        <f>Marketplace_customer!M33/Marketplace_customer!M$2</f>
        <v>0</v>
      </c>
      <c r="O33" s="18">
        <f>Marketplace_customer!N33/Marketplace_customer!N$2</f>
        <v>0</v>
      </c>
      <c r="P33" s="18">
        <f>Marketplace_customer!O33/Marketplace_customer!O$2</f>
        <v>2.4468085106382977E-3</v>
      </c>
      <c r="Q33" s="18">
        <f>Marketplace_customer!P33/Marketplace_customer!P$2</f>
        <v>0</v>
      </c>
      <c r="R33" s="18">
        <f>Marketplace_customer!Q33/Marketplace_customer!Q$2</f>
        <v>0</v>
      </c>
      <c r="S33" s="18">
        <f>Marketplace_customer!R33/Marketplace_customer!R$2</f>
        <v>4.0880503144654088E-3</v>
      </c>
      <c r="T33" s="18">
        <f>Marketplace_customer!S33/Marketplace_customer!S$2</f>
        <v>0</v>
      </c>
      <c r="U33" s="18">
        <f>Marketplace_customer!T33/Marketplace_customer!T$2</f>
        <v>5.0125313283208026E-3</v>
      </c>
      <c r="V33" s="18">
        <f>Marketplace_customer!U33/Marketplace_customer!U$2</f>
        <v>0</v>
      </c>
      <c r="W33" s="18">
        <f>Marketplace_customer!V33/Marketplace_customer!V$2</f>
        <v>0</v>
      </c>
      <c r="X33" s="18">
        <f>Marketplace_customer!W33/Marketplace_customer!W$2</f>
        <v>0</v>
      </c>
      <c r="Y33" s="18">
        <f>Marketplace_customer!X33/Marketplace_customer!X$2</f>
        <v>0</v>
      </c>
      <c r="Z33" s="18">
        <f>Marketplace_customer!Y33/Marketplace_customer!Y$2</f>
        <v>0</v>
      </c>
      <c r="AA33" s="18">
        <f>Marketplace_customer!Z33/Marketplace_customer!Z$2</f>
        <v>0</v>
      </c>
      <c r="AB33" s="18">
        <f>Marketplace_customer!AA33/Marketplace_customer!AA$2</f>
        <v>0</v>
      </c>
      <c r="AC33" s="18">
        <f>Marketplace_customer!AB33/Marketplace_customer!AB$2</f>
        <v>0</v>
      </c>
      <c r="AD33" s="18">
        <f>Marketplace_customer!AC33/Marketplace_customer!AC$2</f>
        <v>0</v>
      </c>
      <c r="AE33" s="18">
        <f>Marketplace_customer!AD33/Marketplace_customer!AD$2</f>
        <v>0</v>
      </c>
      <c r="AF33" s="18">
        <f>Marketplace_customer!AE33/Marketplace_customer!AE$2</f>
        <v>0</v>
      </c>
      <c r="AG33" s="18">
        <f>Marketplace_customer!AF33/Marketplace_customer!AF$2</f>
        <v>0</v>
      </c>
      <c r="AH33" s="18">
        <f>Marketplace_customer!AG33/Marketplace_customer!AG$2</f>
        <v>2.2164948453608246E-3</v>
      </c>
      <c r="AI33" s="18">
        <f>Marketplace_customer!AH33/Marketplace_customer!AH$2</f>
        <v>0</v>
      </c>
      <c r="AJ33" s="18">
        <f>Marketplace_customer!AI33/Marketplace_customer!AI$2</f>
        <v>0</v>
      </c>
      <c r="AK33" s="18">
        <f>Marketplace_customer!AJ33/Marketplace_customer!AJ$2</f>
        <v>0</v>
      </c>
      <c r="AL33" s="18">
        <f>Marketplace_customer!AK33/Marketplace_customer!AK$2</f>
        <v>0</v>
      </c>
      <c r="AM33" s="18">
        <f>Marketplace_customer!AL33/Marketplace_customer!AL$2</f>
        <v>0</v>
      </c>
      <c r="AN33" s="18">
        <f>Marketplace_customer!AM33/Marketplace_customer!AM$2</f>
        <v>0</v>
      </c>
      <c r="AO33" s="18">
        <f>Marketplace_customer!AN33/Marketplace_customer!AN$2</f>
        <v>0</v>
      </c>
      <c r="AP33" s="18">
        <f>Marketplace_customer!AO33/Marketplace_customer!AO$2</f>
        <v>0</v>
      </c>
      <c r="AQ33" s="18">
        <f>Marketplace_customer!AP33/Marketplace_customer!AP$2</f>
        <v>0</v>
      </c>
      <c r="AR33" s="18">
        <f>Marketplace_customer!AQ33/Marketplace_customer!AQ$2</f>
        <v>0</v>
      </c>
      <c r="AS33" s="18">
        <f>Marketplace_customer!AR33/Marketplace_customer!AR$2</f>
        <v>0</v>
      </c>
      <c r="AT33" s="18">
        <f>Marketplace_customer!AS33/Marketplace_customer!AS$2</f>
        <v>0</v>
      </c>
      <c r="AU33" s="18">
        <f>Marketplace_customer!AT33/Marketplace_customer!AT$2</f>
        <v>2.6954177897574125E-3</v>
      </c>
      <c r="AV33" s="18">
        <f>Marketplace_customer!AU33/Marketplace_customer!AU$2</f>
        <v>0</v>
      </c>
      <c r="AW33" s="18">
        <f>Marketplace_customer!AV33/Marketplace_customer!AV$2</f>
        <v>0</v>
      </c>
      <c r="AX33" s="18">
        <f>Marketplace_customer!AW33/Marketplace_customer!AW$2</f>
        <v>0</v>
      </c>
      <c r="AY33" s="18">
        <f>Marketplace_customer!AX33/Marketplace_customer!AX$2</f>
        <v>0</v>
      </c>
      <c r="AZ33" s="18">
        <f>Marketplace_customer!AY33/Marketplace_customer!AY$2</f>
        <v>0</v>
      </c>
      <c r="BA33" s="18">
        <f>Marketplace_customer!AZ33/Marketplace_customer!AZ$2</f>
        <v>0</v>
      </c>
      <c r="BB33" s="18">
        <f>Marketplace_customer!BA33/Marketplace_customer!BA$2</f>
        <v>0</v>
      </c>
      <c r="BC33" s="18">
        <f>Marketplace_customer!BB33/Marketplace_customer!BB$2</f>
        <v>0</v>
      </c>
      <c r="BD33" s="18">
        <f>Marketplace_customer!BC33/Marketplace_customer!BC$2</f>
        <v>0</v>
      </c>
      <c r="BE33" s="18">
        <f>Marketplace_customer!BD33/Marketplace_customer!BD$2</f>
        <v>0.56999999999999995</v>
      </c>
      <c r="BF33" s="18">
        <f>Marketplace_customer!BE33/Marketplace_customer!BE$2</f>
        <v>0</v>
      </c>
      <c r="BG33" s="18">
        <f>Marketplace_customer!BF33/Marketplace_customer!BF$2</f>
        <v>0</v>
      </c>
      <c r="BH33" s="18">
        <f>Marketplace_customer!BG33/Marketplace_customer!BG$2</f>
        <v>0</v>
      </c>
      <c r="BI33" s="18">
        <f>Marketplace_customer!BH33/Marketplace_customer!BH$2</f>
        <v>0</v>
      </c>
      <c r="BJ33" s="18">
        <f>Marketplace_customer!BI33/Marketplace_customer!BI$2</f>
        <v>0</v>
      </c>
      <c r="BK33" s="18">
        <f>Marketplace_customer!BJ33/Marketplace_customer!BJ$2</f>
        <v>3.4022593644711635E-2</v>
      </c>
      <c r="BL33" s="18">
        <f>Marketplace_customer!BK33/Marketplace_customer!BK$2</f>
        <v>0</v>
      </c>
      <c r="BM33" s="18">
        <f>Marketplace_customer!BL33/Marketplace_customer!BL$2</f>
        <v>7.4237288135593216E-2</v>
      </c>
      <c r="BN33" s="18">
        <f>Marketplace_customer!BM33/Marketplace_customer!BM$2</f>
        <v>0</v>
      </c>
      <c r="BO33" s="18">
        <f>Marketplace_customer!BN33/Marketplace_customer!BN$2</f>
        <v>0</v>
      </c>
      <c r="BP33" s="18">
        <f>Marketplace_customer!BO33/Marketplace_customer!BO$2</f>
        <v>6.1485909479077712E-3</v>
      </c>
      <c r="BQ33" s="18">
        <f>Marketplace_customer!BP33/Marketplace_customer!BP$2</f>
        <v>0</v>
      </c>
      <c r="BR33" s="18">
        <f>Marketplace_customer!BQ33/Marketplace_customer!BQ$2</f>
        <v>0</v>
      </c>
      <c r="BS33" s="18">
        <f>Marketplace_customer!BR33/Marketplace_customer!BR$2</f>
        <v>0</v>
      </c>
      <c r="BT33" s="18">
        <f>Marketplace_customer!BS33/Marketplace_customer!BS$2</f>
        <v>0</v>
      </c>
      <c r="BU33" s="18">
        <f>Marketplace_customer!BT33/Marketplace_customer!BT$2</f>
        <v>0</v>
      </c>
      <c r="BV33" s="18">
        <f>Marketplace_customer!BU33/Marketplace_customer!BU$2</f>
        <v>0</v>
      </c>
      <c r="BW33" s="19"/>
      <c r="BX33" s="20">
        <f t="shared" ca="1" si="7"/>
        <v>0</v>
      </c>
      <c r="BY33" s="20">
        <f t="shared" ca="1" si="8"/>
        <v>0</v>
      </c>
      <c r="BZ33" s="20">
        <f t="shared" ca="1" si="9"/>
        <v>0</v>
      </c>
      <c r="CA33" s="20">
        <f t="shared" ca="1" si="10"/>
        <v>0</v>
      </c>
      <c r="CB33" s="20">
        <f t="shared" ca="1" si="11"/>
        <v>0</v>
      </c>
      <c r="CC33" s="20">
        <f t="shared" ca="1" si="12"/>
        <v>0</v>
      </c>
      <c r="CD33" s="20">
        <f t="shared" ca="1" si="13"/>
        <v>0</v>
      </c>
      <c r="CE33" s="20">
        <f t="shared" ca="1" si="14"/>
        <v>0</v>
      </c>
      <c r="CF33" s="20">
        <f t="shared" ca="1" si="15"/>
        <v>0</v>
      </c>
      <c r="CG33" s="20">
        <f t="shared" ca="1" si="16"/>
        <v>0</v>
      </c>
      <c r="CH33" s="20">
        <f t="shared" ca="1" si="17"/>
        <v>0</v>
      </c>
      <c r="CI33" s="20">
        <f t="shared" ca="1" si="18"/>
        <v>0</v>
      </c>
      <c r="CJ33" s="20">
        <f t="shared" ca="1" si="19"/>
        <v>841945210.92730737</v>
      </c>
      <c r="CK33" s="20">
        <f t="shared" ca="1" si="20"/>
        <v>0</v>
      </c>
      <c r="CL33" s="20">
        <f t="shared" ca="1" si="21"/>
        <v>0</v>
      </c>
      <c r="CM33" s="20">
        <f t="shared" ca="1" si="22"/>
        <v>1406695444.0158184</v>
      </c>
      <c r="CN33" s="20">
        <f t="shared" ca="1" si="23"/>
        <v>0</v>
      </c>
      <c r="CO33" s="20">
        <f t="shared" ca="1" si="24"/>
        <v>1724808757.2663596</v>
      </c>
      <c r="CP33" s="20">
        <f t="shared" ca="1" si="25"/>
        <v>0</v>
      </c>
      <c r="CQ33" s="20">
        <f t="shared" ca="1" si="26"/>
        <v>0</v>
      </c>
      <c r="CR33" s="20">
        <f t="shared" ca="1" si="27"/>
        <v>0</v>
      </c>
      <c r="CS33" s="20">
        <f t="shared" ca="1" si="28"/>
        <v>0</v>
      </c>
      <c r="CT33" s="20">
        <f t="shared" ca="1" si="29"/>
        <v>0</v>
      </c>
      <c r="CU33" s="20">
        <f t="shared" ca="1" si="30"/>
        <v>0</v>
      </c>
      <c r="CV33" s="20">
        <f t="shared" ca="1" si="31"/>
        <v>0</v>
      </c>
      <c r="CW33" s="20">
        <f t="shared" ca="1" si="32"/>
        <v>0</v>
      </c>
      <c r="CX33" s="20">
        <f t="shared" ca="1" si="33"/>
        <v>0</v>
      </c>
      <c r="CY33" s="20">
        <f t="shared" ca="1" si="34"/>
        <v>0</v>
      </c>
      <c r="CZ33" s="20">
        <f t="shared" ca="1" si="35"/>
        <v>0</v>
      </c>
      <c r="DA33" s="20">
        <f t="shared" ca="1" si="36"/>
        <v>0</v>
      </c>
      <c r="DB33" s="20">
        <f t="shared" ca="1" si="37"/>
        <v>762694429.08296192</v>
      </c>
      <c r="DC33" s="20">
        <f t="shared" ca="1" si="38"/>
        <v>0</v>
      </c>
      <c r="DD33" s="20">
        <f t="shared" ca="1" si="39"/>
        <v>0</v>
      </c>
      <c r="DE33" s="20">
        <f t="shared" ca="1" si="40"/>
        <v>0</v>
      </c>
      <c r="DF33" s="20">
        <f t="shared" ca="1" si="41"/>
        <v>0</v>
      </c>
      <c r="DG33" s="20">
        <f t="shared" ca="1" si="42"/>
        <v>0</v>
      </c>
      <c r="DH33" s="20">
        <f t="shared" ca="1" si="43"/>
        <v>0</v>
      </c>
      <c r="DI33" s="20">
        <f t="shared" ca="1" si="44"/>
        <v>0</v>
      </c>
      <c r="DJ33" s="20">
        <f t="shared" ca="1" si="45"/>
        <v>0</v>
      </c>
      <c r="DK33" s="20">
        <f t="shared" ca="1" si="46"/>
        <v>0</v>
      </c>
      <c r="DL33" s="20">
        <f t="shared" ca="1" si="47"/>
        <v>0</v>
      </c>
      <c r="DM33" s="20">
        <f t="shared" ca="1" si="48"/>
        <v>0</v>
      </c>
      <c r="DN33" s="20">
        <f t="shared" ca="1" si="49"/>
        <v>0</v>
      </c>
      <c r="DO33" s="20">
        <f t="shared" ca="1" si="50"/>
        <v>927491501.54889131</v>
      </c>
      <c r="DP33" s="20">
        <f t="shared" ca="1" si="51"/>
        <v>0</v>
      </c>
      <c r="DQ33" s="20">
        <f t="shared" ca="1" si="52"/>
        <v>0</v>
      </c>
      <c r="DR33" s="20">
        <f t="shared" ca="1" si="53"/>
        <v>0</v>
      </c>
      <c r="DS33" s="20">
        <f t="shared" ca="1" si="54"/>
        <v>0</v>
      </c>
      <c r="DT33" s="20">
        <f t="shared" ca="1" si="55"/>
        <v>0</v>
      </c>
      <c r="DU33" s="20">
        <f t="shared" ca="1" si="56"/>
        <v>0</v>
      </c>
      <c r="DV33" s="20">
        <f t="shared" ca="1" si="57"/>
        <v>0</v>
      </c>
      <c r="DW33" s="20">
        <f t="shared" ca="1" si="58"/>
        <v>0</v>
      </c>
      <c r="DX33" s="20">
        <f t="shared" ca="1" si="59"/>
        <v>0</v>
      </c>
      <c r="DY33" s="20">
        <f t="shared" ca="1" si="60"/>
        <v>196136627832.54404</v>
      </c>
      <c r="DZ33" s="20">
        <f t="shared" ca="1" si="61"/>
        <v>0</v>
      </c>
      <c r="EA33" s="20">
        <f t="shared" ca="1" si="62"/>
        <v>0</v>
      </c>
      <c r="EB33" s="20">
        <f t="shared" ca="1" si="63"/>
        <v>0</v>
      </c>
      <c r="EC33" s="20">
        <f t="shared" ca="1" si="64"/>
        <v>0</v>
      </c>
      <c r="ED33" s="20">
        <f t="shared" ca="1" si="65"/>
        <v>0</v>
      </c>
      <c r="EE33" s="20">
        <f t="shared" ca="1" si="66"/>
        <v>11707152258.931025</v>
      </c>
      <c r="EF33" s="20">
        <f t="shared" ca="1" si="67"/>
        <v>0</v>
      </c>
      <c r="EG33" s="20">
        <f t="shared" ca="1" si="68"/>
        <v>25545002376.049446</v>
      </c>
      <c r="EH33" s="20">
        <f t="shared" ca="1" si="69"/>
        <v>0</v>
      </c>
      <c r="EI33" s="20">
        <f t="shared" ca="1" si="70"/>
        <v>0</v>
      </c>
      <c r="EJ33" s="20">
        <f t="shared" ca="1" si="71"/>
        <v>2115726130.6040978</v>
      </c>
      <c r="EK33" s="20">
        <f t="shared" ca="1" si="72"/>
        <v>0</v>
      </c>
      <c r="EL33" s="20">
        <f t="shared" ca="1" si="73"/>
        <v>0</v>
      </c>
      <c r="EM33" s="20">
        <f t="shared" ca="1" si="74"/>
        <v>0</v>
      </c>
      <c r="EN33" s="20">
        <f t="shared" ca="1" si="75"/>
        <v>0</v>
      </c>
      <c r="EO33" s="20">
        <f t="shared" ca="1" si="76"/>
        <v>0</v>
      </c>
      <c r="EP33" s="20">
        <f t="shared" ca="1" si="77"/>
        <v>0</v>
      </c>
      <c r="EQ33" s="17" t="s">
        <v>115</v>
      </c>
      <c r="ER33" s="19">
        <v>1743560875801.1599</v>
      </c>
      <c r="ES33" s="20">
        <f t="shared" si="6"/>
        <v>28.186950618312142</v>
      </c>
    </row>
    <row r="34" spans="1:149" ht="15">
      <c r="A34" s="21" t="s">
        <v>189</v>
      </c>
      <c r="B34" s="14">
        <f ca="1">IFERROR(__xludf.dummyfunction("QUERY('Countries markets attractivenes'!A:C, ""SELECT C WHERE A = '""&amp;A34&amp;""'"",0)"),23.1625939757985)</f>
        <v>23.162593975798501</v>
      </c>
      <c r="C34" s="14">
        <f t="shared" ca="1" si="78"/>
        <v>11465335041.34193</v>
      </c>
      <c r="D34" s="18">
        <f>Marketplace_customer!C34/Marketplace_customer!C$2</f>
        <v>0</v>
      </c>
      <c r="E34" s="18">
        <f>Marketplace_customer!D34/Marketplace_customer!D$2</f>
        <v>0</v>
      </c>
      <c r="F34" s="18">
        <f>Marketplace_customer!E34/Marketplace_customer!E$2</f>
        <v>0</v>
      </c>
      <c r="G34" s="18">
        <f>Marketplace_customer!F34/Marketplace_customer!F$2</f>
        <v>0</v>
      </c>
      <c r="H34" s="18">
        <f>Marketplace_customer!G34/Marketplace_customer!G$2</f>
        <v>0</v>
      </c>
      <c r="I34" s="18">
        <f>Marketplace_customer!H34/Marketplace_customer!H$2</f>
        <v>0</v>
      </c>
      <c r="J34" s="18">
        <f>Marketplace_customer!I34/Marketplace_customer!I$2</f>
        <v>0</v>
      </c>
      <c r="K34" s="18">
        <f>Marketplace_customer!J34/Marketplace_customer!J$2</f>
        <v>0</v>
      </c>
      <c r="L34" s="18">
        <f>Marketplace_customer!K34/Marketplace_customer!K$2</f>
        <v>0</v>
      </c>
      <c r="M34" s="18">
        <f>Marketplace_customer!L34/Marketplace_customer!L$2</f>
        <v>0</v>
      </c>
      <c r="N34" s="18">
        <f>Marketplace_customer!M34/Marketplace_customer!M$2</f>
        <v>0</v>
      </c>
      <c r="O34" s="18">
        <f>Marketplace_customer!N34/Marketplace_customer!N$2</f>
        <v>0</v>
      </c>
      <c r="P34" s="18">
        <f>Marketplace_customer!O34/Marketplace_customer!O$2</f>
        <v>3.2978723404255317E-5</v>
      </c>
      <c r="Q34" s="18">
        <f>Marketplace_customer!P34/Marketplace_customer!P$2</f>
        <v>0</v>
      </c>
      <c r="R34" s="18">
        <f>Marketplace_customer!Q34/Marketplace_customer!Q$2</f>
        <v>0</v>
      </c>
      <c r="S34" s="18">
        <f>Marketplace_customer!R34/Marketplace_customer!R$2</f>
        <v>0</v>
      </c>
      <c r="T34" s="18">
        <f>Marketplace_customer!S34/Marketplace_customer!S$2</f>
        <v>0</v>
      </c>
      <c r="U34" s="18">
        <f>Marketplace_customer!T34/Marketplace_customer!T$2</f>
        <v>0</v>
      </c>
      <c r="V34" s="18">
        <f>Marketplace_customer!U34/Marketplace_customer!U$2</f>
        <v>0</v>
      </c>
      <c r="W34" s="18">
        <f>Marketplace_customer!V34/Marketplace_customer!V$2</f>
        <v>0</v>
      </c>
      <c r="X34" s="18">
        <f>Marketplace_customer!W34/Marketplace_customer!W$2</f>
        <v>0</v>
      </c>
      <c r="Y34" s="18">
        <f>Marketplace_customer!X34/Marketplace_customer!X$2</f>
        <v>0</v>
      </c>
      <c r="Z34" s="18">
        <f>Marketplace_customer!Y34/Marketplace_customer!Y$2</f>
        <v>0</v>
      </c>
      <c r="AA34" s="18">
        <f>Marketplace_customer!Z34/Marketplace_customer!Z$2</f>
        <v>0</v>
      </c>
      <c r="AB34" s="18">
        <f>Marketplace_customer!AA34/Marketplace_customer!AA$2</f>
        <v>0</v>
      </c>
      <c r="AC34" s="18">
        <f>Marketplace_customer!AB34/Marketplace_customer!AB$2</f>
        <v>0</v>
      </c>
      <c r="AD34" s="18">
        <f>Marketplace_customer!AC34/Marketplace_customer!AC$2</f>
        <v>0</v>
      </c>
      <c r="AE34" s="18">
        <f>Marketplace_customer!AD34/Marketplace_customer!AD$2</f>
        <v>0</v>
      </c>
      <c r="AF34" s="18">
        <f>Marketplace_customer!AE34/Marketplace_customer!AE$2</f>
        <v>0</v>
      </c>
      <c r="AG34" s="18">
        <f>Marketplace_customer!AF34/Marketplace_customer!AF$2</f>
        <v>0</v>
      </c>
      <c r="AH34" s="18">
        <f>Marketplace_customer!AG34/Marketplace_customer!AG$2</f>
        <v>0</v>
      </c>
      <c r="AI34" s="18">
        <f>Marketplace_customer!AH34/Marketplace_customer!AH$2</f>
        <v>0</v>
      </c>
      <c r="AJ34" s="18">
        <f>Marketplace_customer!AI34/Marketplace_customer!AI$2</f>
        <v>0</v>
      </c>
      <c r="AK34" s="18">
        <f>Marketplace_customer!AJ34/Marketplace_customer!AJ$2</f>
        <v>0</v>
      </c>
      <c r="AL34" s="18">
        <f>Marketplace_customer!AK34/Marketplace_customer!AK$2</f>
        <v>0</v>
      </c>
      <c r="AM34" s="18">
        <f>Marketplace_customer!AL34/Marketplace_customer!AL$2</f>
        <v>0</v>
      </c>
      <c r="AN34" s="18">
        <f>Marketplace_customer!AM34/Marketplace_customer!AM$2</f>
        <v>0</v>
      </c>
      <c r="AO34" s="18">
        <f>Marketplace_customer!AN34/Marketplace_customer!AN$2</f>
        <v>0</v>
      </c>
      <c r="AP34" s="18">
        <f>Marketplace_customer!AO34/Marketplace_customer!AO$2</f>
        <v>0</v>
      </c>
      <c r="AQ34" s="18">
        <f>Marketplace_customer!AP34/Marketplace_customer!AP$2</f>
        <v>0</v>
      </c>
      <c r="AR34" s="18">
        <f>Marketplace_customer!AQ34/Marketplace_customer!AQ$2</f>
        <v>0</v>
      </c>
      <c r="AS34" s="18">
        <f>Marketplace_customer!AR34/Marketplace_customer!AR$2</f>
        <v>0</v>
      </c>
      <c r="AT34" s="18">
        <f>Marketplace_customer!AS34/Marketplace_customer!AS$2</f>
        <v>0</v>
      </c>
      <c r="AU34" s="18">
        <f>Marketplace_customer!AT34/Marketplace_customer!AT$2</f>
        <v>0</v>
      </c>
      <c r="AV34" s="18">
        <f>Marketplace_customer!AU34/Marketplace_customer!AU$2</f>
        <v>0</v>
      </c>
      <c r="AW34" s="18">
        <f>Marketplace_customer!AV34/Marketplace_customer!AV$2</f>
        <v>0</v>
      </c>
      <c r="AX34" s="18">
        <f>Marketplace_customer!AW34/Marketplace_customer!AW$2</f>
        <v>0</v>
      </c>
      <c r="AY34" s="18">
        <f>Marketplace_customer!AX34/Marketplace_customer!AX$2</f>
        <v>0</v>
      </c>
      <c r="AZ34" s="18">
        <f>Marketplace_customer!AY34/Marketplace_customer!AY$2</f>
        <v>0</v>
      </c>
      <c r="BA34" s="18">
        <f>Marketplace_customer!AZ34/Marketplace_customer!AZ$2</f>
        <v>0</v>
      </c>
      <c r="BB34" s="18">
        <f>Marketplace_customer!BA34/Marketplace_customer!BA$2</f>
        <v>0</v>
      </c>
      <c r="BC34" s="18">
        <f>Marketplace_customer!BB34/Marketplace_customer!BB$2</f>
        <v>0</v>
      </c>
      <c r="BD34" s="18">
        <f>Marketplace_customer!BC34/Marketplace_customer!BC$2</f>
        <v>0</v>
      </c>
      <c r="BE34" s="18">
        <f>Marketplace_customer!BD34/Marketplace_customer!BD$2</f>
        <v>0</v>
      </c>
      <c r="BF34" s="18">
        <f>Marketplace_customer!BE34/Marketplace_customer!BE$2</f>
        <v>0</v>
      </c>
      <c r="BG34" s="18">
        <f>Marketplace_customer!BF34/Marketplace_customer!BF$2</f>
        <v>0</v>
      </c>
      <c r="BH34" s="18">
        <f>Marketplace_customer!BG34/Marketplace_customer!BG$2</f>
        <v>0</v>
      </c>
      <c r="BI34" s="18">
        <f>Marketplace_customer!BH34/Marketplace_customer!BH$2</f>
        <v>0</v>
      </c>
      <c r="BJ34" s="18">
        <f>Marketplace_customer!BI34/Marketplace_customer!BI$2</f>
        <v>0</v>
      </c>
      <c r="BK34" s="18">
        <f>Marketplace_customer!BJ34/Marketplace_customer!BJ$2</f>
        <v>0</v>
      </c>
      <c r="BL34" s="18">
        <f>Marketplace_customer!BK34/Marketplace_customer!BK$2</f>
        <v>0</v>
      </c>
      <c r="BM34" s="18">
        <f>Marketplace_customer!BL34/Marketplace_customer!BL$2</f>
        <v>0</v>
      </c>
      <c r="BN34" s="18">
        <f>Marketplace_customer!BM34/Marketplace_customer!BM$2</f>
        <v>0</v>
      </c>
      <c r="BO34" s="18">
        <f>Marketplace_customer!BN34/Marketplace_customer!BN$2</f>
        <v>0</v>
      </c>
      <c r="BP34" s="18">
        <f>Marketplace_customer!BO34/Marketplace_customer!BO$2</f>
        <v>0</v>
      </c>
      <c r="BQ34" s="18">
        <f>Marketplace_customer!BP34/Marketplace_customer!BP$2</f>
        <v>0</v>
      </c>
      <c r="BR34" s="18">
        <f>Marketplace_customer!BQ34/Marketplace_customer!BQ$2</f>
        <v>0</v>
      </c>
      <c r="BS34" s="18">
        <f>Marketplace_customer!BR34/Marketplace_customer!BR$2</f>
        <v>0</v>
      </c>
      <c r="BT34" s="18">
        <f>Marketplace_customer!BS34/Marketplace_customer!BS$2</f>
        <v>0</v>
      </c>
      <c r="BU34" s="18">
        <f>Marketplace_customer!BT34/Marketplace_customer!BT$2</f>
        <v>0</v>
      </c>
      <c r="BV34" s="18">
        <f>Marketplace_customer!BU34/Marketplace_customer!BU$2</f>
        <v>0</v>
      </c>
      <c r="BW34" s="19"/>
      <c r="BX34" s="20">
        <f t="shared" ca="1" si="7"/>
        <v>0</v>
      </c>
      <c r="BY34" s="20">
        <f t="shared" ca="1" si="8"/>
        <v>0</v>
      </c>
      <c r="BZ34" s="20">
        <f t="shared" ca="1" si="9"/>
        <v>0</v>
      </c>
      <c r="CA34" s="20">
        <f t="shared" ca="1" si="10"/>
        <v>0</v>
      </c>
      <c r="CB34" s="20">
        <f t="shared" ca="1" si="11"/>
        <v>0</v>
      </c>
      <c r="CC34" s="20">
        <f t="shared" ca="1" si="12"/>
        <v>0</v>
      </c>
      <c r="CD34" s="20">
        <f t="shared" ca="1" si="13"/>
        <v>0</v>
      </c>
      <c r="CE34" s="20">
        <f t="shared" ca="1" si="14"/>
        <v>0</v>
      </c>
      <c r="CF34" s="20">
        <f t="shared" ca="1" si="15"/>
        <v>0</v>
      </c>
      <c r="CG34" s="20">
        <f t="shared" ca="1" si="16"/>
        <v>0</v>
      </c>
      <c r="CH34" s="20">
        <f t="shared" ca="1" si="17"/>
        <v>0</v>
      </c>
      <c r="CI34" s="20">
        <f t="shared" ca="1" si="18"/>
        <v>0</v>
      </c>
      <c r="CJ34" s="20">
        <f t="shared" ca="1" si="19"/>
        <v>378112.11306553171</v>
      </c>
      <c r="CK34" s="20">
        <f t="shared" ca="1" si="20"/>
        <v>0</v>
      </c>
      <c r="CL34" s="20">
        <f t="shared" ca="1" si="21"/>
        <v>0</v>
      </c>
      <c r="CM34" s="20">
        <f t="shared" ca="1" si="22"/>
        <v>0</v>
      </c>
      <c r="CN34" s="20">
        <f t="shared" ca="1" si="23"/>
        <v>0</v>
      </c>
      <c r="CO34" s="20">
        <f t="shared" ca="1" si="24"/>
        <v>0</v>
      </c>
      <c r="CP34" s="20">
        <f t="shared" ca="1" si="25"/>
        <v>0</v>
      </c>
      <c r="CQ34" s="20">
        <f t="shared" ca="1" si="26"/>
        <v>0</v>
      </c>
      <c r="CR34" s="20">
        <f t="shared" ca="1" si="27"/>
        <v>0</v>
      </c>
      <c r="CS34" s="20">
        <f t="shared" ca="1" si="28"/>
        <v>0</v>
      </c>
      <c r="CT34" s="20">
        <f t="shared" ca="1" si="29"/>
        <v>0</v>
      </c>
      <c r="CU34" s="20">
        <f t="shared" ca="1" si="30"/>
        <v>0</v>
      </c>
      <c r="CV34" s="20">
        <f t="shared" ca="1" si="31"/>
        <v>0</v>
      </c>
      <c r="CW34" s="20">
        <f t="shared" ca="1" si="32"/>
        <v>0</v>
      </c>
      <c r="CX34" s="20">
        <f t="shared" ca="1" si="33"/>
        <v>0</v>
      </c>
      <c r="CY34" s="20">
        <f t="shared" ca="1" si="34"/>
        <v>0</v>
      </c>
      <c r="CZ34" s="20">
        <f t="shared" ca="1" si="35"/>
        <v>0</v>
      </c>
      <c r="DA34" s="20">
        <f t="shared" ca="1" si="36"/>
        <v>0</v>
      </c>
      <c r="DB34" s="20">
        <f t="shared" ca="1" si="37"/>
        <v>0</v>
      </c>
      <c r="DC34" s="20">
        <f t="shared" ca="1" si="38"/>
        <v>0</v>
      </c>
      <c r="DD34" s="20">
        <f t="shared" ca="1" si="39"/>
        <v>0</v>
      </c>
      <c r="DE34" s="20">
        <f t="shared" ca="1" si="40"/>
        <v>0</v>
      </c>
      <c r="DF34" s="20">
        <f t="shared" ca="1" si="41"/>
        <v>0</v>
      </c>
      <c r="DG34" s="20">
        <f t="shared" ca="1" si="42"/>
        <v>0</v>
      </c>
      <c r="DH34" s="20">
        <f t="shared" ca="1" si="43"/>
        <v>0</v>
      </c>
      <c r="DI34" s="20">
        <f t="shared" ca="1" si="44"/>
        <v>0</v>
      </c>
      <c r="DJ34" s="20">
        <f t="shared" ca="1" si="45"/>
        <v>0</v>
      </c>
      <c r="DK34" s="20">
        <f t="shared" ca="1" si="46"/>
        <v>0</v>
      </c>
      <c r="DL34" s="20">
        <f t="shared" ca="1" si="47"/>
        <v>0</v>
      </c>
      <c r="DM34" s="20">
        <f t="shared" ca="1" si="48"/>
        <v>0</v>
      </c>
      <c r="DN34" s="20">
        <f t="shared" ca="1" si="49"/>
        <v>0</v>
      </c>
      <c r="DO34" s="20">
        <f t="shared" ca="1" si="50"/>
        <v>0</v>
      </c>
      <c r="DP34" s="20">
        <f t="shared" ca="1" si="51"/>
        <v>0</v>
      </c>
      <c r="DQ34" s="20">
        <f t="shared" ca="1" si="52"/>
        <v>0</v>
      </c>
      <c r="DR34" s="20">
        <f t="shared" ca="1" si="53"/>
        <v>0</v>
      </c>
      <c r="DS34" s="20">
        <f t="shared" ca="1" si="54"/>
        <v>0</v>
      </c>
      <c r="DT34" s="20">
        <f t="shared" ca="1" si="55"/>
        <v>0</v>
      </c>
      <c r="DU34" s="20">
        <f t="shared" ca="1" si="56"/>
        <v>0</v>
      </c>
      <c r="DV34" s="20">
        <f t="shared" ca="1" si="57"/>
        <v>0</v>
      </c>
      <c r="DW34" s="20">
        <f t="shared" ca="1" si="58"/>
        <v>0</v>
      </c>
      <c r="DX34" s="20">
        <f t="shared" ca="1" si="59"/>
        <v>0</v>
      </c>
      <c r="DY34" s="20">
        <f t="shared" ca="1" si="60"/>
        <v>0</v>
      </c>
      <c r="DZ34" s="20">
        <f t="shared" ca="1" si="61"/>
        <v>0</v>
      </c>
      <c r="EA34" s="20">
        <f t="shared" ca="1" si="62"/>
        <v>0</v>
      </c>
      <c r="EB34" s="20">
        <f t="shared" ca="1" si="63"/>
        <v>0</v>
      </c>
      <c r="EC34" s="20">
        <f t="shared" ca="1" si="64"/>
        <v>0</v>
      </c>
      <c r="ED34" s="20">
        <f t="shared" ca="1" si="65"/>
        <v>0</v>
      </c>
      <c r="EE34" s="20">
        <f t="shared" ca="1" si="66"/>
        <v>0</v>
      </c>
      <c r="EF34" s="20">
        <f t="shared" ca="1" si="67"/>
        <v>0</v>
      </c>
      <c r="EG34" s="20">
        <f t="shared" ca="1" si="68"/>
        <v>0</v>
      </c>
      <c r="EH34" s="20">
        <f t="shared" ca="1" si="69"/>
        <v>0</v>
      </c>
      <c r="EI34" s="20">
        <f t="shared" ca="1" si="70"/>
        <v>0</v>
      </c>
      <c r="EJ34" s="20">
        <f t="shared" ca="1" si="71"/>
        <v>0</v>
      </c>
      <c r="EK34" s="20">
        <f t="shared" ca="1" si="72"/>
        <v>0</v>
      </c>
      <c r="EL34" s="20">
        <f t="shared" ca="1" si="73"/>
        <v>0</v>
      </c>
      <c r="EM34" s="20">
        <f t="shared" ca="1" si="74"/>
        <v>0</v>
      </c>
      <c r="EN34" s="20">
        <f t="shared" ca="1" si="75"/>
        <v>0</v>
      </c>
      <c r="EO34" s="20">
        <f t="shared" ca="1" si="76"/>
        <v>0</v>
      </c>
      <c r="EP34" s="20">
        <f t="shared" ca="1" si="77"/>
        <v>0</v>
      </c>
      <c r="EQ34" s="17" t="s">
        <v>116</v>
      </c>
      <c r="ER34" s="19">
        <v>265613059660.54501</v>
      </c>
      <c r="ES34" s="20">
        <f t="shared" ref="ES34:ES65" si="79">LN(ER34)</f>
        <v>26.305306423748544</v>
      </c>
    </row>
    <row r="35" spans="1:149" ht="15">
      <c r="A35" s="21" t="s">
        <v>190</v>
      </c>
      <c r="B35" s="14">
        <f ca="1">IFERROR(__xludf.dummyfunction("QUERY('Countries markets attractivenes'!A:C, ""SELECT C WHERE A = '""&amp;A35&amp;""'"",0)"),27.7696948735905)</f>
        <v>27.769694873590499</v>
      </c>
      <c r="C35" s="14">
        <f t="shared" ca="1" si="78"/>
        <v>1148749268216.835</v>
      </c>
      <c r="D35" s="18">
        <f>Marketplace_customer!C35/Marketplace_customer!C$2</f>
        <v>0</v>
      </c>
      <c r="E35" s="18">
        <f>Marketplace_customer!D35/Marketplace_customer!D$2</f>
        <v>0</v>
      </c>
      <c r="F35" s="18">
        <f>Marketplace_customer!E35/Marketplace_customer!E$2</f>
        <v>0</v>
      </c>
      <c r="G35" s="18">
        <f>Marketplace_customer!F35/Marketplace_customer!F$2</f>
        <v>0</v>
      </c>
      <c r="H35" s="18">
        <f>Marketplace_customer!G35/Marketplace_customer!G$2</f>
        <v>0</v>
      </c>
      <c r="I35" s="18">
        <f>Marketplace_customer!H35/Marketplace_customer!H$2</f>
        <v>0</v>
      </c>
      <c r="J35" s="18">
        <f>Marketplace_customer!I35/Marketplace_customer!I$2</f>
        <v>2.663438256658596E-2</v>
      </c>
      <c r="K35" s="18">
        <f>Marketplace_customer!J35/Marketplace_customer!J$2</f>
        <v>0</v>
      </c>
      <c r="L35" s="18">
        <f>Marketplace_customer!K35/Marketplace_customer!K$2</f>
        <v>0</v>
      </c>
      <c r="M35" s="18">
        <f>Marketplace_customer!L35/Marketplace_customer!L$2</f>
        <v>0.96341463414634154</v>
      </c>
      <c r="N35" s="18">
        <f>Marketplace_customer!M35/Marketplace_customer!M$2</f>
        <v>0</v>
      </c>
      <c r="O35" s="18">
        <f>Marketplace_customer!N35/Marketplace_customer!N$2</f>
        <v>0</v>
      </c>
      <c r="P35" s="18">
        <f>Marketplace_customer!O35/Marketplace_customer!O$2</f>
        <v>9.1489361702127656E-3</v>
      </c>
      <c r="Q35" s="18">
        <f>Marketplace_customer!P35/Marketplace_customer!P$2</f>
        <v>0</v>
      </c>
      <c r="R35" s="18">
        <f>Marketplace_customer!Q35/Marketplace_customer!Q$2</f>
        <v>0</v>
      </c>
      <c r="S35" s="18">
        <f>Marketplace_customer!R35/Marketplace_customer!R$2</f>
        <v>0</v>
      </c>
      <c r="T35" s="18">
        <f>Marketplace_customer!S35/Marketplace_customer!S$2</f>
        <v>0</v>
      </c>
      <c r="U35" s="18">
        <f>Marketplace_customer!T35/Marketplace_customer!T$2</f>
        <v>0</v>
      </c>
      <c r="V35" s="18">
        <f>Marketplace_customer!U35/Marketplace_customer!U$2</f>
        <v>0</v>
      </c>
      <c r="W35" s="18">
        <f>Marketplace_customer!V35/Marketplace_customer!V$2</f>
        <v>0</v>
      </c>
      <c r="X35" s="18">
        <f>Marketplace_customer!W35/Marketplace_customer!W$2</f>
        <v>0</v>
      </c>
      <c r="Y35" s="18">
        <f>Marketplace_customer!X35/Marketplace_customer!X$2</f>
        <v>0</v>
      </c>
      <c r="Z35" s="18">
        <f>Marketplace_customer!Y35/Marketplace_customer!Y$2</f>
        <v>0</v>
      </c>
      <c r="AA35" s="18">
        <f>Marketplace_customer!Z35/Marketplace_customer!Z$2</f>
        <v>0</v>
      </c>
      <c r="AB35" s="18">
        <f>Marketplace_customer!AA35/Marketplace_customer!AA$2</f>
        <v>0</v>
      </c>
      <c r="AC35" s="18">
        <f>Marketplace_customer!AB35/Marketplace_customer!AB$2</f>
        <v>0</v>
      </c>
      <c r="AD35" s="18">
        <f>Marketplace_customer!AC35/Marketplace_customer!AC$2</f>
        <v>1.5723270440251572E-2</v>
      </c>
      <c r="AE35" s="18">
        <f>Marketplace_customer!AD35/Marketplace_customer!AD$2</f>
        <v>0</v>
      </c>
      <c r="AF35" s="18">
        <f>Marketplace_customer!AE35/Marketplace_customer!AE$2</f>
        <v>0</v>
      </c>
      <c r="AG35" s="18">
        <f>Marketplace_customer!AF35/Marketplace_customer!AF$2</f>
        <v>6.6296296296296294E-3</v>
      </c>
      <c r="AH35" s="18">
        <f>Marketplace_customer!AG35/Marketplace_customer!AG$2</f>
        <v>4.8865979381443299E-3</v>
      </c>
      <c r="AI35" s="18">
        <f>Marketplace_customer!AH35/Marketplace_customer!AH$2</f>
        <v>0</v>
      </c>
      <c r="AJ35" s="18">
        <f>Marketplace_customer!AI35/Marketplace_customer!AI$2</f>
        <v>0</v>
      </c>
      <c r="AK35" s="18">
        <f>Marketplace_customer!AJ35/Marketplace_customer!AJ$2</f>
        <v>0</v>
      </c>
      <c r="AL35" s="18">
        <f>Marketplace_customer!AK35/Marketplace_customer!AK$2</f>
        <v>0</v>
      </c>
      <c r="AM35" s="18">
        <f>Marketplace_customer!AL35/Marketplace_customer!AL$2</f>
        <v>0</v>
      </c>
      <c r="AN35" s="18">
        <f>Marketplace_customer!AM35/Marketplace_customer!AM$2</f>
        <v>0</v>
      </c>
      <c r="AO35" s="18">
        <f>Marketplace_customer!AN35/Marketplace_customer!AN$2</f>
        <v>0</v>
      </c>
      <c r="AP35" s="18">
        <f>Marketplace_customer!AO35/Marketplace_customer!AO$2</f>
        <v>0</v>
      </c>
      <c r="AQ35" s="18">
        <f>Marketplace_customer!AP35/Marketplace_customer!AP$2</f>
        <v>0</v>
      </c>
      <c r="AR35" s="18">
        <f>Marketplace_customer!AQ35/Marketplace_customer!AQ$2</f>
        <v>0</v>
      </c>
      <c r="AS35" s="18">
        <f>Marketplace_customer!AR35/Marketplace_customer!AR$2</f>
        <v>0</v>
      </c>
      <c r="AT35" s="18">
        <f>Marketplace_customer!AS35/Marketplace_customer!AS$2</f>
        <v>0</v>
      </c>
      <c r="AU35" s="18">
        <f>Marketplace_customer!AT35/Marketplace_customer!AT$2</f>
        <v>0</v>
      </c>
      <c r="AV35" s="18">
        <f>Marketplace_customer!AU35/Marketplace_customer!AU$2</f>
        <v>0.22580645161290322</v>
      </c>
      <c r="AW35" s="18">
        <f>Marketplace_customer!AV35/Marketplace_customer!AV$2</f>
        <v>0.96261682242990665</v>
      </c>
      <c r="AX35" s="18">
        <f>Marketplace_customer!AW35/Marketplace_customer!AW$2</f>
        <v>0</v>
      </c>
      <c r="AY35" s="18">
        <f>Marketplace_customer!AX35/Marketplace_customer!AX$2</f>
        <v>0</v>
      </c>
      <c r="AZ35" s="18">
        <f>Marketplace_customer!AY35/Marketplace_customer!AY$2</f>
        <v>8.7810858723925966E-2</v>
      </c>
      <c r="BA35" s="18">
        <f>Marketplace_customer!AZ35/Marketplace_customer!AZ$2</f>
        <v>0</v>
      </c>
      <c r="BB35" s="18">
        <f>Marketplace_customer!BA35/Marketplace_customer!BA$2</f>
        <v>0</v>
      </c>
      <c r="BC35" s="18">
        <f>Marketplace_customer!BB35/Marketplace_customer!BB$2</f>
        <v>0</v>
      </c>
      <c r="BD35" s="18">
        <f>Marketplace_customer!BC35/Marketplace_customer!BC$2</f>
        <v>0</v>
      </c>
      <c r="BE35" s="18">
        <f>Marketplace_customer!BD35/Marketplace_customer!BD$2</f>
        <v>0</v>
      </c>
      <c r="BF35" s="18">
        <f>Marketplace_customer!BE35/Marketplace_customer!BE$2</f>
        <v>0</v>
      </c>
      <c r="BG35" s="18">
        <f>Marketplace_customer!BF35/Marketplace_customer!BF$2</f>
        <v>0</v>
      </c>
      <c r="BH35" s="18">
        <f>Marketplace_customer!BG35/Marketplace_customer!BG$2</f>
        <v>0</v>
      </c>
      <c r="BI35" s="18">
        <f>Marketplace_customer!BH35/Marketplace_customer!BH$2</f>
        <v>0</v>
      </c>
      <c r="BJ35" s="18">
        <f>Marketplace_customer!BI35/Marketplace_customer!BI$2</f>
        <v>0</v>
      </c>
      <c r="BK35" s="18">
        <f>Marketplace_customer!BJ35/Marketplace_customer!BJ$2</f>
        <v>3.6334808746779418E-3</v>
      </c>
      <c r="BL35" s="18">
        <f>Marketplace_customer!BK35/Marketplace_customer!BK$2</f>
        <v>0</v>
      </c>
      <c r="BM35" s="18">
        <f>Marketplace_customer!BL35/Marketplace_customer!BL$2</f>
        <v>0</v>
      </c>
      <c r="BN35" s="18">
        <f>Marketplace_customer!BM35/Marketplace_customer!BM$2</f>
        <v>0</v>
      </c>
      <c r="BO35" s="18">
        <f>Marketplace_customer!BN35/Marketplace_customer!BN$2</f>
        <v>0</v>
      </c>
      <c r="BP35" s="18">
        <f>Marketplace_customer!BO35/Marketplace_customer!BO$2</f>
        <v>0</v>
      </c>
      <c r="BQ35" s="18">
        <f>Marketplace_customer!BP35/Marketplace_customer!BP$2</f>
        <v>0</v>
      </c>
      <c r="BR35" s="18">
        <f>Marketplace_customer!BQ35/Marketplace_customer!BQ$2</f>
        <v>0</v>
      </c>
      <c r="BS35" s="18">
        <f>Marketplace_customer!BR35/Marketplace_customer!BR$2</f>
        <v>1.5436507936507937E-3</v>
      </c>
      <c r="BT35" s="18">
        <f>Marketplace_customer!BS35/Marketplace_customer!BS$2</f>
        <v>0</v>
      </c>
      <c r="BU35" s="18">
        <f>Marketplace_customer!BT35/Marketplace_customer!BT$2</f>
        <v>0</v>
      </c>
      <c r="BV35" s="18">
        <f>Marketplace_customer!BU35/Marketplace_customer!BU$2</f>
        <v>0</v>
      </c>
      <c r="BW35" s="19"/>
      <c r="BX35" s="20">
        <f t="shared" ref="BX35:BX64" ca="1" si="80">D35*$C35</f>
        <v>0</v>
      </c>
      <c r="BY35" s="20">
        <f t="shared" ref="BY35:BY64" ca="1" si="81">E35*$C35</f>
        <v>0</v>
      </c>
      <c r="BZ35" s="20">
        <f t="shared" ref="BZ35:BZ64" ca="1" si="82">F35*$C35</f>
        <v>0</v>
      </c>
      <c r="CA35" s="20">
        <f t="shared" ref="CA35:CA64" ca="1" si="83">G35*$C35</f>
        <v>0</v>
      </c>
      <c r="CB35" s="20">
        <f t="shared" ref="CB35:CB64" ca="1" si="84">H35*$C35</f>
        <v>0</v>
      </c>
      <c r="CC35" s="20">
        <f t="shared" ref="CC35:CC64" ca="1" si="85">I35*$C35</f>
        <v>0</v>
      </c>
      <c r="CD35" s="20">
        <f t="shared" ref="CD35:CD64" ca="1" si="86">J35*$C35</f>
        <v>30596227482.77285</v>
      </c>
      <c r="CE35" s="20">
        <f t="shared" ref="CE35:CE64" ca="1" si="87">K35*$C35</f>
        <v>0</v>
      </c>
      <c r="CF35" s="20">
        <f t="shared" ref="CF35:CF64" ca="1" si="88">L35*$C35</f>
        <v>0</v>
      </c>
      <c r="CG35" s="20">
        <f t="shared" ref="CG35:CG64" ca="1" si="89">M35*$C35</f>
        <v>1106721855964.9995</v>
      </c>
      <c r="CH35" s="20">
        <f t="shared" ref="CH35:CH64" ca="1" si="90">N35*$C35</f>
        <v>0</v>
      </c>
      <c r="CI35" s="20">
        <f t="shared" ref="CI35:CI64" ca="1" si="91">O35*$C35</f>
        <v>0</v>
      </c>
      <c r="CJ35" s="20">
        <f t="shared" ref="CJ35:CJ64" ca="1" si="92">P35*$C35</f>
        <v>10509833730.494448</v>
      </c>
      <c r="CK35" s="20">
        <f t="shared" ref="CK35:CK64" ca="1" si="93">Q35*$C35</f>
        <v>0</v>
      </c>
      <c r="CL35" s="20">
        <f t="shared" ref="CL35:CL64" ca="1" si="94">R35*$C35</f>
        <v>0</v>
      </c>
      <c r="CM35" s="20">
        <f t="shared" ref="CM35:CM64" ca="1" si="95">S35*$C35</f>
        <v>0</v>
      </c>
      <c r="CN35" s="20">
        <f t="shared" ref="CN35:CN64" ca="1" si="96">T35*$C35</f>
        <v>0</v>
      </c>
      <c r="CO35" s="20">
        <f t="shared" ref="CO35:CO64" ca="1" si="97">U35*$C35</f>
        <v>0</v>
      </c>
      <c r="CP35" s="20">
        <f t="shared" ref="CP35:CP64" ca="1" si="98">V35*$C35</f>
        <v>0</v>
      </c>
      <c r="CQ35" s="20">
        <f t="shared" ref="CQ35:CQ64" ca="1" si="99">W35*$C35</f>
        <v>0</v>
      </c>
      <c r="CR35" s="20">
        <f t="shared" ref="CR35:CR64" ca="1" si="100">X35*$C35</f>
        <v>0</v>
      </c>
      <c r="CS35" s="20">
        <f t="shared" ref="CS35:CS64" ca="1" si="101">Y35*$C35</f>
        <v>0</v>
      </c>
      <c r="CT35" s="20">
        <f t="shared" ref="CT35:CT64" ca="1" si="102">Z35*$C35</f>
        <v>0</v>
      </c>
      <c r="CU35" s="20">
        <f t="shared" ref="CU35:CU64" ca="1" si="103">AA35*$C35</f>
        <v>0</v>
      </c>
      <c r="CV35" s="20">
        <f t="shared" ref="CV35:CV64" ca="1" si="104">AB35*$C35</f>
        <v>0</v>
      </c>
      <c r="CW35" s="20">
        <f t="shared" ref="CW35:CW64" ca="1" si="105">AC35*$C35</f>
        <v>0</v>
      </c>
      <c r="CX35" s="20">
        <f t="shared" ref="CX35:CX64" ca="1" si="106">AD35*$C35</f>
        <v>18062095412.214386</v>
      </c>
      <c r="CY35" s="20">
        <f t="shared" ref="CY35:CY64" ca="1" si="107">AE35*$C35</f>
        <v>0</v>
      </c>
      <c r="CZ35" s="20">
        <f t="shared" ref="CZ35:CZ64" ca="1" si="108">AF35*$C35</f>
        <v>0</v>
      </c>
      <c r="DA35" s="20">
        <f t="shared" ref="DA35:DA64" ca="1" si="109">AG35*$C35</f>
        <v>7615782185.5856838</v>
      </c>
      <c r="DB35" s="20">
        <f t="shared" ref="DB35:DB64" ca="1" si="110">AH35*$C35</f>
        <v>5613475805.5131931</v>
      </c>
      <c r="DC35" s="20">
        <f t="shared" ref="DC35:DC64" ca="1" si="111">AI35*$C35</f>
        <v>0</v>
      </c>
      <c r="DD35" s="20">
        <f t="shared" ref="DD35:DD64" ca="1" si="112">AJ35*$C35</f>
        <v>0</v>
      </c>
      <c r="DE35" s="20">
        <f t="shared" ref="DE35:DE64" ca="1" si="113">AK35*$C35</f>
        <v>0</v>
      </c>
      <c r="DF35" s="20">
        <f t="shared" ref="DF35:DF64" ca="1" si="114">AL35*$C35</f>
        <v>0</v>
      </c>
      <c r="DG35" s="20">
        <f t="shared" ref="DG35:DG64" ca="1" si="115">AM35*$C35</f>
        <v>0</v>
      </c>
      <c r="DH35" s="20">
        <f t="shared" ref="DH35:DH64" ca="1" si="116">AN35*$C35</f>
        <v>0</v>
      </c>
      <c r="DI35" s="20">
        <f t="shared" ref="DI35:DI64" ca="1" si="117">AO35*$C35</f>
        <v>0</v>
      </c>
      <c r="DJ35" s="20">
        <f t="shared" ref="DJ35:DJ64" ca="1" si="118">AP35*$C35</f>
        <v>0</v>
      </c>
      <c r="DK35" s="20">
        <f t="shared" ref="DK35:DK64" ca="1" si="119">AQ35*$C35</f>
        <v>0</v>
      </c>
      <c r="DL35" s="20">
        <f t="shared" ref="DL35:DL64" ca="1" si="120">AR35*$C35</f>
        <v>0</v>
      </c>
      <c r="DM35" s="20">
        <f t="shared" ref="DM35:DM64" ca="1" si="121">AS35*$C35</f>
        <v>0</v>
      </c>
      <c r="DN35" s="20">
        <f t="shared" ref="DN35:DN64" ca="1" si="122">AT35*$C35</f>
        <v>0</v>
      </c>
      <c r="DO35" s="20">
        <f t="shared" ref="DO35:DO64" ca="1" si="123">AU35*$C35</f>
        <v>0</v>
      </c>
      <c r="DP35" s="20">
        <f t="shared" ref="DP35:DP64" ca="1" si="124">AV35*$C35</f>
        <v>259394996048.96274</v>
      </c>
      <c r="DQ35" s="20">
        <f t="shared" ref="DQ35:DQ64" ca="1" si="125">AW35*$C35</f>
        <v>1105805370339.5703</v>
      </c>
      <c r="DR35" s="20">
        <f t="shared" ref="DR35:DR64" ca="1" si="126">AX35*$C35</f>
        <v>0</v>
      </c>
      <c r="DS35" s="20">
        <f t="shared" ref="DS35:DS64" ca="1" si="127">AY35*$C35</f>
        <v>0</v>
      </c>
      <c r="DT35" s="20">
        <f t="shared" ref="DT35:DT64" ca="1" si="128">AZ35*$C35</f>
        <v>100872659700.60184</v>
      </c>
      <c r="DU35" s="20">
        <f t="shared" ref="DU35:DU64" ca="1" si="129">BA35*$C35</f>
        <v>0</v>
      </c>
      <c r="DV35" s="20">
        <f t="shared" ref="DV35:DV64" ca="1" si="130">BB35*$C35</f>
        <v>0</v>
      </c>
      <c r="DW35" s="20">
        <f t="shared" ref="DW35:DW64" ca="1" si="131">BC35*$C35</f>
        <v>0</v>
      </c>
      <c r="DX35" s="20">
        <f t="shared" ref="DX35:DX64" ca="1" si="132">BD35*$C35</f>
        <v>0</v>
      </c>
      <c r="DY35" s="20">
        <f t="shared" ref="DY35:DY64" ca="1" si="133">BE35*$C35</f>
        <v>0</v>
      </c>
      <c r="DZ35" s="20">
        <f t="shared" ref="DZ35:DZ64" ca="1" si="134">BF35*$C35</f>
        <v>0</v>
      </c>
      <c r="EA35" s="20">
        <f t="shared" ref="EA35:EA64" ca="1" si="135">BG35*$C35</f>
        <v>0</v>
      </c>
      <c r="EB35" s="20">
        <f t="shared" ref="EB35:EB64" ca="1" si="136">BH35*$C35</f>
        <v>0</v>
      </c>
      <c r="EC35" s="20">
        <f t="shared" ref="EC35:EC64" ca="1" si="137">BI35*$C35</f>
        <v>0</v>
      </c>
      <c r="ED35" s="20">
        <f t="shared" ref="ED35:ED64" ca="1" si="138">BJ35*$C35</f>
        <v>0</v>
      </c>
      <c r="EE35" s="20">
        <f t="shared" ref="EE35:EE64" ca="1" si="139">BK35*$C35</f>
        <v>4173958495.8661509</v>
      </c>
      <c r="EF35" s="20">
        <f t="shared" ref="EF35:EF64" ca="1" si="140">BL35*$C35</f>
        <v>0</v>
      </c>
      <c r="EG35" s="20">
        <f t="shared" ref="EG35:EG64" ca="1" si="141">BM35*$C35</f>
        <v>0</v>
      </c>
      <c r="EH35" s="20">
        <f t="shared" ref="EH35:EH64" ca="1" si="142">BN35*$C35</f>
        <v>0</v>
      </c>
      <c r="EI35" s="20">
        <f t="shared" ref="EI35:EI64" ca="1" si="143">BO35*$C35</f>
        <v>0</v>
      </c>
      <c r="EJ35" s="20">
        <f t="shared" ref="EJ35:EJ64" ca="1" si="144">BP35*$C35</f>
        <v>0</v>
      </c>
      <c r="EK35" s="20">
        <f t="shared" ref="EK35:EK64" ca="1" si="145">BQ35*$C35</f>
        <v>0</v>
      </c>
      <c r="EL35" s="20">
        <f t="shared" ref="EL35:EL64" ca="1" si="146">BR35*$C35</f>
        <v>0</v>
      </c>
      <c r="EM35" s="20">
        <f t="shared" ref="EM35:EM64" ca="1" si="147">BS35*$C35</f>
        <v>1773267719.5886858</v>
      </c>
      <c r="EN35" s="20">
        <f t="shared" ref="EN35:EN64" ca="1" si="148">BT35*$C35</f>
        <v>0</v>
      </c>
      <c r="EO35" s="20">
        <f t="shared" ref="EO35:EO64" ca="1" si="149">BU35*$C35</f>
        <v>0</v>
      </c>
      <c r="EP35" s="20">
        <f t="shared" ref="EP35:EP64" ca="1" si="150">BV35*$C35</f>
        <v>0</v>
      </c>
      <c r="EQ35" s="17" t="s">
        <v>117</v>
      </c>
      <c r="ER35" s="19">
        <v>218608646162.591</v>
      </c>
      <c r="ES35" s="20">
        <f t="shared" si="79"/>
        <v>26.110548964343046</v>
      </c>
    </row>
    <row r="36" spans="1:149" ht="15">
      <c r="A36" s="21" t="s">
        <v>191</v>
      </c>
      <c r="B36" s="14">
        <f ca="1">IFERROR(__xludf.dummyfunction("QUERY('Countries markets attractivenes'!A:C, ""SELECT C WHERE A = '""&amp;A36&amp;""'"",0)"),27.4178370040403)</f>
        <v>27.417837004040301</v>
      </c>
      <c r="C36" s="14">
        <f t="shared" ca="1" si="78"/>
        <v>808007359760.3363</v>
      </c>
      <c r="D36" s="18">
        <f>Marketplace_customer!C36/Marketplace_customer!C$2</f>
        <v>0</v>
      </c>
      <c r="E36" s="18">
        <f>Marketplace_customer!D36/Marketplace_customer!D$2</f>
        <v>0</v>
      </c>
      <c r="F36" s="18">
        <f>Marketplace_customer!E36/Marketplace_customer!E$2</f>
        <v>0</v>
      </c>
      <c r="G36" s="18">
        <f>Marketplace_customer!F36/Marketplace_customer!F$2</f>
        <v>0</v>
      </c>
      <c r="H36" s="18">
        <f>Marketplace_customer!G36/Marketplace_customer!G$2</f>
        <v>0</v>
      </c>
      <c r="I36" s="18">
        <f>Marketplace_customer!H36/Marketplace_customer!H$2</f>
        <v>0</v>
      </c>
      <c r="J36" s="18">
        <f>Marketplace_customer!I36/Marketplace_customer!I$2</f>
        <v>0</v>
      </c>
      <c r="K36" s="18">
        <f>Marketplace_customer!J36/Marketplace_customer!J$2</f>
        <v>0</v>
      </c>
      <c r="L36" s="18">
        <f>Marketplace_customer!K36/Marketplace_customer!K$2</f>
        <v>0</v>
      </c>
      <c r="M36" s="18">
        <f>Marketplace_customer!L36/Marketplace_customer!L$2</f>
        <v>0</v>
      </c>
      <c r="N36" s="18">
        <f>Marketplace_customer!M36/Marketplace_customer!M$2</f>
        <v>0.55555555555555558</v>
      </c>
      <c r="O36" s="18">
        <f>Marketplace_customer!N36/Marketplace_customer!N$2</f>
        <v>0</v>
      </c>
      <c r="P36" s="18">
        <f>Marketplace_customer!O36/Marketplace_customer!O$2</f>
        <v>1.7021276595744683E-3</v>
      </c>
      <c r="Q36" s="18">
        <f>Marketplace_customer!P36/Marketplace_customer!P$2</f>
        <v>0</v>
      </c>
      <c r="R36" s="18">
        <f>Marketplace_customer!Q36/Marketplace_customer!Q$2</f>
        <v>0</v>
      </c>
      <c r="S36" s="18">
        <f>Marketplace_customer!R36/Marketplace_customer!R$2</f>
        <v>0</v>
      </c>
      <c r="T36" s="18">
        <f>Marketplace_customer!S36/Marketplace_customer!S$2</f>
        <v>0.79905437352245856</v>
      </c>
      <c r="U36" s="18">
        <f>Marketplace_customer!T36/Marketplace_customer!T$2</f>
        <v>0</v>
      </c>
      <c r="V36" s="18">
        <f>Marketplace_customer!U36/Marketplace_customer!U$2</f>
        <v>0</v>
      </c>
      <c r="W36" s="18">
        <f>Marketplace_customer!V36/Marketplace_customer!V$2</f>
        <v>0</v>
      </c>
      <c r="X36" s="18">
        <f>Marketplace_customer!W36/Marketplace_customer!W$2</f>
        <v>0</v>
      </c>
      <c r="Y36" s="18">
        <f>Marketplace_customer!X36/Marketplace_customer!X$2</f>
        <v>0</v>
      </c>
      <c r="Z36" s="18">
        <f>Marketplace_customer!Y36/Marketplace_customer!Y$2</f>
        <v>0</v>
      </c>
      <c r="AA36" s="18">
        <f>Marketplace_customer!Z36/Marketplace_customer!Z$2</f>
        <v>0.9390243902439025</v>
      </c>
      <c r="AB36" s="18">
        <f>Marketplace_customer!AA36/Marketplace_customer!AA$2</f>
        <v>0</v>
      </c>
      <c r="AC36" s="18">
        <f>Marketplace_customer!AB36/Marketplace_customer!AB$2</f>
        <v>0</v>
      </c>
      <c r="AD36" s="18">
        <f>Marketplace_customer!AC36/Marketplace_customer!AC$2</f>
        <v>0</v>
      </c>
      <c r="AE36" s="18">
        <f>Marketplace_customer!AD36/Marketplace_customer!AD$2</f>
        <v>0</v>
      </c>
      <c r="AF36" s="18">
        <f>Marketplace_customer!AE36/Marketplace_customer!AE$2</f>
        <v>0</v>
      </c>
      <c r="AG36" s="18">
        <f>Marketplace_customer!AF36/Marketplace_customer!AF$2</f>
        <v>0</v>
      </c>
      <c r="AH36" s="18">
        <f>Marketplace_customer!AG36/Marketplace_customer!AG$2</f>
        <v>9.7938144329896906E-3</v>
      </c>
      <c r="AI36" s="18">
        <f>Marketplace_customer!AH36/Marketplace_customer!AH$2</f>
        <v>0</v>
      </c>
      <c r="AJ36" s="18">
        <f>Marketplace_customer!AI36/Marketplace_customer!AI$2</f>
        <v>0</v>
      </c>
      <c r="AK36" s="18">
        <f>Marketplace_customer!AJ36/Marketplace_customer!AJ$2</f>
        <v>0</v>
      </c>
      <c r="AL36" s="18">
        <f>Marketplace_customer!AK36/Marketplace_customer!AK$2</f>
        <v>0</v>
      </c>
      <c r="AM36" s="18">
        <f>Marketplace_customer!AL36/Marketplace_customer!AL$2</f>
        <v>0</v>
      </c>
      <c r="AN36" s="18">
        <f>Marketplace_customer!AM36/Marketplace_customer!AM$2</f>
        <v>0</v>
      </c>
      <c r="AO36" s="18">
        <f>Marketplace_customer!AN36/Marketplace_customer!AN$2</f>
        <v>0</v>
      </c>
      <c r="AP36" s="18">
        <f>Marketplace_customer!AO36/Marketplace_customer!AO$2</f>
        <v>0</v>
      </c>
      <c r="AQ36" s="18">
        <f>Marketplace_customer!AP36/Marketplace_customer!AP$2</f>
        <v>0</v>
      </c>
      <c r="AR36" s="18">
        <f>Marketplace_customer!AQ36/Marketplace_customer!AQ$2</f>
        <v>0</v>
      </c>
      <c r="AS36" s="18">
        <f>Marketplace_customer!AR36/Marketplace_customer!AR$2</f>
        <v>0</v>
      </c>
      <c r="AT36" s="18">
        <f>Marketplace_customer!AS36/Marketplace_customer!AS$2</f>
        <v>0</v>
      </c>
      <c r="AU36" s="18">
        <f>Marketplace_customer!AT36/Marketplace_customer!AT$2</f>
        <v>0</v>
      </c>
      <c r="AV36" s="18">
        <f>Marketplace_customer!AU36/Marketplace_customer!AU$2</f>
        <v>0</v>
      </c>
      <c r="AW36" s="18">
        <f>Marketplace_customer!AV36/Marketplace_customer!AV$2</f>
        <v>0</v>
      </c>
      <c r="AX36" s="18">
        <f>Marketplace_customer!AW36/Marketplace_customer!AW$2</f>
        <v>0</v>
      </c>
      <c r="AY36" s="18">
        <f>Marketplace_customer!AX36/Marketplace_customer!AX$2</f>
        <v>0.92948717948717952</v>
      </c>
      <c r="AZ36" s="18">
        <f>Marketplace_customer!AY36/Marketplace_customer!AY$2</f>
        <v>0</v>
      </c>
      <c r="BA36" s="18">
        <f>Marketplace_customer!AZ36/Marketplace_customer!AZ$2</f>
        <v>0</v>
      </c>
      <c r="BB36" s="18">
        <f>Marketplace_customer!BA36/Marketplace_customer!BA$2</f>
        <v>0</v>
      </c>
      <c r="BC36" s="18">
        <f>Marketplace_customer!BB36/Marketplace_customer!BB$2</f>
        <v>0</v>
      </c>
      <c r="BD36" s="18">
        <f>Marketplace_customer!BC36/Marketplace_customer!BC$2</f>
        <v>0</v>
      </c>
      <c r="BE36" s="18">
        <f>Marketplace_customer!BD36/Marketplace_customer!BD$2</f>
        <v>0</v>
      </c>
      <c r="BF36" s="18">
        <f>Marketplace_customer!BE36/Marketplace_customer!BE$2</f>
        <v>0</v>
      </c>
      <c r="BG36" s="18">
        <f>Marketplace_customer!BF36/Marketplace_customer!BF$2</f>
        <v>0</v>
      </c>
      <c r="BH36" s="18">
        <f>Marketplace_customer!BG36/Marketplace_customer!BG$2</f>
        <v>0</v>
      </c>
      <c r="BI36" s="18">
        <f>Marketplace_customer!BH36/Marketplace_customer!BH$2</f>
        <v>0</v>
      </c>
      <c r="BJ36" s="18">
        <f>Marketplace_customer!BI36/Marketplace_customer!BI$2</f>
        <v>0</v>
      </c>
      <c r="BK36" s="18">
        <f>Marketplace_customer!BJ36/Marketplace_customer!BJ$2</f>
        <v>0</v>
      </c>
      <c r="BL36" s="18">
        <f>Marketplace_customer!BK36/Marketplace_customer!BK$2</f>
        <v>0</v>
      </c>
      <c r="BM36" s="18">
        <f>Marketplace_customer!BL36/Marketplace_customer!BL$2</f>
        <v>0</v>
      </c>
      <c r="BN36" s="18">
        <f>Marketplace_customer!BM36/Marketplace_customer!BM$2</f>
        <v>0</v>
      </c>
      <c r="BO36" s="18">
        <f>Marketplace_customer!BN36/Marketplace_customer!BN$2</f>
        <v>0</v>
      </c>
      <c r="BP36" s="18">
        <f>Marketplace_customer!BO36/Marketplace_customer!BO$2</f>
        <v>0</v>
      </c>
      <c r="BQ36" s="18">
        <f>Marketplace_customer!BP36/Marketplace_customer!BP$2</f>
        <v>0</v>
      </c>
      <c r="BR36" s="18">
        <f>Marketplace_customer!BQ36/Marketplace_customer!BQ$2</f>
        <v>0</v>
      </c>
      <c r="BS36" s="18">
        <f>Marketplace_customer!BR36/Marketplace_customer!BR$2</f>
        <v>0</v>
      </c>
      <c r="BT36" s="18">
        <f>Marketplace_customer!BS36/Marketplace_customer!BS$2</f>
        <v>0</v>
      </c>
      <c r="BU36" s="18">
        <f>Marketplace_customer!BT36/Marketplace_customer!BT$2</f>
        <v>0</v>
      </c>
      <c r="BV36" s="18">
        <f>Marketplace_customer!BU36/Marketplace_customer!BU$2</f>
        <v>0</v>
      </c>
      <c r="BW36" s="19"/>
      <c r="BX36" s="20">
        <f t="shared" ca="1" si="80"/>
        <v>0</v>
      </c>
      <c r="BY36" s="20">
        <f t="shared" ca="1" si="81"/>
        <v>0</v>
      </c>
      <c r="BZ36" s="20">
        <f t="shared" ca="1" si="82"/>
        <v>0</v>
      </c>
      <c r="CA36" s="20">
        <f t="shared" ca="1" si="83"/>
        <v>0</v>
      </c>
      <c r="CB36" s="20">
        <f t="shared" ca="1" si="84"/>
        <v>0</v>
      </c>
      <c r="CC36" s="20">
        <f t="shared" ca="1" si="85"/>
        <v>0</v>
      </c>
      <c r="CD36" s="20">
        <f t="shared" ca="1" si="86"/>
        <v>0</v>
      </c>
      <c r="CE36" s="20">
        <f t="shared" ca="1" si="87"/>
        <v>0</v>
      </c>
      <c r="CF36" s="20">
        <f t="shared" ca="1" si="88"/>
        <v>0</v>
      </c>
      <c r="CG36" s="20">
        <f t="shared" ca="1" si="89"/>
        <v>0</v>
      </c>
      <c r="CH36" s="20">
        <f t="shared" ca="1" si="90"/>
        <v>448892977644.63129</v>
      </c>
      <c r="CI36" s="20">
        <f t="shared" ca="1" si="91"/>
        <v>0</v>
      </c>
      <c r="CJ36" s="20">
        <f t="shared" ca="1" si="92"/>
        <v>1375331676.1878066</v>
      </c>
      <c r="CK36" s="20">
        <f t="shared" ca="1" si="93"/>
        <v>0</v>
      </c>
      <c r="CL36" s="20">
        <f t="shared" ca="1" si="94"/>
        <v>0</v>
      </c>
      <c r="CM36" s="20">
        <f t="shared" ca="1" si="95"/>
        <v>0</v>
      </c>
      <c r="CN36" s="20">
        <f t="shared" ca="1" si="96"/>
        <v>645641814654.8313</v>
      </c>
      <c r="CO36" s="20">
        <f t="shared" ca="1" si="97"/>
        <v>0</v>
      </c>
      <c r="CP36" s="20">
        <f t="shared" ca="1" si="98"/>
        <v>0</v>
      </c>
      <c r="CQ36" s="20">
        <f t="shared" ca="1" si="99"/>
        <v>0</v>
      </c>
      <c r="CR36" s="20">
        <f t="shared" ca="1" si="100"/>
        <v>0</v>
      </c>
      <c r="CS36" s="20">
        <f t="shared" ca="1" si="101"/>
        <v>0</v>
      </c>
      <c r="CT36" s="20">
        <f t="shared" ca="1" si="102"/>
        <v>0</v>
      </c>
      <c r="CU36" s="20">
        <f t="shared" ca="1" si="103"/>
        <v>758738618311.5354</v>
      </c>
      <c r="CV36" s="20">
        <f t="shared" ca="1" si="104"/>
        <v>0</v>
      </c>
      <c r="CW36" s="20">
        <f t="shared" ca="1" si="105"/>
        <v>0</v>
      </c>
      <c r="CX36" s="20">
        <f t="shared" ca="1" si="106"/>
        <v>0</v>
      </c>
      <c r="CY36" s="20">
        <f t="shared" ca="1" si="107"/>
        <v>0</v>
      </c>
      <c r="CZ36" s="20">
        <f t="shared" ca="1" si="108"/>
        <v>0</v>
      </c>
      <c r="DA36" s="20">
        <f t="shared" ca="1" si="109"/>
        <v>0</v>
      </c>
      <c r="DB36" s="20">
        <f t="shared" ca="1" si="110"/>
        <v>7913474141.9826746</v>
      </c>
      <c r="DC36" s="20">
        <f t="shared" ca="1" si="111"/>
        <v>0</v>
      </c>
      <c r="DD36" s="20">
        <f t="shared" ca="1" si="112"/>
        <v>0</v>
      </c>
      <c r="DE36" s="20">
        <f t="shared" ca="1" si="113"/>
        <v>0</v>
      </c>
      <c r="DF36" s="20">
        <f t="shared" ca="1" si="114"/>
        <v>0</v>
      </c>
      <c r="DG36" s="20">
        <f t="shared" ca="1" si="115"/>
        <v>0</v>
      </c>
      <c r="DH36" s="20">
        <f t="shared" ca="1" si="116"/>
        <v>0</v>
      </c>
      <c r="DI36" s="20">
        <f t="shared" ca="1" si="117"/>
        <v>0</v>
      </c>
      <c r="DJ36" s="20">
        <f t="shared" ca="1" si="118"/>
        <v>0</v>
      </c>
      <c r="DK36" s="20">
        <f t="shared" ca="1" si="119"/>
        <v>0</v>
      </c>
      <c r="DL36" s="20">
        <f t="shared" ca="1" si="120"/>
        <v>0</v>
      </c>
      <c r="DM36" s="20">
        <f t="shared" ca="1" si="121"/>
        <v>0</v>
      </c>
      <c r="DN36" s="20">
        <f t="shared" ca="1" si="122"/>
        <v>0</v>
      </c>
      <c r="DO36" s="20">
        <f t="shared" ca="1" si="123"/>
        <v>0</v>
      </c>
      <c r="DP36" s="20">
        <f t="shared" ca="1" si="124"/>
        <v>0</v>
      </c>
      <c r="DQ36" s="20">
        <f t="shared" ca="1" si="125"/>
        <v>0</v>
      </c>
      <c r="DR36" s="20">
        <f t="shared" ca="1" si="126"/>
        <v>0</v>
      </c>
      <c r="DS36" s="20">
        <f t="shared" ca="1" si="127"/>
        <v>751032481828.5177</v>
      </c>
      <c r="DT36" s="20">
        <f t="shared" ca="1" si="128"/>
        <v>0</v>
      </c>
      <c r="DU36" s="20">
        <f t="shared" ca="1" si="129"/>
        <v>0</v>
      </c>
      <c r="DV36" s="20">
        <f t="shared" ca="1" si="130"/>
        <v>0</v>
      </c>
      <c r="DW36" s="20">
        <f t="shared" ca="1" si="131"/>
        <v>0</v>
      </c>
      <c r="DX36" s="20">
        <f t="shared" ca="1" si="132"/>
        <v>0</v>
      </c>
      <c r="DY36" s="20">
        <f t="shared" ca="1" si="133"/>
        <v>0</v>
      </c>
      <c r="DZ36" s="20">
        <f t="shared" ca="1" si="134"/>
        <v>0</v>
      </c>
      <c r="EA36" s="20">
        <f t="shared" ca="1" si="135"/>
        <v>0</v>
      </c>
      <c r="EB36" s="20">
        <f t="shared" ca="1" si="136"/>
        <v>0</v>
      </c>
      <c r="EC36" s="20">
        <f t="shared" ca="1" si="137"/>
        <v>0</v>
      </c>
      <c r="ED36" s="20">
        <f t="shared" ca="1" si="138"/>
        <v>0</v>
      </c>
      <c r="EE36" s="20">
        <f t="shared" ca="1" si="139"/>
        <v>0</v>
      </c>
      <c r="EF36" s="20">
        <f t="shared" ca="1" si="140"/>
        <v>0</v>
      </c>
      <c r="EG36" s="20">
        <f t="shared" ca="1" si="141"/>
        <v>0</v>
      </c>
      <c r="EH36" s="20">
        <f t="shared" ca="1" si="142"/>
        <v>0</v>
      </c>
      <c r="EI36" s="20">
        <f t="shared" ca="1" si="143"/>
        <v>0</v>
      </c>
      <c r="EJ36" s="20">
        <f t="shared" ca="1" si="144"/>
        <v>0</v>
      </c>
      <c r="EK36" s="20">
        <f t="shared" ca="1" si="145"/>
        <v>0</v>
      </c>
      <c r="EL36" s="20">
        <f t="shared" ca="1" si="146"/>
        <v>0</v>
      </c>
      <c r="EM36" s="20">
        <f t="shared" ca="1" si="147"/>
        <v>0</v>
      </c>
      <c r="EN36" s="20">
        <f t="shared" ca="1" si="148"/>
        <v>0</v>
      </c>
      <c r="EO36" s="20">
        <f t="shared" ca="1" si="149"/>
        <v>0</v>
      </c>
      <c r="EP36" s="20">
        <f t="shared" ca="1" si="150"/>
        <v>0</v>
      </c>
      <c r="EQ36" s="17" t="s">
        <v>118</v>
      </c>
      <c r="ER36" s="19">
        <v>1468954354376.99</v>
      </c>
      <c r="ES36" s="20">
        <f t="shared" si="79"/>
        <v>28.015571940055491</v>
      </c>
    </row>
    <row r="37" spans="1:149" ht="15">
      <c r="A37" s="21" t="s">
        <v>192</v>
      </c>
      <c r="B37" s="14">
        <f ca="1">IFERROR(__xludf.dummyfunction("QUERY('Countries markets attractivenes'!A:C, ""SELECT C WHERE A = '""&amp;A37&amp;""'"",0)"),26.0437475762058)</f>
        <v>26.043747576205799</v>
      </c>
      <c r="C37" s="14">
        <f t="shared" ca="1" si="78"/>
        <v>204482365452.68005</v>
      </c>
      <c r="D37" s="18">
        <f>Marketplace_customer!C37/Marketplace_customer!C$2</f>
        <v>0</v>
      </c>
      <c r="E37" s="18">
        <f>Marketplace_customer!D37/Marketplace_customer!D$2</f>
        <v>0</v>
      </c>
      <c r="F37" s="18">
        <f>Marketplace_customer!E37/Marketplace_customer!E$2</f>
        <v>0</v>
      </c>
      <c r="G37" s="18">
        <f>Marketplace_customer!F37/Marketplace_customer!F$2</f>
        <v>0</v>
      </c>
      <c r="H37" s="18">
        <f>Marketplace_customer!G37/Marketplace_customer!G$2</f>
        <v>0</v>
      </c>
      <c r="I37" s="18">
        <f>Marketplace_customer!H37/Marketplace_customer!H$2</f>
        <v>0</v>
      </c>
      <c r="J37" s="18">
        <f>Marketplace_customer!I37/Marketplace_customer!I$2</f>
        <v>0</v>
      </c>
      <c r="K37" s="18">
        <f>Marketplace_customer!J37/Marketplace_customer!J$2</f>
        <v>0</v>
      </c>
      <c r="L37" s="18">
        <f>Marketplace_customer!K37/Marketplace_customer!K$2</f>
        <v>0</v>
      </c>
      <c r="M37" s="18">
        <f>Marketplace_customer!L37/Marketplace_customer!L$2</f>
        <v>0</v>
      </c>
      <c r="N37" s="18">
        <f>Marketplace_customer!M37/Marketplace_customer!M$2</f>
        <v>0</v>
      </c>
      <c r="O37" s="18">
        <f>Marketplace_customer!N37/Marketplace_customer!N$2</f>
        <v>0</v>
      </c>
      <c r="P37" s="18">
        <f>Marketplace_customer!O37/Marketplace_customer!O$2</f>
        <v>1.4893617021276594E-3</v>
      </c>
      <c r="Q37" s="18">
        <f>Marketplace_customer!P37/Marketplace_customer!P$2</f>
        <v>0</v>
      </c>
      <c r="R37" s="18">
        <f>Marketplace_customer!Q37/Marketplace_customer!Q$2</f>
        <v>0</v>
      </c>
      <c r="S37" s="18">
        <f>Marketplace_customer!R37/Marketplace_customer!R$2</f>
        <v>0</v>
      </c>
      <c r="T37" s="18">
        <f>Marketplace_customer!S37/Marketplace_customer!S$2</f>
        <v>0</v>
      </c>
      <c r="U37" s="18">
        <f>Marketplace_customer!T37/Marketplace_customer!T$2</f>
        <v>0</v>
      </c>
      <c r="V37" s="18">
        <f>Marketplace_customer!U37/Marketplace_customer!U$2</f>
        <v>0</v>
      </c>
      <c r="W37" s="18">
        <f>Marketplace_customer!V37/Marketplace_customer!V$2</f>
        <v>0</v>
      </c>
      <c r="X37" s="18">
        <f>Marketplace_customer!W37/Marketplace_customer!W$2</f>
        <v>0</v>
      </c>
      <c r="Y37" s="18">
        <f>Marketplace_customer!X37/Marketplace_customer!X$2</f>
        <v>0</v>
      </c>
      <c r="Z37" s="18">
        <f>Marketplace_customer!Y37/Marketplace_customer!Y$2</f>
        <v>0</v>
      </c>
      <c r="AA37" s="18">
        <f>Marketplace_customer!Z37/Marketplace_customer!Z$2</f>
        <v>0</v>
      </c>
      <c r="AB37" s="18">
        <f>Marketplace_customer!AA37/Marketplace_customer!AA$2</f>
        <v>0</v>
      </c>
      <c r="AC37" s="18">
        <f>Marketplace_customer!AB37/Marketplace_customer!AB$2</f>
        <v>0</v>
      </c>
      <c r="AD37" s="18">
        <f>Marketplace_customer!AC37/Marketplace_customer!AC$2</f>
        <v>0</v>
      </c>
      <c r="AE37" s="18">
        <f>Marketplace_customer!AD37/Marketplace_customer!AD$2</f>
        <v>0</v>
      </c>
      <c r="AF37" s="18">
        <f>Marketplace_customer!AE37/Marketplace_customer!AE$2</f>
        <v>0</v>
      </c>
      <c r="AG37" s="18">
        <f>Marketplace_customer!AF37/Marketplace_customer!AF$2</f>
        <v>0</v>
      </c>
      <c r="AH37" s="18">
        <f>Marketplace_customer!AG37/Marketplace_customer!AG$2</f>
        <v>2.0360824742268043E-3</v>
      </c>
      <c r="AI37" s="18">
        <f>Marketplace_customer!AH37/Marketplace_customer!AH$2</f>
        <v>0</v>
      </c>
      <c r="AJ37" s="18">
        <f>Marketplace_customer!AI37/Marketplace_customer!AI$2</f>
        <v>0</v>
      </c>
      <c r="AK37" s="18">
        <f>Marketplace_customer!AJ37/Marketplace_customer!AJ$2</f>
        <v>0</v>
      </c>
      <c r="AL37" s="18">
        <f>Marketplace_customer!AK37/Marketplace_customer!AK$2</f>
        <v>0</v>
      </c>
      <c r="AM37" s="18">
        <f>Marketplace_customer!AL37/Marketplace_customer!AL$2</f>
        <v>0</v>
      </c>
      <c r="AN37" s="18">
        <f>Marketplace_customer!AM37/Marketplace_customer!AM$2</f>
        <v>0</v>
      </c>
      <c r="AO37" s="18">
        <f>Marketplace_customer!AN37/Marketplace_customer!AN$2</f>
        <v>0</v>
      </c>
      <c r="AP37" s="18">
        <f>Marketplace_customer!AO37/Marketplace_customer!AO$2</f>
        <v>0</v>
      </c>
      <c r="AQ37" s="18">
        <f>Marketplace_customer!AP37/Marketplace_customer!AP$2</f>
        <v>0</v>
      </c>
      <c r="AR37" s="18">
        <f>Marketplace_customer!AQ37/Marketplace_customer!AQ$2</f>
        <v>0</v>
      </c>
      <c r="AS37" s="18">
        <f>Marketplace_customer!AR37/Marketplace_customer!AR$2</f>
        <v>3.5483870967741938E-3</v>
      </c>
      <c r="AT37" s="18">
        <f>Marketplace_customer!AS37/Marketplace_customer!AS$2</f>
        <v>0</v>
      </c>
      <c r="AU37" s="18">
        <f>Marketplace_customer!AT37/Marketplace_customer!AT$2</f>
        <v>0</v>
      </c>
      <c r="AV37" s="18">
        <f>Marketplace_customer!AU37/Marketplace_customer!AU$2</f>
        <v>0</v>
      </c>
      <c r="AW37" s="18">
        <f>Marketplace_customer!AV37/Marketplace_customer!AV$2</f>
        <v>0</v>
      </c>
      <c r="AX37" s="18">
        <f>Marketplace_customer!AW37/Marketplace_customer!AW$2</f>
        <v>0</v>
      </c>
      <c r="AY37" s="18">
        <f>Marketplace_customer!AX37/Marketplace_customer!AX$2</f>
        <v>0</v>
      </c>
      <c r="AZ37" s="18">
        <f>Marketplace_customer!AY37/Marketplace_customer!AY$2</f>
        <v>0</v>
      </c>
      <c r="BA37" s="18">
        <f>Marketplace_customer!AZ37/Marketplace_customer!AZ$2</f>
        <v>0</v>
      </c>
      <c r="BB37" s="18">
        <f>Marketplace_customer!BA37/Marketplace_customer!BA$2</f>
        <v>0</v>
      </c>
      <c r="BC37" s="18">
        <f>Marketplace_customer!BB37/Marketplace_customer!BB$2</f>
        <v>0</v>
      </c>
      <c r="BD37" s="18">
        <f>Marketplace_customer!BC37/Marketplace_customer!BC$2</f>
        <v>0</v>
      </c>
      <c r="BE37" s="18">
        <f>Marketplace_customer!BD37/Marketplace_customer!BD$2</f>
        <v>0</v>
      </c>
      <c r="BF37" s="18">
        <f>Marketplace_customer!BE37/Marketplace_customer!BE$2</f>
        <v>0</v>
      </c>
      <c r="BG37" s="18">
        <f>Marketplace_customer!BF37/Marketplace_customer!BF$2</f>
        <v>0</v>
      </c>
      <c r="BH37" s="18">
        <f>Marketplace_customer!BG37/Marketplace_customer!BG$2</f>
        <v>0</v>
      </c>
      <c r="BI37" s="18">
        <f>Marketplace_customer!BH37/Marketplace_customer!BH$2</f>
        <v>0</v>
      </c>
      <c r="BJ37" s="18">
        <f>Marketplace_customer!BI37/Marketplace_customer!BI$2</f>
        <v>0</v>
      </c>
      <c r="BK37" s="18">
        <f>Marketplace_customer!BJ37/Marketplace_customer!BJ$2</f>
        <v>0</v>
      </c>
      <c r="BL37" s="18">
        <f>Marketplace_customer!BK37/Marketplace_customer!BK$2</f>
        <v>0</v>
      </c>
      <c r="BM37" s="18">
        <f>Marketplace_customer!BL37/Marketplace_customer!BL$2</f>
        <v>0</v>
      </c>
      <c r="BN37" s="18">
        <f>Marketplace_customer!BM37/Marketplace_customer!BM$2</f>
        <v>0</v>
      </c>
      <c r="BO37" s="18">
        <f>Marketplace_customer!BN37/Marketplace_customer!BN$2</f>
        <v>0.96153846153846145</v>
      </c>
      <c r="BP37" s="18">
        <f>Marketplace_customer!BO37/Marketplace_customer!BO$2</f>
        <v>0</v>
      </c>
      <c r="BQ37" s="18">
        <f>Marketplace_customer!BP37/Marketplace_customer!BP$2</f>
        <v>0.97872340425531901</v>
      </c>
      <c r="BR37" s="18">
        <f>Marketplace_customer!BQ37/Marketplace_customer!BQ$2</f>
        <v>0</v>
      </c>
      <c r="BS37" s="18">
        <f>Marketplace_customer!BR37/Marketplace_customer!BR$2</f>
        <v>0</v>
      </c>
      <c r="BT37" s="18">
        <f>Marketplace_customer!BS37/Marketplace_customer!BS$2</f>
        <v>0</v>
      </c>
      <c r="BU37" s="18">
        <f>Marketplace_customer!BT37/Marketplace_customer!BT$2</f>
        <v>0</v>
      </c>
      <c r="BV37" s="18">
        <f>Marketplace_customer!BU37/Marketplace_customer!BU$2</f>
        <v>0</v>
      </c>
      <c r="BW37" s="19"/>
      <c r="BX37" s="20">
        <f t="shared" ca="1" si="80"/>
        <v>0</v>
      </c>
      <c r="BY37" s="20">
        <f t="shared" ca="1" si="81"/>
        <v>0</v>
      </c>
      <c r="BZ37" s="20">
        <f t="shared" ca="1" si="82"/>
        <v>0</v>
      </c>
      <c r="CA37" s="20">
        <f t="shared" ca="1" si="83"/>
        <v>0</v>
      </c>
      <c r="CB37" s="20">
        <f t="shared" ca="1" si="84"/>
        <v>0</v>
      </c>
      <c r="CC37" s="20">
        <f t="shared" ca="1" si="85"/>
        <v>0</v>
      </c>
      <c r="CD37" s="20">
        <f t="shared" ca="1" si="86"/>
        <v>0</v>
      </c>
      <c r="CE37" s="20">
        <f t="shared" ca="1" si="87"/>
        <v>0</v>
      </c>
      <c r="CF37" s="20">
        <f t="shared" ca="1" si="88"/>
        <v>0</v>
      </c>
      <c r="CG37" s="20">
        <f t="shared" ca="1" si="89"/>
        <v>0</v>
      </c>
      <c r="CH37" s="20">
        <f t="shared" ca="1" si="90"/>
        <v>0</v>
      </c>
      <c r="CI37" s="20">
        <f t="shared" ca="1" si="91"/>
        <v>0</v>
      </c>
      <c r="CJ37" s="20">
        <f t="shared" ca="1" si="92"/>
        <v>304548203.86569369</v>
      </c>
      <c r="CK37" s="20">
        <f t="shared" ca="1" si="93"/>
        <v>0</v>
      </c>
      <c r="CL37" s="20">
        <f t="shared" ca="1" si="94"/>
        <v>0</v>
      </c>
      <c r="CM37" s="20">
        <f t="shared" ca="1" si="95"/>
        <v>0</v>
      </c>
      <c r="CN37" s="20">
        <f t="shared" ca="1" si="96"/>
        <v>0</v>
      </c>
      <c r="CO37" s="20">
        <f t="shared" ca="1" si="97"/>
        <v>0</v>
      </c>
      <c r="CP37" s="20">
        <f t="shared" ca="1" si="98"/>
        <v>0</v>
      </c>
      <c r="CQ37" s="20">
        <f t="shared" ca="1" si="99"/>
        <v>0</v>
      </c>
      <c r="CR37" s="20">
        <f t="shared" ca="1" si="100"/>
        <v>0</v>
      </c>
      <c r="CS37" s="20">
        <f t="shared" ca="1" si="101"/>
        <v>0</v>
      </c>
      <c r="CT37" s="20">
        <f t="shared" ca="1" si="102"/>
        <v>0</v>
      </c>
      <c r="CU37" s="20">
        <f t="shared" ca="1" si="103"/>
        <v>0</v>
      </c>
      <c r="CV37" s="20">
        <f t="shared" ca="1" si="104"/>
        <v>0</v>
      </c>
      <c r="CW37" s="20">
        <f t="shared" ca="1" si="105"/>
        <v>0</v>
      </c>
      <c r="CX37" s="20">
        <f t="shared" ca="1" si="106"/>
        <v>0</v>
      </c>
      <c r="CY37" s="20">
        <f t="shared" ca="1" si="107"/>
        <v>0</v>
      </c>
      <c r="CZ37" s="20">
        <f t="shared" ca="1" si="108"/>
        <v>0</v>
      </c>
      <c r="DA37" s="20">
        <f t="shared" ca="1" si="109"/>
        <v>0</v>
      </c>
      <c r="DB37" s="20">
        <f t="shared" ca="1" si="110"/>
        <v>416342960.58664244</v>
      </c>
      <c r="DC37" s="20">
        <f t="shared" ca="1" si="111"/>
        <v>0</v>
      </c>
      <c r="DD37" s="20">
        <f t="shared" ca="1" si="112"/>
        <v>0</v>
      </c>
      <c r="DE37" s="20">
        <f t="shared" ca="1" si="113"/>
        <v>0</v>
      </c>
      <c r="DF37" s="20">
        <f t="shared" ca="1" si="114"/>
        <v>0</v>
      </c>
      <c r="DG37" s="20">
        <f t="shared" ca="1" si="115"/>
        <v>0</v>
      </c>
      <c r="DH37" s="20">
        <f t="shared" ca="1" si="116"/>
        <v>0</v>
      </c>
      <c r="DI37" s="20">
        <f t="shared" ca="1" si="117"/>
        <v>0</v>
      </c>
      <c r="DJ37" s="20">
        <f t="shared" ca="1" si="118"/>
        <v>0</v>
      </c>
      <c r="DK37" s="20">
        <f t="shared" ca="1" si="119"/>
        <v>0</v>
      </c>
      <c r="DL37" s="20">
        <f t="shared" ca="1" si="120"/>
        <v>0</v>
      </c>
      <c r="DM37" s="20">
        <f t="shared" ca="1" si="121"/>
        <v>725582587.09015512</v>
      </c>
      <c r="DN37" s="20">
        <f t="shared" ca="1" si="122"/>
        <v>0</v>
      </c>
      <c r="DO37" s="20">
        <f t="shared" ca="1" si="123"/>
        <v>0</v>
      </c>
      <c r="DP37" s="20">
        <f t="shared" ca="1" si="124"/>
        <v>0</v>
      </c>
      <c r="DQ37" s="20">
        <f t="shared" ca="1" si="125"/>
        <v>0</v>
      </c>
      <c r="DR37" s="20">
        <f t="shared" ca="1" si="126"/>
        <v>0</v>
      </c>
      <c r="DS37" s="20">
        <f t="shared" ca="1" si="127"/>
        <v>0</v>
      </c>
      <c r="DT37" s="20">
        <f t="shared" ca="1" si="128"/>
        <v>0</v>
      </c>
      <c r="DU37" s="20">
        <f t="shared" ca="1" si="129"/>
        <v>0</v>
      </c>
      <c r="DV37" s="20">
        <f t="shared" ca="1" si="130"/>
        <v>0</v>
      </c>
      <c r="DW37" s="20">
        <f t="shared" ca="1" si="131"/>
        <v>0</v>
      </c>
      <c r="DX37" s="20">
        <f t="shared" ca="1" si="132"/>
        <v>0</v>
      </c>
      <c r="DY37" s="20">
        <f t="shared" ca="1" si="133"/>
        <v>0</v>
      </c>
      <c r="DZ37" s="20">
        <f t="shared" ca="1" si="134"/>
        <v>0</v>
      </c>
      <c r="EA37" s="20">
        <f t="shared" ca="1" si="135"/>
        <v>0</v>
      </c>
      <c r="EB37" s="20">
        <f t="shared" ca="1" si="136"/>
        <v>0</v>
      </c>
      <c r="EC37" s="20">
        <f t="shared" ca="1" si="137"/>
        <v>0</v>
      </c>
      <c r="ED37" s="20">
        <f t="shared" ca="1" si="138"/>
        <v>0</v>
      </c>
      <c r="EE37" s="20">
        <f t="shared" ca="1" si="139"/>
        <v>0</v>
      </c>
      <c r="EF37" s="20">
        <f t="shared" ca="1" si="140"/>
        <v>0</v>
      </c>
      <c r="EG37" s="20">
        <f t="shared" ca="1" si="141"/>
        <v>0</v>
      </c>
      <c r="EH37" s="20">
        <f t="shared" ca="1" si="142"/>
        <v>0</v>
      </c>
      <c r="EI37" s="20">
        <f t="shared" ca="1" si="143"/>
        <v>196617659089.11542</v>
      </c>
      <c r="EJ37" s="20">
        <f t="shared" ca="1" si="144"/>
        <v>0</v>
      </c>
      <c r="EK37" s="20">
        <f t="shared" ca="1" si="145"/>
        <v>200131676826.02725</v>
      </c>
      <c r="EL37" s="20">
        <f t="shared" ca="1" si="146"/>
        <v>0</v>
      </c>
      <c r="EM37" s="20">
        <f t="shared" ca="1" si="147"/>
        <v>0</v>
      </c>
      <c r="EN37" s="20">
        <f t="shared" ca="1" si="148"/>
        <v>0</v>
      </c>
      <c r="EO37" s="20">
        <f t="shared" ca="1" si="149"/>
        <v>0</v>
      </c>
      <c r="EP37" s="20">
        <f t="shared" ca="1" si="150"/>
        <v>0</v>
      </c>
      <c r="EQ37" s="17" t="s">
        <v>119</v>
      </c>
      <c r="ER37" s="19">
        <v>289853113432.59998</v>
      </c>
      <c r="ES37" s="20">
        <f t="shared" si="79"/>
        <v>26.39264012620491</v>
      </c>
    </row>
    <row r="38" spans="1:149" ht="15">
      <c r="A38" s="21" t="s">
        <v>193</v>
      </c>
      <c r="B38" s="14">
        <f ca="1">IFERROR(__xludf.dummyfunction("QUERY('Countries markets attractivenes'!A:C, ""SELECT C WHERE A = '""&amp;A38&amp;""'"",0)"),26.9256352811576)</f>
        <v>26.9256352811576</v>
      </c>
      <c r="C38" s="14">
        <f t="shared" ca="1" si="78"/>
        <v>493917966761.4342</v>
      </c>
      <c r="D38" s="18">
        <f>Marketplace_customer!C38/Marketplace_customer!C$2</f>
        <v>0</v>
      </c>
      <c r="E38" s="18">
        <f>Marketplace_customer!D38/Marketplace_customer!D$2</f>
        <v>0</v>
      </c>
      <c r="F38" s="18">
        <f>Marketplace_customer!E38/Marketplace_customer!E$2</f>
        <v>0</v>
      </c>
      <c r="G38" s="18">
        <f>Marketplace_customer!F38/Marketplace_customer!F$2</f>
        <v>0</v>
      </c>
      <c r="H38" s="18">
        <f>Marketplace_customer!G38/Marketplace_customer!G$2</f>
        <v>0</v>
      </c>
      <c r="I38" s="18">
        <f>Marketplace_customer!H38/Marketplace_customer!H$2</f>
        <v>0</v>
      </c>
      <c r="J38" s="18">
        <f>Marketplace_customer!I38/Marketplace_customer!I$2</f>
        <v>0</v>
      </c>
      <c r="K38" s="18">
        <f>Marketplace_customer!J38/Marketplace_customer!J$2</f>
        <v>0</v>
      </c>
      <c r="L38" s="18">
        <f>Marketplace_customer!K38/Marketplace_customer!K$2</f>
        <v>0</v>
      </c>
      <c r="M38" s="18">
        <f>Marketplace_customer!L38/Marketplace_customer!L$2</f>
        <v>0</v>
      </c>
      <c r="N38" s="18">
        <f>Marketplace_customer!M38/Marketplace_customer!M$2</f>
        <v>0</v>
      </c>
      <c r="O38" s="18">
        <f>Marketplace_customer!N38/Marketplace_customer!N$2</f>
        <v>0</v>
      </c>
      <c r="P38" s="18">
        <f>Marketplace_customer!O38/Marketplace_customer!O$2</f>
        <v>1.3829787234042553E-3</v>
      </c>
      <c r="Q38" s="18">
        <f>Marketplace_customer!P38/Marketplace_customer!P$2</f>
        <v>0</v>
      </c>
      <c r="R38" s="18">
        <f>Marketplace_customer!Q38/Marketplace_customer!Q$2</f>
        <v>0</v>
      </c>
      <c r="S38" s="18">
        <f>Marketplace_customer!R38/Marketplace_customer!R$2</f>
        <v>0</v>
      </c>
      <c r="T38" s="18">
        <f>Marketplace_customer!S38/Marketplace_customer!S$2</f>
        <v>0</v>
      </c>
      <c r="U38" s="18">
        <f>Marketplace_customer!T38/Marketplace_customer!T$2</f>
        <v>0</v>
      </c>
      <c r="V38" s="18">
        <f>Marketplace_customer!U38/Marketplace_customer!U$2</f>
        <v>0</v>
      </c>
      <c r="W38" s="18">
        <f>Marketplace_customer!V38/Marketplace_customer!V$2</f>
        <v>0</v>
      </c>
      <c r="X38" s="18">
        <f>Marketplace_customer!W38/Marketplace_customer!W$2</f>
        <v>0</v>
      </c>
      <c r="Y38" s="18">
        <f>Marketplace_customer!X38/Marketplace_customer!X$2</f>
        <v>0</v>
      </c>
      <c r="Z38" s="18">
        <f>Marketplace_customer!Y38/Marketplace_customer!Y$2</f>
        <v>0</v>
      </c>
      <c r="AA38" s="18">
        <f>Marketplace_customer!Z38/Marketplace_customer!Z$2</f>
        <v>0</v>
      </c>
      <c r="AB38" s="18">
        <f>Marketplace_customer!AA38/Marketplace_customer!AA$2</f>
        <v>0</v>
      </c>
      <c r="AC38" s="18">
        <f>Marketplace_customer!AB38/Marketplace_customer!AB$2</f>
        <v>0</v>
      </c>
      <c r="AD38" s="18">
        <f>Marketplace_customer!AC38/Marketplace_customer!AC$2</f>
        <v>0</v>
      </c>
      <c r="AE38" s="18">
        <f>Marketplace_customer!AD38/Marketplace_customer!AD$2</f>
        <v>0</v>
      </c>
      <c r="AF38" s="18">
        <f>Marketplace_customer!AE38/Marketplace_customer!AE$2</f>
        <v>0</v>
      </c>
      <c r="AG38" s="18">
        <f>Marketplace_customer!AF38/Marketplace_customer!AF$2</f>
        <v>0</v>
      </c>
      <c r="AH38" s="18">
        <f>Marketplace_customer!AG38/Marketplace_customer!AG$2</f>
        <v>0</v>
      </c>
      <c r="AI38" s="18">
        <f>Marketplace_customer!AH38/Marketplace_customer!AH$2</f>
        <v>0</v>
      </c>
      <c r="AJ38" s="18">
        <f>Marketplace_customer!AI38/Marketplace_customer!AI$2</f>
        <v>0</v>
      </c>
      <c r="AK38" s="18">
        <f>Marketplace_customer!AJ38/Marketplace_customer!AJ$2</f>
        <v>0</v>
      </c>
      <c r="AL38" s="18">
        <f>Marketplace_customer!AK38/Marketplace_customer!AK$2</f>
        <v>0</v>
      </c>
      <c r="AM38" s="18">
        <f>Marketplace_customer!AL38/Marketplace_customer!AL$2</f>
        <v>0</v>
      </c>
      <c r="AN38" s="18">
        <f>Marketplace_customer!AM38/Marketplace_customer!AM$2</f>
        <v>0</v>
      </c>
      <c r="AO38" s="18">
        <f>Marketplace_customer!AN38/Marketplace_customer!AN$2</f>
        <v>0</v>
      </c>
      <c r="AP38" s="18">
        <f>Marketplace_customer!AO38/Marketplace_customer!AO$2</f>
        <v>0</v>
      </c>
      <c r="AQ38" s="18">
        <f>Marketplace_customer!AP38/Marketplace_customer!AP$2</f>
        <v>0.8928571428571429</v>
      </c>
      <c r="AR38" s="18">
        <f>Marketplace_customer!AQ38/Marketplace_customer!AQ$2</f>
        <v>0</v>
      </c>
      <c r="AS38" s="18">
        <f>Marketplace_customer!AR38/Marketplace_customer!AR$2</f>
        <v>0</v>
      </c>
      <c r="AT38" s="18">
        <f>Marketplace_customer!AS38/Marketplace_customer!AS$2</f>
        <v>0</v>
      </c>
      <c r="AU38" s="18">
        <f>Marketplace_customer!AT38/Marketplace_customer!AT$2</f>
        <v>0</v>
      </c>
      <c r="AV38" s="18">
        <f>Marketplace_customer!AU38/Marketplace_customer!AU$2</f>
        <v>0</v>
      </c>
      <c r="AW38" s="18">
        <f>Marketplace_customer!AV38/Marketplace_customer!AV$2</f>
        <v>0</v>
      </c>
      <c r="AX38" s="18">
        <f>Marketplace_customer!AW38/Marketplace_customer!AW$2</f>
        <v>0</v>
      </c>
      <c r="AY38" s="18">
        <f>Marketplace_customer!AX38/Marketplace_customer!AX$2</f>
        <v>0</v>
      </c>
      <c r="AZ38" s="18">
        <f>Marketplace_customer!AY38/Marketplace_customer!AY$2</f>
        <v>0</v>
      </c>
      <c r="BA38" s="18">
        <f>Marketplace_customer!AZ38/Marketplace_customer!AZ$2</f>
        <v>0</v>
      </c>
      <c r="BB38" s="18">
        <f>Marketplace_customer!BA38/Marketplace_customer!BA$2</f>
        <v>0</v>
      </c>
      <c r="BC38" s="18">
        <f>Marketplace_customer!BB38/Marketplace_customer!BB$2</f>
        <v>0</v>
      </c>
      <c r="BD38" s="18">
        <f>Marketplace_customer!BC38/Marketplace_customer!BC$2</f>
        <v>0</v>
      </c>
      <c r="BE38" s="18">
        <f>Marketplace_customer!BD38/Marketplace_customer!BD$2</f>
        <v>0</v>
      </c>
      <c r="BF38" s="18">
        <f>Marketplace_customer!BE38/Marketplace_customer!BE$2</f>
        <v>0</v>
      </c>
      <c r="BG38" s="18">
        <f>Marketplace_customer!BF38/Marketplace_customer!BF$2</f>
        <v>0</v>
      </c>
      <c r="BH38" s="18">
        <f>Marketplace_customer!BG38/Marketplace_customer!BG$2</f>
        <v>0</v>
      </c>
      <c r="BI38" s="18">
        <f>Marketplace_customer!BH38/Marketplace_customer!BH$2</f>
        <v>0</v>
      </c>
      <c r="BJ38" s="18">
        <f>Marketplace_customer!BI38/Marketplace_customer!BI$2</f>
        <v>0</v>
      </c>
      <c r="BK38" s="18">
        <f>Marketplace_customer!BJ38/Marketplace_customer!BJ$2</f>
        <v>0</v>
      </c>
      <c r="BL38" s="18">
        <f>Marketplace_customer!BK38/Marketplace_customer!BK$2</f>
        <v>0</v>
      </c>
      <c r="BM38" s="18">
        <f>Marketplace_customer!BL38/Marketplace_customer!BL$2</f>
        <v>0</v>
      </c>
      <c r="BN38" s="18">
        <f>Marketplace_customer!BM38/Marketplace_customer!BM$2</f>
        <v>0</v>
      </c>
      <c r="BO38" s="18">
        <f>Marketplace_customer!BN38/Marketplace_customer!BN$2</f>
        <v>0</v>
      </c>
      <c r="BP38" s="18">
        <f>Marketplace_customer!BO38/Marketplace_customer!BO$2</f>
        <v>0</v>
      </c>
      <c r="BQ38" s="18">
        <f>Marketplace_customer!BP38/Marketplace_customer!BP$2</f>
        <v>0</v>
      </c>
      <c r="BR38" s="18">
        <f>Marketplace_customer!BQ38/Marketplace_customer!BQ$2</f>
        <v>0</v>
      </c>
      <c r="BS38" s="18">
        <f>Marketplace_customer!BR38/Marketplace_customer!BR$2</f>
        <v>0</v>
      </c>
      <c r="BT38" s="18">
        <f>Marketplace_customer!BS38/Marketplace_customer!BS$2</f>
        <v>0</v>
      </c>
      <c r="BU38" s="18">
        <f>Marketplace_customer!BT38/Marketplace_customer!BT$2</f>
        <v>0</v>
      </c>
      <c r="BV38" s="18">
        <f>Marketplace_customer!BU38/Marketplace_customer!BU$2</f>
        <v>0</v>
      </c>
      <c r="BW38" s="19"/>
      <c r="BX38" s="20">
        <f t="shared" ca="1" si="80"/>
        <v>0</v>
      </c>
      <c r="BY38" s="20">
        <f t="shared" ca="1" si="81"/>
        <v>0</v>
      </c>
      <c r="BZ38" s="20">
        <f t="shared" ca="1" si="82"/>
        <v>0</v>
      </c>
      <c r="CA38" s="20">
        <f t="shared" ca="1" si="83"/>
        <v>0</v>
      </c>
      <c r="CB38" s="20">
        <f t="shared" ca="1" si="84"/>
        <v>0</v>
      </c>
      <c r="CC38" s="20">
        <f t="shared" ca="1" si="85"/>
        <v>0</v>
      </c>
      <c r="CD38" s="20">
        <f t="shared" ca="1" si="86"/>
        <v>0</v>
      </c>
      <c r="CE38" s="20">
        <f t="shared" ca="1" si="87"/>
        <v>0</v>
      </c>
      <c r="CF38" s="20">
        <f t="shared" ca="1" si="88"/>
        <v>0</v>
      </c>
      <c r="CG38" s="20">
        <f t="shared" ca="1" si="89"/>
        <v>0</v>
      </c>
      <c r="CH38" s="20">
        <f t="shared" ca="1" si="90"/>
        <v>0</v>
      </c>
      <c r="CI38" s="20">
        <f t="shared" ca="1" si="91"/>
        <v>0</v>
      </c>
      <c r="CJ38" s="20">
        <f t="shared" ca="1" si="92"/>
        <v>683078039.13815367</v>
      </c>
      <c r="CK38" s="20">
        <f t="shared" ca="1" si="93"/>
        <v>0</v>
      </c>
      <c r="CL38" s="20">
        <f t="shared" ca="1" si="94"/>
        <v>0</v>
      </c>
      <c r="CM38" s="20">
        <f t="shared" ca="1" si="95"/>
        <v>0</v>
      </c>
      <c r="CN38" s="20">
        <f t="shared" ca="1" si="96"/>
        <v>0</v>
      </c>
      <c r="CO38" s="20">
        <f t="shared" ca="1" si="97"/>
        <v>0</v>
      </c>
      <c r="CP38" s="20">
        <f t="shared" ca="1" si="98"/>
        <v>0</v>
      </c>
      <c r="CQ38" s="20">
        <f t="shared" ca="1" si="99"/>
        <v>0</v>
      </c>
      <c r="CR38" s="20">
        <f t="shared" ca="1" si="100"/>
        <v>0</v>
      </c>
      <c r="CS38" s="20">
        <f t="shared" ca="1" si="101"/>
        <v>0</v>
      </c>
      <c r="CT38" s="20">
        <f t="shared" ca="1" si="102"/>
        <v>0</v>
      </c>
      <c r="CU38" s="20">
        <f t="shared" ca="1" si="103"/>
        <v>0</v>
      </c>
      <c r="CV38" s="20">
        <f t="shared" ca="1" si="104"/>
        <v>0</v>
      </c>
      <c r="CW38" s="20">
        <f t="shared" ca="1" si="105"/>
        <v>0</v>
      </c>
      <c r="CX38" s="20">
        <f t="shared" ca="1" si="106"/>
        <v>0</v>
      </c>
      <c r="CY38" s="20">
        <f t="shared" ca="1" si="107"/>
        <v>0</v>
      </c>
      <c r="CZ38" s="20">
        <f t="shared" ca="1" si="108"/>
        <v>0</v>
      </c>
      <c r="DA38" s="20">
        <f t="shared" ca="1" si="109"/>
        <v>0</v>
      </c>
      <c r="DB38" s="20">
        <f t="shared" ca="1" si="110"/>
        <v>0</v>
      </c>
      <c r="DC38" s="20">
        <f t="shared" ca="1" si="111"/>
        <v>0</v>
      </c>
      <c r="DD38" s="20">
        <f t="shared" ca="1" si="112"/>
        <v>0</v>
      </c>
      <c r="DE38" s="20">
        <f t="shared" ca="1" si="113"/>
        <v>0</v>
      </c>
      <c r="DF38" s="20">
        <f t="shared" ca="1" si="114"/>
        <v>0</v>
      </c>
      <c r="DG38" s="20">
        <f t="shared" ca="1" si="115"/>
        <v>0</v>
      </c>
      <c r="DH38" s="20">
        <f t="shared" ca="1" si="116"/>
        <v>0</v>
      </c>
      <c r="DI38" s="20">
        <f t="shared" ca="1" si="117"/>
        <v>0</v>
      </c>
      <c r="DJ38" s="20">
        <f t="shared" ca="1" si="118"/>
        <v>0</v>
      </c>
      <c r="DK38" s="20">
        <f t="shared" ca="1" si="119"/>
        <v>440998184608.4234</v>
      </c>
      <c r="DL38" s="20">
        <f t="shared" ca="1" si="120"/>
        <v>0</v>
      </c>
      <c r="DM38" s="20">
        <f t="shared" ca="1" si="121"/>
        <v>0</v>
      </c>
      <c r="DN38" s="20">
        <f t="shared" ca="1" si="122"/>
        <v>0</v>
      </c>
      <c r="DO38" s="20">
        <f t="shared" ca="1" si="123"/>
        <v>0</v>
      </c>
      <c r="DP38" s="20">
        <f t="shared" ca="1" si="124"/>
        <v>0</v>
      </c>
      <c r="DQ38" s="20">
        <f t="shared" ca="1" si="125"/>
        <v>0</v>
      </c>
      <c r="DR38" s="20">
        <f t="shared" ca="1" si="126"/>
        <v>0</v>
      </c>
      <c r="DS38" s="20">
        <f t="shared" ca="1" si="127"/>
        <v>0</v>
      </c>
      <c r="DT38" s="20">
        <f t="shared" ca="1" si="128"/>
        <v>0</v>
      </c>
      <c r="DU38" s="20">
        <f t="shared" ca="1" si="129"/>
        <v>0</v>
      </c>
      <c r="DV38" s="20">
        <f t="shared" ca="1" si="130"/>
        <v>0</v>
      </c>
      <c r="DW38" s="20">
        <f t="shared" ca="1" si="131"/>
        <v>0</v>
      </c>
      <c r="DX38" s="20">
        <f t="shared" ca="1" si="132"/>
        <v>0</v>
      </c>
      <c r="DY38" s="20">
        <f t="shared" ca="1" si="133"/>
        <v>0</v>
      </c>
      <c r="DZ38" s="20">
        <f t="shared" ca="1" si="134"/>
        <v>0</v>
      </c>
      <c r="EA38" s="20">
        <f t="shared" ca="1" si="135"/>
        <v>0</v>
      </c>
      <c r="EB38" s="20">
        <f t="shared" ca="1" si="136"/>
        <v>0</v>
      </c>
      <c r="EC38" s="20">
        <f t="shared" ca="1" si="137"/>
        <v>0</v>
      </c>
      <c r="ED38" s="20">
        <f t="shared" ca="1" si="138"/>
        <v>0</v>
      </c>
      <c r="EE38" s="20">
        <f t="shared" ca="1" si="139"/>
        <v>0</v>
      </c>
      <c r="EF38" s="20">
        <f t="shared" ca="1" si="140"/>
        <v>0</v>
      </c>
      <c r="EG38" s="20">
        <f t="shared" ca="1" si="141"/>
        <v>0</v>
      </c>
      <c r="EH38" s="20">
        <f t="shared" ca="1" si="142"/>
        <v>0</v>
      </c>
      <c r="EI38" s="20">
        <f t="shared" ca="1" si="143"/>
        <v>0</v>
      </c>
      <c r="EJ38" s="20">
        <f t="shared" ca="1" si="144"/>
        <v>0</v>
      </c>
      <c r="EK38" s="20">
        <f t="shared" ca="1" si="145"/>
        <v>0</v>
      </c>
      <c r="EL38" s="20">
        <f t="shared" ca="1" si="146"/>
        <v>0</v>
      </c>
      <c r="EM38" s="20">
        <f t="shared" ca="1" si="147"/>
        <v>0</v>
      </c>
      <c r="EN38" s="20">
        <f t="shared" ca="1" si="148"/>
        <v>0</v>
      </c>
      <c r="EO38" s="20">
        <f t="shared" ca="1" si="149"/>
        <v>0</v>
      </c>
      <c r="EP38" s="20">
        <f t="shared" ca="1" si="150"/>
        <v>0</v>
      </c>
      <c r="EQ38" s="17" t="s">
        <v>120</v>
      </c>
      <c r="ER38" s="19">
        <v>1472500247255.3701</v>
      </c>
      <c r="ES38" s="20">
        <f t="shared" si="79"/>
        <v>28.017982920387499</v>
      </c>
    </row>
    <row r="39" spans="1:149" ht="15">
      <c r="A39" s="21" t="s">
        <v>194</v>
      </c>
      <c r="B39" s="14">
        <f ca="1">IFERROR(__xludf.dummyfunction("QUERY('Countries markets attractivenes'!A:C, ""SELECT C WHERE A = '""&amp;A39&amp;""'"",0)"),26.724135331365)</f>
        <v>26.724135331365002</v>
      </c>
      <c r="C39" s="14">
        <f t="shared" ca="1" si="78"/>
        <v>403779725121.41266</v>
      </c>
      <c r="D39" s="18">
        <f>Marketplace_customer!C39/Marketplace_customer!C$2</f>
        <v>0</v>
      </c>
      <c r="E39" s="18">
        <f>Marketplace_customer!D39/Marketplace_customer!D$2</f>
        <v>0</v>
      </c>
      <c r="F39" s="18">
        <f>Marketplace_customer!E39/Marketplace_customer!E$2</f>
        <v>0</v>
      </c>
      <c r="G39" s="18">
        <f>Marketplace_customer!F39/Marketplace_customer!F$2</f>
        <v>0</v>
      </c>
      <c r="H39" s="18">
        <f>Marketplace_customer!G39/Marketplace_customer!G$2</f>
        <v>0</v>
      </c>
      <c r="I39" s="18">
        <f>Marketplace_customer!H39/Marketplace_customer!H$2</f>
        <v>0</v>
      </c>
      <c r="J39" s="18">
        <f>Marketplace_customer!I39/Marketplace_customer!I$2</f>
        <v>0</v>
      </c>
      <c r="K39" s="18">
        <f>Marketplace_customer!J39/Marketplace_customer!J$2</f>
        <v>0</v>
      </c>
      <c r="L39" s="18">
        <f>Marketplace_customer!K39/Marketplace_customer!K$2</f>
        <v>0</v>
      </c>
      <c r="M39" s="18">
        <f>Marketplace_customer!L39/Marketplace_customer!L$2</f>
        <v>0</v>
      </c>
      <c r="N39" s="18">
        <f>Marketplace_customer!M39/Marketplace_customer!M$2</f>
        <v>0</v>
      </c>
      <c r="O39" s="18">
        <f>Marketplace_customer!N39/Marketplace_customer!N$2</f>
        <v>0</v>
      </c>
      <c r="P39" s="18">
        <f>Marketplace_customer!O39/Marketplace_customer!O$2</f>
        <v>9.446808510638298E-4</v>
      </c>
      <c r="Q39" s="18">
        <f>Marketplace_customer!P39/Marketplace_customer!P$2</f>
        <v>0</v>
      </c>
      <c r="R39" s="18">
        <f>Marketplace_customer!Q39/Marketplace_customer!Q$2</f>
        <v>0</v>
      </c>
      <c r="S39" s="18">
        <f>Marketplace_customer!R39/Marketplace_customer!R$2</f>
        <v>0</v>
      </c>
      <c r="T39" s="18">
        <f>Marketplace_customer!S39/Marketplace_customer!S$2</f>
        <v>0</v>
      </c>
      <c r="U39" s="18">
        <f>Marketplace_customer!T39/Marketplace_customer!T$2</f>
        <v>0</v>
      </c>
      <c r="V39" s="18">
        <f>Marketplace_customer!U39/Marketplace_customer!U$2</f>
        <v>0</v>
      </c>
      <c r="W39" s="18">
        <f>Marketplace_customer!V39/Marketplace_customer!V$2</f>
        <v>0</v>
      </c>
      <c r="X39" s="18">
        <f>Marketplace_customer!W39/Marketplace_customer!W$2</f>
        <v>0</v>
      </c>
      <c r="Y39" s="18">
        <f>Marketplace_customer!X39/Marketplace_customer!X$2</f>
        <v>0</v>
      </c>
      <c r="Z39" s="18">
        <f>Marketplace_customer!Y39/Marketplace_customer!Y$2</f>
        <v>0</v>
      </c>
      <c r="AA39" s="18">
        <f>Marketplace_customer!Z39/Marketplace_customer!Z$2</f>
        <v>0</v>
      </c>
      <c r="AB39" s="18">
        <f>Marketplace_customer!AA39/Marketplace_customer!AA$2</f>
        <v>0</v>
      </c>
      <c r="AC39" s="18">
        <f>Marketplace_customer!AB39/Marketplace_customer!AB$2</f>
        <v>0</v>
      </c>
      <c r="AD39" s="18">
        <f>Marketplace_customer!AC39/Marketplace_customer!AC$2</f>
        <v>0</v>
      </c>
      <c r="AE39" s="18">
        <f>Marketplace_customer!AD39/Marketplace_customer!AD$2</f>
        <v>0</v>
      </c>
      <c r="AF39" s="18">
        <f>Marketplace_customer!AE39/Marketplace_customer!AE$2</f>
        <v>0</v>
      </c>
      <c r="AG39" s="18">
        <f>Marketplace_customer!AF39/Marketplace_customer!AF$2</f>
        <v>0</v>
      </c>
      <c r="AH39" s="18">
        <f>Marketplace_customer!AG39/Marketplace_customer!AG$2</f>
        <v>0</v>
      </c>
      <c r="AI39" s="18">
        <f>Marketplace_customer!AH39/Marketplace_customer!AH$2</f>
        <v>0</v>
      </c>
      <c r="AJ39" s="18">
        <f>Marketplace_customer!AI39/Marketplace_customer!AI$2</f>
        <v>0</v>
      </c>
      <c r="AK39" s="18">
        <f>Marketplace_customer!AJ39/Marketplace_customer!AJ$2</f>
        <v>0</v>
      </c>
      <c r="AL39" s="18">
        <f>Marketplace_customer!AK39/Marketplace_customer!AK$2</f>
        <v>0</v>
      </c>
      <c r="AM39" s="18">
        <f>Marketplace_customer!AL39/Marketplace_customer!AL$2</f>
        <v>0</v>
      </c>
      <c r="AN39" s="18">
        <f>Marketplace_customer!AM39/Marketplace_customer!AM$2</f>
        <v>0</v>
      </c>
      <c r="AO39" s="18">
        <f>Marketplace_customer!AN39/Marketplace_customer!AN$2</f>
        <v>0</v>
      </c>
      <c r="AP39" s="18">
        <f>Marketplace_customer!AO39/Marketplace_customer!AO$2</f>
        <v>0</v>
      </c>
      <c r="AQ39" s="18">
        <f>Marketplace_customer!AP39/Marketplace_customer!AP$2</f>
        <v>0</v>
      </c>
      <c r="AR39" s="18">
        <f>Marketplace_customer!AQ39/Marketplace_customer!AQ$2</f>
        <v>0</v>
      </c>
      <c r="AS39" s="18">
        <f>Marketplace_customer!AR39/Marketplace_customer!AR$2</f>
        <v>0</v>
      </c>
      <c r="AT39" s="18">
        <f>Marketplace_customer!AS39/Marketplace_customer!AS$2</f>
        <v>0</v>
      </c>
      <c r="AU39" s="18">
        <f>Marketplace_customer!AT39/Marketplace_customer!AT$2</f>
        <v>0</v>
      </c>
      <c r="AV39" s="18">
        <f>Marketplace_customer!AU39/Marketplace_customer!AU$2</f>
        <v>0</v>
      </c>
      <c r="AW39" s="18">
        <f>Marketplace_customer!AV39/Marketplace_customer!AV$2</f>
        <v>0</v>
      </c>
      <c r="AX39" s="18">
        <f>Marketplace_customer!AW39/Marketplace_customer!AW$2</f>
        <v>0</v>
      </c>
      <c r="AY39" s="18">
        <f>Marketplace_customer!AX39/Marketplace_customer!AX$2</f>
        <v>0</v>
      </c>
      <c r="AZ39" s="18">
        <f>Marketplace_customer!AY39/Marketplace_customer!AY$2</f>
        <v>0</v>
      </c>
      <c r="BA39" s="18">
        <f>Marketplace_customer!AZ39/Marketplace_customer!AZ$2</f>
        <v>0</v>
      </c>
      <c r="BB39" s="18">
        <f>Marketplace_customer!BA39/Marketplace_customer!BA$2</f>
        <v>0</v>
      </c>
      <c r="BC39" s="18">
        <f>Marketplace_customer!BB39/Marketplace_customer!BB$2</f>
        <v>0</v>
      </c>
      <c r="BD39" s="18">
        <f>Marketplace_customer!BC39/Marketplace_customer!BC$2</f>
        <v>0</v>
      </c>
      <c r="BE39" s="18">
        <f>Marketplace_customer!BD39/Marketplace_customer!BD$2</f>
        <v>0</v>
      </c>
      <c r="BF39" s="18">
        <f>Marketplace_customer!BE39/Marketplace_customer!BE$2</f>
        <v>0</v>
      </c>
      <c r="BG39" s="18">
        <f>Marketplace_customer!BF39/Marketplace_customer!BF$2</f>
        <v>0</v>
      </c>
      <c r="BH39" s="18">
        <f>Marketplace_customer!BG39/Marketplace_customer!BG$2</f>
        <v>0</v>
      </c>
      <c r="BI39" s="18">
        <f>Marketplace_customer!BH39/Marketplace_customer!BH$2</f>
        <v>0</v>
      </c>
      <c r="BJ39" s="18">
        <f>Marketplace_customer!BI39/Marketplace_customer!BI$2</f>
        <v>0</v>
      </c>
      <c r="BK39" s="18">
        <f>Marketplace_customer!BJ39/Marketplace_customer!BJ$2</f>
        <v>0</v>
      </c>
      <c r="BL39" s="18">
        <f>Marketplace_customer!BK39/Marketplace_customer!BK$2</f>
        <v>0</v>
      </c>
      <c r="BM39" s="18">
        <f>Marketplace_customer!BL39/Marketplace_customer!BL$2</f>
        <v>0</v>
      </c>
      <c r="BN39" s="18">
        <f>Marketplace_customer!BM39/Marketplace_customer!BM$2</f>
        <v>0</v>
      </c>
      <c r="BO39" s="18">
        <f>Marketplace_customer!BN39/Marketplace_customer!BN$2</f>
        <v>0</v>
      </c>
      <c r="BP39" s="18">
        <f>Marketplace_customer!BO39/Marketplace_customer!BO$2</f>
        <v>0</v>
      </c>
      <c r="BQ39" s="18">
        <f>Marketplace_customer!BP39/Marketplace_customer!BP$2</f>
        <v>0</v>
      </c>
      <c r="BR39" s="18">
        <f>Marketplace_customer!BQ39/Marketplace_customer!BQ$2</f>
        <v>0</v>
      </c>
      <c r="BS39" s="18">
        <f>Marketplace_customer!BR39/Marketplace_customer!BR$2</f>
        <v>0</v>
      </c>
      <c r="BT39" s="18">
        <f>Marketplace_customer!BS39/Marketplace_customer!BS$2</f>
        <v>0</v>
      </c>
      <c r="BU39" s="18">
        <f>Marketplace_customer!BT39/Marketplace_customer!BT$2</f>
        <v>0</v>
      </c>
      <c r="BV39" s="18">
        <f>Marketplace_customer!BU39/Marketplace_customer!BU$2</f>
        <v>0</v>
      </c>
      <c r="BW39" s="19"/>
      <c r="BX39" s="20">
        <f t="shared" ca="1" si="80"/>
        <v>0</v>
      </c>
      <c r="BY39" s="20">
        <f t="shared" ca="1" si="81"/>
        <v>0</v>
      </c>
      <c r="BZ39" s="20">
        <f t="shared" ca="1" si="82"/>
        <v>0</v>
      </c>
      <c r="CA39" s="20">
        <f t="shared" ca="1" si="83"/>
        <v>0</v>
      </c>
      <c r="CB39" s="20">
        <f t="shared" ca="1" si="84"/>
        <v>0</v>
      </c>
      <c r="CC39" s="20">
        <f t="shared" ca="1" si="85"/>
        <v>0</v>
      </c>
      <c r="CD39" s="20">
        <f t="shared" ca="1" si="86"/>
        <v>0</v>
      </c>
      <c r="CE39" s="20">
        <f t="shared" ca="1" si="87"/>
        <v>0</v>
      </c>
      <c r="CF39" s="20">
        <f t="shared" ca="1" si="88"/>
        <v>0</v>
      </c>
      <c r="CG39" s="20">
        <f t="shared" ca="1" si="89"/>
        <v>0</v>
      </c>
      <c r="CH39" s="20">
        <f t="shared" ca="1" si="90"/>
        <v>0</v>
      </c>
      <c r="CI39" s="20">
        <f t="shared" ca="1" si="91"/>
        <v>0</v>
      </c>
      <c r="CJ39" s="20">
        <f t="shared" ca="1" si="92"/>
        <v>381442974.37001538</v>
      </c>
      <c r="CK39" s="20">
        <f t="shared" ca="1" si="93"/>
        <v>0</v>
      </c>
      <c r="CL39" s="20">
        <f t="shared" ca="1" si="94"/>
        <v>0</v>
      </c>
      <c r="CM39" s="20">
        <f t="shared" ca="1" si="95"/>
        <v>0</v>
      </c>
      <c r="CN39" s="20">
        <f t="shared" ca="1" si="96"/>
        <v>0</v>
      </c>
      <c r="CO39" s="20">
        <f t="shared" ca="1" si="97"/>
        <v>0</v>
      </c>
      <c r="CP39" s="20">
        <f t="shared" ca="1" si="98"/>
        <v>0</v>
      </c>
      <c r="CQ39" s="20">
        <f t="shared" ca="1" si="99"/>
        <v>0</v>
      </c>
      <c r="CR39" s="20">
        <f t="shared" ca="1" si="100"/>
        <v>0</v>
      </c>
      <c r="CS39" s="20">
        <f t="shared" ca="1" si="101"/>
        <v>0</v>
      </c>
      <c r="CT39" s="20">
        <f t="shared" ca="1" si="102"/>
        <v>0</v>
      </c>
      <c r="CU39" s="20">
        <f t="shared" ca="1" si="103"/>
        <v>0</v>
      </c>
      <c r="CV39" s="20">
        <f t="shared" ca="1" si="104"/>
        <v>0</v>
      </c>
      <c r="CW39" s="20">
        <f t="shared" ca="1" si="105"/>
        <v>0</v>
      </c>
      <c r="CX39" s="20">
        <f t="shared" ca="1" si="106"/>
        <v>0</v>
      </c>
      <c r="CY39" s="20">
        <f t="shared" ca="1" si="107"/>
        <v>0</v>
      </c>
      <c r="CZ39" s="20">
        <f t="shared" ca="1" si="108"/>
        <v>0</v>
      </c>
      <c r="DA39" s="20">
        <f t="shared" ca="1" si="109"/>
        <v>0</v>
      </c>
      <c r="DB39" s="20">
        <f t="shared" ca="1" si="110"/>
        <v>0</v>
      </c>
      <c r="DC39" s="20">
        <f t="shared" ca="1" si="111"/>
        <v>0</v>
      </c>
      <c r="DD39" s="20">
        <f t="shared" ca="1" si="112"/>
        <v>0</v>
      </c>
      <c r="DE39" s="20">
        <f t="shared" ca="1" si="113"/>
        <v>0</v>
      </c>
      <c r="DF39" s="20">
        <f t="shared" ca="1" si="114"/>
        <v>0</v>
      </c>
      <c r="DG39" s="20">
        <f t="shared" ca="1" si="115"/>
        <v>0</v>
      </c>
      <c r="DH39" s="20">
        <f t="shared" ca="1" si="116"/>
        <v>0</v>
      </c>
      <c r="DI39" s="20">
        <f t="shared" ca="1" si="117"/>
        <v>0</v>
      </c>
      <c r="DJ39" s="20">
        <f t="shared" ca="1" si="118"/>
        <v>0</v>
      </c>
      <c r="DK39" s="20">
        <f t="shared" ca="1" si="119"/>
        <v>0</v>
      </c>
      <c r="DL39" s="20">
        <f t="shared" ca="1" si="120"/>
        <v>0</v>
      </c>
      <c r="DM39" s="20">
        <f t="shared" ca="1" si="121"/>
        <v>0</v>
      </c>
      <c r="DN39" s="20">
        <f t="shared" ca="1" si="122"/>
        <v>0</v>
      </c>
      <c r="DO39" s="20">
        <f t="shared" ca="1" si="123"/>
        <v>0</v>
      </c>
      <c r="DP39" s="20">
        <f t="shared" ca="1" si="124"/>
        <v>0</v>
      </c>
      <c r="DQ39" s="20">
        <f t="shared" ca="1" si="125"/>
        <v>0</v>
      </c>
      <c r="DR39" s="20">
        <f t="shared" ca="1" si="126"/>
        <v>0</v>
      </c>
      <c r="DS39" s="20">
        <f t="shared" ca="1" si="127"/>
        <v>0</v>
      </c>
      <c r="DT39" s="20">
        <f t="shared" ca="1" si="128"/>
        <v>0</v>
      </c>
      <c r="DU39" s="20">
        <f t="shared" ca="1" si="129"/>
        <v>0</v>
      </c>
      <c r="DV39" s="20">
        <f t="shared" ca="1" si="130"/>
        <v>0</v>
      </c>
      <c r="DW39" s="20">
        <f t="shared" ca="1" si="131"/>
        <v>0</v>
      </c>
      <c r="DX39" s="20">
        <f t="shared" ca="1" si="132"/>
        <v>0</v>
      </c>
      <c r="DY39" s="20">
        <f t="shared" ca="1" si="133"/>
        <v>0</v>
      </c>
      <c r="DZ39" s="20">
        <f t="shared" ca="1" si="134"/>
        <v>0</v>
      </c>
      <c r="EA39" s="20">
        <f t="shared" ca="1" si="135"/>
        <v>0</v>
      </c>
      <c r="EB39" s="20">
        <f t="shared" ca="1" si="136"/>
        <v>0</v>
      </c>
      <c r="EC39" s="20">
        <f t="shared" ca="1" si="137"/>
        <v>0</v>
      </c>
      <c r="ED39" s="20">
        <f t="shared" ca="1" si="138"/>
        <v>0</v>
      </c>
      <c r="EE39" s="20">
        <f t="shared" ca="1" si="139"/>
        <v>0</v>
      </c>
      <c r="EF39" s="20">
        <f t="shared" ca="1" si="140"/>
        <v>0</v>
      </c>
      <c r="EG39" s="20">
        <f t="shared" ca="1" si="141"/>
        <v>0</v>
      </c>
      <c r="EH39" s="20">
        <f t="shared" ca="1" si="142"/>
        <v>0</v>
      </c>
      <c r="EI39" s="20">
        <f t="shared" ca="1" si="143"/>
        <v>0</v>
      </c>
      <c r="EJ39" s="20">
        <f t="shared" ca="1" si="144"/>
        <v>0</v>
      </c>
      <c r="EK39" s="20">
        <f t="shared" ca="1" si="145"/>
        <v>0</v>
      </c>
      <c r="EL39" s="20">
        <f t="shared" ca="1" si="146"/>
        <v>0</v>
      </c>
      <c r="EM39" s="20">
        <f t="shared" ca="1" si="147"/>
        <v>0</v>
      </c>
      <c r="EN39" s="20">
        <f t="shared" ca="1" si="148"/>
        <v>0</v>
      </c>
      <c r="EO39" s="20">
        <f t="shared" ca="1" si="149"/>
        <v>0</v>
      </c>
      <c r="EP39" s="20">
        <f t="shared" ca="1" si="150"/>
        <v>0</v>
      </c>
      <c r="EQ39" s="17" t="s">
        <v>121</v>
      </c>
      <c r="ER39" s="19">
        <v>1014739380358.86</v>
      </c>
      <c r="ES39" s="20">
        <f t="shared" si="79"/>
        <v>27.645652927332371</v>
      </c>
    </row>
    <row r="40" spans="1:149" ht="15">
      <c r="A40" s="21" t="s">
        <v>195</v>
      </c>
      <c r="B40" s="14">
        <f ca="1">IFERROR(__xludf.dummyfunction("QUERY('Countries markets attractivenes'!A:C, ""SELECT C WHERE A = '""&amp;A40&amp;""'"",0)"),25.0583318827568)</f>
        <v>25.0583318827568</v>
      </c>
      <c r="C40" s="14">
        <f t="shared" ca="1" si="78"/>
        <v>76330000000.000748</v>
      </c>
      <c r="D40" s="18">
        <f>Marketplace_customer!C40/Marketplace_customer!C$2</f>
        <v>0</v>
      </c>
      <c r="E40" s="18">
        <f>Marketplace_customer!D40/Marketplace_customer!D$2</f>
        <v>0</v>
      </c>
      <c r="F40" s="18">
        <f>Marketplace_customer!E40/Marketplace_customer!E$2</f>
        <v>0</v>
      </c>
      <c r="G40" s="18">
        <f>Marketplace_customer!F40/Marketplace_customer!F$2</f>
        <v>0</v>
      </c>
      <c r="H40" s="18">
        <f>Marketplace_customer!G40/Marketplace_customer!G$2</f>
        <v>0</v>
      </c>
      <c r="I40" s="18">
        <f>Marketplace_customer!H40/Marketplace_customer!H$2</f>
        <v>0</v>
      </c>
      <c r="J40" s="18">
        <f>Marketplace_customer!I40/Marketplace_customer!I$2</f>
        <v>0</v>
      </c>
      <c r="K40" s="18">
        <f>Marketplace_customer!J40/Marketplace_customer!J$2</f>
        <v>0</v>
      </c>
      <c r="L40" s="18">
        <f>Marketplace_customer!K40/Marketplace_customer!K$2</f>
        <v>0</v>
      </c>
      <c r="M40" s="18">
        <f>Marketplace_customer!L40/Marketplace_customer!L$2</f>
        <v>0</v>
      </c>
      <c r="N40" s="18">
        <f>Marketplace_customer!M40/Marketplace_customer!M$2</f>
        <v>0</v>
      </c>
      <c r="O40" s="18">
        <f>Marketplace_customer!N40/Marketplace_customer!N$2</f>
        <v>0</v>
      </c>
      <c r="P40" s="18">
        <f>Marketplace_customer!O40/Marketplace_customer!O$2</f>
        <v>1.3404255319148935E-4</v>
      </c>
      <c r="Q40" s="18">
        <f>Marketplace_customer!P40/Marketplace_customer!P$2</f>
        <v>0</v>
      </c>
      <c r="R40" s="18">
        <f>Marketplace_customer!Q40/Marketplace_customer!Q$2</f>
        <v>0</v>
      </c>
      <c r="S40" s="18">
        <f>Marketplace_customer!R40/Marketplace_customer!R$2</f>
        <v>0</v>
      </c>
      <c r="T40" s="18">
        <f>Marketplace_customer!S40/Marketplace_customer!S$2</f>
        <v>0</v>
      </c>
      <c r="U40" s="18">
        <f>Marketplace_customer!T40/Marketplace_customer!T$2</f>
        <v>0</v>
      </c>
      <c r="V40" s="18">
        <f>Marketplace_customer!U40/Marketplace_customer!U$2</f>
        <v>0</v>
      </c>
      <c r="W40" s="18">
        <f>Marketplace_customer!V40/Marketplace_customer!V$2</f>
        <v>0</v>
      </c>
      <c r="X40" s="18">
        <f>Marketplace_customer!W40/Marketplace_customer!W$2</f>
        <v>0</v>
      </c>
      <c r="Y40" s="18">
        <f>Marketplace_customer!X40/Marketplace_customer!X$2</f>
        <v>0</v>
      </c>
      <c r="Z40" s="18">
        <f>Marketplace_customer!Y40/Marketplace_customer!Y$2</f>
        <v>0</v>
      </c>
      <c r="AA40" s="18">
        <f>Marketplace_customer!Z40/Marketplace_customer!Z$2</f>
        <v>0</v>
      </c>
      <c r="AB40" s="18">
        <f>Marketplace_customer!AA40/Marketplace_customer!AA$2</f>
        <v>0</v>
      </c>
      <c r="AC40" s="18">
        <f>Marketplace_customer!AB40/Marketplace_customer!AB$2</f>
        <v>0</v>
      </c>
      <c r="AD40" s="18">
        <f>Marketplace_customer!AC40/Marketplace_customer!AC$2</f>
        <v>0</v>
      </c>
      <c r="AE40" s="18">
        <f>Marketplace_customer!AD40/Marketplace_customer!AD$2</f>
        <v>0</v>
      </c>
      <c r="AF40" s="18">
        <f>Marketplace_customer!AE40/Marketplace_customer!AE$2</f>
        <v>0</v>
      </c>
      <c r="AG40" s="18">
        <f>Marketplace_customer!AF40/Marketplace_customer!AF$2</f>
        <v>0</v>
      </c>
      <c r="AH40" s="18">
        <f>Marketplace_customer!AG40/Marketplace_customer!AG$2</f>
        <v>0</v>
      </c>
      <c r="AI40" s="18">
        <f>Marketplace_customer!AH40/Marketplace_customer!AH$2</f>
        <v>0</v>
      </c>
      <c r="AJ40" s="18">
        <f>Marketplace_customer!AI40/Marketplace_customer!AI$2</f>
        <v>0</v>
      </c>
      <c r="AK40" s="18">
        <f>Marketplace_customer!AJ40/Marketplace_customer!AJ$2</f>
        <v>0</v>
      </c>
      <c r="AL40" s="18">
        <f>Marketplace_customer!AK40/Marketplace_customer!AK$2</f>
        <v>0</v>
      </c>
      <c r="AM40" s="18">
        <f>Marketplace_customer!AL40/Marketplace_customer!AL$2</f>
        <v>0</v>
      </c>
      <c r="AN40" s="18">
        <f>Marketplace_customer!AM40/Marketplace_customer!AM$2</f>
        <v>0</v>
      </c>
      <c r="AO40" s="18">
        <f>Marketplace_customer!AN40/Marketplace_customer!AN$2</f>
        <v>0</v>
      </c>
      <c r="AP40" s="18">
        <f>Marketplace_customer!AO40/Marketplace_customer!AO$2</f>
        <v>0</v>
      </c>
      <c r="AQ40" s="18">
        <f>Marketplace_customer!AP40/Marketplace_customer!AP$2</f>
        <v>0</v>
      </c>
      <c r="AR40" s="18">
        <f>Marketplace_customer!AQ40/Marketplace_customer!AQ$2</f>
        <v>0</v>
      </c>
      <c r="AS40" s="18">
        <f>Marketplace_customer!AR40/Marketplace_customer!AR$2</f>
        <v>0</v>
      </c>
      <c r="AT40" s="18">
        <f>Marketplace_customer!AS40/Marketplace_customer!AS$2</f>
        <v>0</v>
      </c>
      <c r="AU40" s="18">
        <f>Marketplace_customer!AT40/Marketplace_customer!AT$2</f>
        <v>0</v>
      </c>
      <c r="AV40" s="18">
        <f>Marketplace_customer!AU40/Marketplace_customer!AU$2</f>
        <v>0</v>
      </c>
      <c r="AW40" s="18">
        <f>Marketplace_customer!AV40/Marketplace_customer!AV$2</f>
        <v>0</v>
      </c>
      <c r="AX40" s="18">
        <f>Marketplace_customer!AW40/Marketplace_customer!AW$2</f>
        <v>0</v>
      </c>
      <c r="AY40" s="18">
        <f>Marketplace_customer!AX40/Marketplace_customer!AX$2</f>
        <v>0</v>
      </c>
      <c r="AZ40" s="18">
        <f>Marketplace_customer!AY40/Marketplace_customer!AY$2</f>
        <v>0</v>
      </c>
      <c r="BA40" s="18">
        <f>Marketplace_customer!AZ40/Marketplace_customer!AZ$2</f>
        <v>0</v>
      </c>
      <c r="BB40" s="18">
        <f>Marketplace_customer!BA40/Marketplace_customer!BA$2</f>
        <v>0</v>
      </c>
      <c r="BC40" s="18">
        <f>Marketplace_customer!BB40/Marketplace_customer!BB$2</f>
        <v>0</v>
      </c>
      <c r="BD40" s="18">
        <f>Marketplace_customer!BC40/Marketplace_customer!BC$2</f>
        <v>0</v>
      </c>
      <c r="BE40" s="18">
        <f>Marketplace_customer!BD40/Marketplace_customer!BD$2</f>
        <v>0</v>
      </c>
      <c r="BF40" s="18">
        <f>Marketplace_customer!BE40/Marketplace_customer!BE$2</f>
        <v>0</v>
      </c>
      <c r="BG40" s="18">
        <f>Marketplace_customer!BF40/Marketplace_customer!BF$2</f>
        <v>0</v>
      </c>
      <c r="BH40" s="18">
        <f>Marketplace_customer!BG40/Marketplace_customer!BG$2</f>
        <v>0</v>
      </c>
      <c r="BI40" s="18">
        <f>Marketplace_customer!BH40/Marketplace_customer!BH$2</f>
        <v>0</v>
      </c>
      <c r="BJ40" s="18">
        <f>Marketplace_customer!BI40/Marketplace_customer!BI$2</f>
        <v>0</v>
      </c>
      <c r="BK40" s="18">
        <f>Marketplace_customer!BJ40/Marketplace_customer!BJ$2</f>
        <v>0</v>
      </c>
      <c r="BL40" s="18">
        <f>Marketplace_customer!BK40/Marketplace_customer!BK$2</f>
        <v>0</v>
      </c>
      <c r="BM40" s="18">
        <f>Marketplace_customer!BL40/Marketplace_customer!BL$2</f>
        <v>0</v>
      </c>
      <c r="BN40" s="18">
        <f>Marketplace_customer!BM40/Marketplace_customer!BM$2</f>
        <v>0</v>
      </c>
      <c r="BO40" s="18">
        <f>Marketplace_customer!BN40/Marketplace_customer!BN$2</f>
        <v>0</v>
      </c>
      <c r="BP40" s="18">
        <f>Marketplace_customer!BO40/Marketplace_customer!BO$2</f>
        <v>0</v>
      </c>
      <c r="BQ40" s="18">
        <f>Marketplace_customer!BP40/Marketplace_customer!BP$2</f>
        <v>0</v>
      </c>
      <c r="BR40" s="18">
        <f>Marketplace_customer!BQ40/Marketplace_customer!BQ$2</f>
        <v>0</v>
      </c>
      <c r="BS40" s="18">
        <f>Marketplace_customer!BR40/Marketplace_customer!BR$2</f>
        <v>0</v>
      </c>
      <c r="BT40" s="18">
        <f>Marketplace_customer!BS40/Marketplace_customer!BS$2</f>
        <v>0</v>
      </c>
      <c r="BU40" s="18">
        <f>Marketplace_customer!BT40/Marketplace_customer!BT$2</f>
        <v>0</v>
      </c>
      <c r="BV40" s="18">
        <f>Marketplace_customer!BU40/Marketplace_customer!BU$2</f>
        <v>0</v>
      </c>
      <c r="BW40" s="19"/>
      <c r="BX40" s="20">
        <f t="shared" ca="1" si="80"/>
        <v>0</v>
      </c>
      <c r="BY40" s="20">
        <f t="shared" ca="1" si="81"/>
        <v>0</v>
      </c>
      <c r="BZ40" s="20">
        <f t="shared" ca="1" si="82"/>
        <v>0</v>
      </c>
      <c r="CA40" s="20">
        <f t="shared" ca="1" si="83"/>
        <v>0</v>
      </c>
      <c r="CB40" s="20">
        <f t="shared" ca="1" si="84"/>
        <v>0</v>
      </c>
      <c r="CC40" s="20">
        <f t="shared" ca="1" si="85"/>
        <v>0</v>
      </c>
      <c r="CD40" s="20">
        <f t="shared" ca="1" si="86"/>
        <v>0</v>
      </c>
      <c r="CE40" s="20">
        <f t="shared" ca="1" si="87"/>
        <v>0</v>
      </c>
      <c r="CF40" s="20">
        <f t="shared" ca="1" si="88"/>
        <v>0</v>
      </c>
      <c r="CG40" s="20">
        <f t="shared" ca="1" si="89"/>
        <v>0</v>
      </c>
      <c r="CH40" s="20">
        <f t="shared" ca="1" si="90"/>
        <v>0</v>
      </c>
      <c r="CI40" s="20">
        <f t="shared" ca="1" si="91"/>
        <v>0</v>
      </c>
      <c r="CJ40" s="20">
        <f t="shared" ca="1" si="92"/>
        <v>10231468.085106483</v>
      </c>
      <c r="CK40" s="20">
        <f t="shared" ca="1" si="93"/>
        <v>0</v>
      </c>
      <c r="CL40" s="20">
        <f t="shared" ca="1" si="94"/>
        <v>0</v>
      </c>
      <c r="CM40" s="20">
        <f t="shared" ca="1" si="95"/>
        <v>0</v>
      </c>
      <c r="CN40" s="20">
        <f t="shared" ca="1" si="96"/>
        <v>0</v>
      </c>
      <c r="CO40" s="20">
        <f t="shared" ca="1" si="97"/>
        <v>0</v>
      </c>
      <c r="CP40" s="20">
        <f t="shared" ca="1" si="98"/>
        <v>0</v>
      </c>
      <c r="CQ40" s="20">
        <f t="shared" ca="1" si="99"/>
        <v>0</v>
      </c>
      <c r="CR40" s="20">
        <f t="shared" ca="1" si="100"/>
        <v>0</v>
      </c>
      <c r="CS40" s="20">
        <f t="shared" ca="1" si="101"/>
        <v>0</v>
      </c>
      <c r="CT40" s="20">
        <f t="shared" ca="1" si="102"/>
        <v>0</v>
      </c>
      <c r="CU40" s="20">
        <f t="shared" ca="1" si="103"/>
        <v>0</v>
      </c>
      <c r="CV40" s="20">
        <f t="shared" ca="1" si="104"/>
        <v>0</v>
      </c>
      <c r="CW40" s="20">
        <f t="shared" ca="1" si="105"/>
        <v>0</v>
      </c>
      <c r="CX40" s="20">
        <f t="shared" ca="1" si="106"/>
        <v>0</v>
      </c>
      <c r="CY40" s="20">
        <f t="shared" ca="1" si="107"/>
        <v>0</v>
      </c>
      <c r="CZ40" s="20">
        <f t="shared" ca="1" si="108"/>
        <v>0</v>
      </c>
      <c r="DA40" s="20">
        <f t="shared" ca="1" si="109"/>
        <v>0</v>
      </c>
      <c r="DB40" s="20">
        <f t="shared" ca="1" si="110"/>
        <v>0</v>
      </c>
      <c r="DC40" s="20">
        <f t="shared" ca="1" si="111"/>
        <v>0</v>
      </c>
      <c r="DD40" s="20">
        <f t="shared" ca="1" si="112"/>
        <v>0</v>
      </c>
      <c r="DE40" s="20">
        <f t="shared" ca="1" si="113"/>
        <v>0</v>
      </c>
      <c r="DF40" s="20">
        <f t="shared" ca="1" si="114"/>
        <v>0</v>
      </c>
      <c r="DG40" s="20">
        <f t="shared" ca="1" si="115"/>
        <v>0</v>
      </c>
      <c r="DH40" s="20">
        <f t="shared" ca="1" si="116"/>
        <v>0</v>
      </c>
      <c r="DI40" s="20">
        <f t="shared" ca="1" si="117"/>
        <v>0</v>
      </c>
      <c r="DJ40" s="20">
        <f t="shared" ca="1" si="118"/>
        <v>0</v>
      </c>
      <c r="DK40" s="20">
        <f t="shared" ca="1" si="119"/>
        <v>0</v>
      </c>
      <c r="DL40" s="20">
        <f t="shared" ca="1" si="120"/>
        <v>0</v>
      </c>
      <c r="DM40" s="20">
        <f t="shared" ca="1" si="121"/>
        <v>0</v>
      </c>
      <c r="DN40" s="20">
        <f t="shared" ca="1" si="122"/>
        <v>0</v>
      </c>
      <c r="DO40" s="20">
        <f t="shared" ca="1" si="123"/>
        <v>0</v>
      </c>
      <c r="DP40" s="20">
        <f t="shared" ca="1" si="124"/>
        <v>0</v>
      </c>
      <c r="DQ40" s="20">
        <f t="shared" ca="1" si="125"/>
        <v>0</v>
      </c>
      <c r="DR40" s="20">
        <f t="shared" ca="1" si="126"/>
        <v>0</v>
      </c>
      <c r="DS40" s="20">
        <f t="shared" ca="1" si="127"/>
        <v>0</v>
      </c>
      <c r="DT40" s="20">
        <f t="shared" ca="1" si="128"/>
        <v>0</v>
      </c>
      <c r="DU40" s="20">
        <f t="shared" ca="1" si="129"/>
        <v>0</v>
      </c>
      <c r="DV40" s="20">
        <f t="shared" ca="1" si="130"/>
        <v>0</v>
      </c>
      <c r="DW40" s="20">
        <f t="shared" ca="1" si="131"/>
        <v>0</v>
      </c>
      <c r="DX40" s="20">
        <f t="shared" ca="1" si="132"/>
        <v>0</v>
      </c>
      <c r="DY40" s="20">
        <f t="shared" ca="1" si="133"/>
        <v>0</v>
      </c>
      <c r="DZ40" s="20">
        <f t="shared" ca="1" si="134"/>
        <v>0</v>
      </c>
      <c r="EA40" s="20">
        <f t="shared" ca="1" si="135"/>
        <v>0</v>
      </c>
      <c r="EB40" s="20">
        <f t="shared" ca="1" si="136"/>
        <v>0</v>
      </c>
      <c r="EC40" s="20">
        <f t="shared" ca="1" si="137"/>
        <v>0</v>
      </c>
      <c r="ED40" s="20">
        <f t="shared" ca="1" si="138"/>
        <v>0</v>
      </c>
      <c r="EE40" s="20">
        <f t="shared" ca="1" si="139"/>
        <v>0</v>
      </c>
      <c r="EF40" s="20">
        <f t="shared" ca="1" si="140"/>
        <v>0</v>
      </c>
      <c r="EG40" s="20">
        <f t="shared" ca="1" si="141"/>
        <v>0</v>
      </c>
      <c r="EH40" s="20">
        <f t="shared" ca="1" si="142"/>
        <v>0</v>
      </c>
      <c r="EI40" s="20">
        <f t="shared" ca="1" si="143"/>
        <v>0</v>
      </c>
      <c r="EJ40" s="20">
        <f t="shared" ca="1" si="144"/>
        <v>0</v>
      </c>
      <c r="EK40" s="20">
        <f t="shared" ca="1" si="145"/>
        <v>0</v>
      </c>
      <c r="EL40" s="20">
        <f t="shared" ca="1" si="146"/>
        <v>0</v>
      </c>
      <c r="EM40" s="20">
        <f t="shared" ca="1" si="147"/>
        <v>0</v>
      </c>
      <c r="EN40" s="20">
        <f t="shared" ca="1" si="148"/>
        <v>0</v>
      </c>
      <c r="EO40" s="20">
        <f t="shared" ca="1" si="149"/>
        <v>0</v>
      </c>
      <c r="EP40" s="20">
        <f t="shared" ca="1" si="150"/>
        <v>0</v>
      </c>
      <c r="EQ40" s="17" t="s">
        <v>122</v>
      </c>
      <c r="ER40" s="19">
        <v>364922899296.38898</v>
      </c>
      <c r="ES40" s="20">
        <f t="shared" si="79"/>
        <v>26.622951933411276</v>
      </c>
    </row>
    <row r="41" spans="1:149" ht="15">
      <c r="A41" s="21" t="s">
        <v>196</v>
      </c>
      <c r="B41" s="14">
        <f ca="1">IFERROR(__xludf.dummyfunction("QUERY('Countries markets attractivenes'!A:C, ""SELECT C WHERE A = '""&amp;A41&amp;""'"",0)"),25.9754299855591)</f>
        <v>25.975429985559099</v>
      </c>
      <c r="C41" s="14">
        <f t="shared" ca="1" si="78"/>
        <v>190979128768.53607</v>
      </c>
      <c r="D41" s="18">
        <f>Marketplace_customer!C41/Marketplace_customer!C$2</f>
        <v>0</v>
      </c>
      <c r="E41" s="18">
        <f>Marketplace_customer!D41/Marketplace_customer!D$2</f>
        <v>0</v>
      </c>
      <c r="F41" s="18">
        <f>Marketplace_customer!E41/Marketplace_customer!E$2</f>
        <v>0</v>
      </c>
      <c r="G41" s="18">
        <f>Marketplace_customer!F41/Marketplace_customer!F$2</f>
        <v>0</v>
      </c>
      <c r="H41" s="18">
        <f>Marketplace_customer!G41/Marketplace_customer!G$2</f>
        <v>0</v>
      </c>
      <c r="I41" s="18">
        <f>Marketplace_customer!H41/Marketplace_customer!H$2</f>
        <v>0</v>
      </c>
      <c r="J41" s="18">
        <f>Marketplace_customer!I41/Marketplace_customer!I$2</f>
        <v>0</v>
      </c>
      <c r="K41" s="18">
        <f>Marketplace_customer!J41/Marketplace_customer!J$2</f>
        <v>0</v>
      </c>
      <c r="L41" s="18">
        <f>Marketplace_customer!K41/Marketplace_customer!K$2</f>
        <v>0</v>
      </c>
      <c r="M41" s="18">
        <f>Marketplace_customer!L41/Marketplace_customer!L$2</f>
        <v>0</v>
      </c>
      <c r="N41" s="18">
        <f>Marketplace_customer!M41/Marketplace_customer!M$2</f>
        <v>0</v>
      </c>
      <c r="O41" s="18">
        <f>Marketplace_customer!N41/Marketplace_customer!N$2</f>
        <v>0</v>
      </c>
      <c r="P41" s="18">
        <f>Marketplace_customer!O41/Marketplace_customer!O$2</f>
        <v>1.5957446808510637E-3</v>
      </c>
      <c r="Q41" s="18">
        <f>Marketplace_customer!P41/Marketplace_customer!P$2</f>
        <v>0</v>
      </c>
      <c r="R41" s="18">
        <f>Marketplace_customer!Q41/Marketplace_customer!Q$2</f>
        <v>0</v>
      </c>
      <c r="S41" s="18">
        <f>Marketplace_customer!R41/Marketplace_customer!R$2</f>
        <v>0</v>
      </c>
      <c r="T41" s="18">
        <f>Marketplace_customer!S41/Marketplace_customer!S$2</f>
        <v>0</v>
      </c>
      <c r="U41" s="18">
        <f>Marketplace_customer!T41/Marketplace_customer!T$2</f>
        <v>0</v>
      </c>
      <c r="V41" s="18">
        <f>Marketplace_customer!U41/Marketplace_customer!U$2</f>
        <v>0</v>
      </c>
      <c r="W41" s="18">
        <f>Marketplace_customer!V41/Marketplace_customer!V$2</f>
        <v>0</v>
      </c>
      <c r="X41" s="18">
        <f>Marketplace_customer!W41/Marketplace_customer!W$2</f>
        <v>0</v>
      </c>
      <c r="Y41" s="18">
        <f>Marketplace_customer!X41/Marketplace_customer!X$2</f>
        <v>0</v>
      </c>
      <c r="Z41" s="18">
        <f>Marketplace_customer!Y41/Marketplace_customer!Y$2</f>
        <v>0</v>
      </c>
      <c r="AA41" s="18">
        <f>Marketplace_customer!Z41/Marketplace_customer!Z$2</f>
        <v>0</v>
      </c>
      <c r="AB41" s="18">
        <f>Marketplace_customer!AA41/Marketplace_customer!AA$2</f>
        <v>0</v>
      </c>
      <c r="AC41" s="18">
        <f>Marketplace_customer!AB41/Marketplace_customer!AB$2</f>
        <v>0</v>
      </c>
      <c r="AD41" s="18">
        <f>Marketplace_customer!AC41/Marketplace_customer!AC$2</f>
        <v>0</v>
      </c>
      <c r="AE41" s="18">
        <f>Marketplace_customer!AD41/Marketplace_customer!AD$2</f>
        <v>0</v>
      </c>
      <c r="AF41" s="18">
        <f>Marketplace_customer!AE41/Marketplace_customer!AE$2</f>
        <v>0</v>
      </c>
      <c r="AG41" s="18">
        <f>Marketplace_customer!AF41/Marketplace_customer!AF$2</f>
        <v>0</v>
      </c>
      <c r="AH41" s="18">
        <f>Marketplace_customer!AG41/Marketplace_customer!AG$2</f>
        <v>0</v>
      </c>
      <c r="AI41" s="18">
        <f>Marketplace_customer!AH41/Marketplace_customer!AH$2</f>
        <v>0</v>
      </c>
      <c r="AJ41" s="18">
        <f>Marketplace_customer!AI41/Marketplace_customer!AI$2</f>
        <v>0</v>
      </c>
      <c r="AK41" s="18">
        <f>Marketplace_customer!AJ41/Marketplace_customer!AJ$2</f>
        <v>0.96363636363636362</v>
      </c>
      <c r="AL41" s="18">
        <f>Marketplace_customer!AK41/Marketplace_customer!AK$2</f>
        <v>0</v>
      </c>
      <c r="AM41" s="18">
        <f>Marketplace_customer!AL41/Marketplace_customer!AL$2</f>
        <v>0</v>
      </c>
      <c r="AN41" s="18">
        <f>Marketplace_customer!AM41/Marketplace_customer!AM$2</f>
        <v>0</v>
      </c>
      <c r="AO41" s="18">
        <f>Marketplace_customer!AN41/Marketplace_customer!AN$2</f>
        <v>0</v>
      </c>
      <c r="AP41" s="18">
        <f>Marketplace_customer!AO41/Marketplace_customer!AO$2</f>
        <v>0</v>
      </c>
      <c r="AQ41" s="18">
        <f>Marketplace_customer!AP41/Marketplace_customer!AP$2</f>
        <v>0</v>
      </c>
      <c r="AR41" s="18">
        <f>Marketplace_customer!AQ41/Marketplace_customer!AQ$2</f>
        <v>0</v>
      </c>
      <c r="AS41" s="18">
        <f>Marketplace_customer!AR41/Marketplace_customer!AR$2</f>
        <v>0</v>
      </c>
      <c r="AT41" s="18">
        <f>Marketplace_customer!AS41/Marketplace_customer!AS$2</f>
        <v>0</v>
      </c>
      <c r="AU41" s="18">
        <f>Marketplace_customer!AT41/Marketplace_customer!AT$2</f>
        <v>0</v>
      </c>
      <c r="AV41" s="18">
        <f>Marketplace_customer!AU41/Marketplace_customer!AU$2</f>
        <v>0.15053763440860213</v>
      </c>
      <c r="AW41" s="18">
        <f>Marketplace_customer!AV41/Marketplace_customer!AV$2</f>
        <v>0</v>
      </c>
      <c r="AX41" s="18">
        <f>Marketplace_customer!AW41/Marketplace_customer!AW$2</f>
        <v>0</v>
      </c>
      <c r="AY41" s="18">
        <f>Marketplace_customer!AX41/Marketplace_customer!AX$2</f>
        <v>0</v>
      </c>
      <c r="AZ41" s="18">
        <f>Marketplace_customer!AY41/Marketplace_customer!AY$2</f>
        <v>1.1879318057557531E-2</v>
      </c>
      <c r="BA41" s="18">
        <f>Marketplace_customer!AZ41/Marketplace_customer!AZ$2</f>
        <v>0</v>
      </c>
      <c r="BB41" s="18">
        <f>Marketplace_customer!BA41/Marketplace_customer!BA$2</f>
        <v>0</v>
      </c>
      <c r="BC41" s="18">
        <f>Marketplace_customer!BB41/Marketplace_customer!BB$2</f>
        <v>0</v>
      </c>
      <c r="BD41" s="18">
        <f>Marketplace_customer!BC41/Marketplace_customer!BC$2</f>
        <v>0</v>
      </c>
      <c r="BE41" s="18">
        <f>Marketplace_customer!BD41/Marketplace_customer!BD$2</f>
        <v>0</v>
      </c>
      <c r="BF41" s="18">
        <f>Marketplace_customer!BE41/Marketplace_customer!BE$2</f>
        <v>0.9375</v>
      </c>
      <c r="BG41" s="18">
        <f>Marketplace_customer!BF41/Marketplace_customer!BF$2</f>
        <v>0</v>
      </c>
      <c r="BH41" s="18">
        <f>Marketplace_customer!BG41/Marketplace_customer!BG$2</f>
        <v>0</v>
      </c>
      <c r="BI41" s="18">
        <f>Marketplace_customer!BH41/Marketplace_customer!BH$2</f>
        <v>0</v>
      </c>
      <c r="BJ41" s="18">
        <f>Marketplace_customer!BI41/Marketplace_customer!BI$2</f>
        <v>0.93333333333333324</v>
      </c>
      <c r="BK41" s="18">
        <f>Marketplace_customer!BJ41/Marketplace_customer!BJ$2</f>
        <v>0</v>
      </c>
      <c r="BL41" s="18">
        <f>Marketplace_customer!BK41/Marketplace_customer!BK$2</f>
        <v>0</v>
      </c>
      <c r="BM41" s="18">
        <f>Marketplace_customer!BL41/Marketplace_customer!BL$2</f>
        <v>0</v>
      </c>
      <c r="BN41" s="18">
        <f>Marketplace_customer!BM41/Marketplace_customer!BM$2</f>
        <v>0</v>
      </c>
      <c r="BO41" s="18">
        <f>Marketplace_customer!BN41/Marketplace_customer!BN$2</f>
        <v>0</v>
      </c>
      <c r="BP41" s="18">
        <f>Marketplace_customer!BO41/Marketplace_customer!BO$2</f>
        <v>0</v>
      </c>
      <c r="BQ41" s="18">
        <f>Marketplace_customer!BP41/Marketplace_customer!BP$2</f>
        <v>0</v>
      </c>
      <c r="BR41" s="18">
        <f>Marketplace_customer!BQ41/Marketplace_customer!BQ$2</f>
        <v>0</v>
      </c>
      <c r="BS41" s="18">
        <f>Marketplace_customer!BR41/Marketplace_customer!BR$2</f>
        <v>0</v>
      </c>
      <c r="BT41" s="18">
        <f>Marketplace_customer!BS41/Marketplace_customer!BS$2</f>
        <v>0</v>
      </c>
      <c r="BU41" s="18">
        <f>Marketplace_customer!BT41/Marketplace_customer!BT$2</f>
        <v>0</v>
      </c>
      <c r="BV41" s="18">
        <f>Marketplace_customer!BU41/Marketplace_customer!BU$2</f>
        <v>0</v>
      </c>
      <c r="BW41" s="19"/>
      <c r="BX41" s="20">
        <f t="shared" ca="1" si="80"/>
        <v>0</v>
      </c>
      <c r="BY41" s="20">
        <f t="shared" ca="1" si="81"/>
        <v>0</v>
      </c>
      <c r="BZ41" s="20">
        <f t="shared" ca="1" si="82"/>
        <v>0</v>
      </c>
      <c r="CA41" s="20">
        <f t="shared" ca="1" si="83"/>
        <v>0</v>
      </c>
      <c r="CB41" s="20">
        <f t="shared" ca="1" si="84"/>
        <v>0</v>
      </c>
      <c r="CC41" s="20">
        <f t="shared" ca="1" si="85"/>
        <v>0</v>
      </c>
      <c r="CD41" s="20">
        <f t="shared" ca="1" si="86"/>
        <v>0</v>
      </c>
      <c r="CE41" s="20">
        <f t="shared" ca="1" si="87"/>
        <v>0</v>
      </c>
      <c r="CF41" s="20">
        <f t="shared" ca="1" si="88"/>
        <v>0</v>
      </c>
      <c r="CG41" s="20">
        <f t="shared" ca="1" si="89"/>
        <v>0</v>
      </c>
      <c r="CH41" s="20">
        <f t="shared" ca="1" si="90"/>
        <v>0</v>
      </c>
      <c r="CI41" s="20">
        <f t="shared" ca="1" si="91"/>
        <v>0</v>
      </c>
      <c r="CJ41" s="20">
        <f t="shared" ca="1" si="92"/>
        <v>304753928.88596183</v>
      </c>
      <c r="CK41" s="20">
        <f t="shared" ca="1" si="93"/>
        <v>0</v>
      </c>
      <c r="CL41" s="20">
        <f t="shared" ca="1" si="94"/>
        <v>0</v>
      </c>
      <c r="CM41" s="20">
        <f t="shared" ca="1" si="95"/>
        <v>0</v>
      </c>
      <c r="CN41" s="20">
        <f t="shared" ca="1" si="96"/>
        <v>0</v>
      </c>
      <c r="CO41" s="20">
        <f t="shared" ca="1" si="97"/>
        <v>0</v>
      </c>
      <c r="CP41" s="20">
        <f t="shared" ca="1" si="98"/>
        <v>0</v>
      </c>
      <c r="CQ41" s="20">
        <f t="shared" ca="1" si="99"/>
        <v>0</v>
      </c>
      <c r="CR41" s="20">
        <f t="shared" ca="1" si="100"/>
        <v>0</v>
      </c>
      <c r="CS41" s="20">
        <f t="shared" ca="1" si="101"/>
        <v>0</v>
      </c>
      <c r="CT41" s="20">
        <f t="shared" ca="1" si="102"/>
        <v>0</v>
      </c>
      <c r="CU41" s="20">
        <f t="shared" ca="1" si="103"/>
        <v>0</v>
      </c>
      <c r="CV41" s="20">
        <f t="shared" ca="1" si="104"/>
        <v>0</v>
      </c>
      <c r="CW41" s="20">
        <f t="shared" ca="1" si="105"/>
        <v>0</v>
      </c>
      <c r="CX41" s="20">
        <f t="shared" ca="1" si="106"/>
        <v>0</v>
      </c>
      <c r="CY41" s="20">
        <f t="shared" ca="1" si="107"/>
        <v>0</v>
      </c>
      <c r="CZ41" s="20">
        <f t="shared" ca="1" si="108"/>
        <v>0</v>
      </c>
      <c r="DA41" s="20">
        <f t="shared" ca="1" si="109"/>
        <v>0</v>
      </c>
      <c r="DB41" s="20">
        <f t="shared" ca="1" si="110"/>
        <v>0</v>
      </c>
      <c r="DC41" s="20">
        <f t="shared" ca="1" si="111"/>
        <v>0</v>
      </c>
      <c r="DD41" s="20">
        <f t="shared" ca="1" si="112"/>
        <v>0</v>
      </c>
      <c r="DE41" s="20">
        <f t="shared" ca="1" si="113"/>
        <v>184034433176.95294</v>
      </c>
      <c r="DF41" s="20">
        <f t="shared" ca="1" si="114"/>
        <v>0</v>
      </c>
      <c r="DG41" s="20">
        <f t="shared" ca="1" si="115"/>
        <v>0</v>
      </c>
      <c r="DH41" s="20">
        <f t="shared" ca="1" si="116"/>
        <v>0</v>
      </c>
      <c r="DI41" s="20">
        <f t="shared" ca="1" si="117"/>
        <v>0</v>
      </c>
      <c r="DJ41" s="20">
        <f t="shared" ca="1" si="118"/>
        <v>0</v>
      </c>
      <c r="DK41" s="20">
        <f t="shared" ca="1" si="119"/>
        <v>0</v>
      </c>
      <c r="DL41" s="20">
        <f t="shared" ca="1" si="120"/>
        <v>0</v>
      </c>
      <c r="DM41" s="20">
        <f t="shared" ca="1" si="121"/>
        <v>0</v>
      </c>
      <c r="DN41" s="20">
        <f t="shared" ca="1" si="122"/>
        <v>0</v>
      </c>
      <c r="DO41" s="20">
        <f t="shared" ca="1" si="123"/>
        <v>0</v>
      </c>
      <c r="DP41" s="20">
        <f t="shared" ca="1" si="124"/>
        <v>28749546266.231232</v>
      </c>
      <c r="DQ41" s="20">
        <f t="shared" ca="1" si="125"/>
        <v>0</v>
      </c>
      <c r="DR41" s="20">
        <f t="shared" ca="1" si="126"/>
        <v>0</v>
      </c>
      <c r="DS41" s="20">
        <f t="shared" ca="1" si="127"/>
        <v>0</v>
      </c>
      <c r="DT41" s="20">
        <f t="shared" ca="1" si="128"/>
        <v>2268701812.9966755</v>
      </c>
      <c r="DU41" s="20">
        <f t="shared" ca="1" si="129"/>
        <v>0</v>
      </c>
      <c r="DV41" s="20">
        <f t="shared" ca="1" si="130"/>
        <v>0</v>
      </c>
      <c r="DW41" s="20">
        <f t="shared" ca="1" si="131"/>
        <v>0</v>
      </c>
      <c r="DX41" s="20">
        <f t="shared" ca="1" si="132"/>
        <v>0</v>
      </c>
      <c r="DY41" s="20">
        <f t="shared" ca="1" si="133"/>
        <v>0</v>
      </c>
      <c r="DZ41" s="20">
        <f t="shared" ca="1" si="134"/>
        <v>179042933220.50256</v>
      </c>
      <c r="EA41" s="20">
        <f t="shared" ca="1" si="135"/>
        <v>0</v>
      </c>
      <c r="EB41" s="20">
        <f t="shared" ca="1" si="136"/>
        <v>0</v>
      </c>
      <c r="EC41" s="20">
        <f t="shared" ca="1" si="137"/>
        <v>0</v>
      </c>
      <c r="ED41" s="20">
        <f t="shared" ca="1" si="138"/>
        <v>178247186850.63364</v>
      </c>
      <c r="EE41" s="20">
        <f t="shared" ca="1" si="139"/>
        <v>0</v>
      </c>
      <c r="EF41" s="20">
        <f t="shared" ca="1" si="140"/>
        <v>0</v>
      </c>
      <c r="EG41" s="20">
        <f t="shared" ca="1" si="141"/>
        <v>0</v>
      </c>
      <c r="EH41" s="20">
        <f t="shared" ca="1" si="142"/>
        <v>0</v>
      </c>
      <c r="EI41" s="20">
        <f t="shared" ca="1" si="143"/>
        <v>0</v>
      </c>
      <c r="EJ41" s="20">
        <f t="shared" ca="1" si="144"/>
        <v>0</v>
      </c>
      <c r="EK41" s="20">
        <f t="shared" ca="1" si="145"/>
        <v>0</v>
      </c>
      <c r="EL41" s="20">
        <f t="shared" ca="1" si="146"/>
        <v>0</v>
      </c>
      <c r="EM41" s="20">
        <f t="shared" ca="1" si="147"/>
        <v>0</v>
      </c>
      <c r="EN41" s="20">
        <f t="shared" ca="1" si="148"/>
        <v>0</v>
      </c>
      <c r="EO41" s="20">
        <f t="shared" ca="1" si="149"/>
        <v>0</v>
      </c>
      <c r="EP41" s="20">
        <f t="shared" ca="1" si="150"/>
        <v>0</v>
      </c>
      <c r="EQ41" s="17" t="s">
        <v>123</v>
      </c>
      <c r="ER41" s="19">
        <v>542868633583.97101</v>
      </c>
      <c r="ES41" s="20">
        <f t="shared" si="79"/>
        <v>27.020133200509921</v>
      </c>
    </row>
    <row r="42" spans="1:149" ht="15">
      <c r="A42" s="21" t="s">
        <v>197</v>
      </c>
      <c r="B42" s="14">
        <f ca="1">IFERROR(__xludf.dummyfunction("QUERY('Countries markets attractivenes'!A:C, ""SELECT C WHERE A = '""&amp;A42&amp;""'"",0)"),26.604619911472)</f>
        <v>26.604619911472</v>
      </c>
      <c r="C42" s="14">
        <f t="shared" ca="1" si="78"/>
        <v>358294070260.9881</v>
      </c>
      <c r="D42" s="18">
        <f>Marketplace_customer!C42/Marketplace_customer!C$2</f>
        <v>0</v>
      </c>
      <c r="E42" s="18">
        <f>Marketplace_customer!D42/Marketplace_customer!D$2</f>
        <v>0</v>
      </c>
      <c r="F42" s="18">
        <f>Marketplace_customer!E42/Marketplace_customer!E$2</f>
        <v>0</v>
      </c>
      <c r="G42" s="18">
        <f>Marketplace_customer!F42/Marketplace_customer!F$2</f>
        <v>0</v>
      </c>
      <c r="H42" s="18">
        <f>Marketplace_customer!G42/Marketplace_customer!G$2</f>
        <v>0</v>
      </c>
      <c r="I42" s="18">
        <f>Marketplace_customer!H42/Marketplace_customer!H$2</f>
        <v>0</v>
      </c>
      <c r="J42" s="18">
        <f>Marketplace_customer!I42/Marketplace_customer!I$2</f>
        <v>0</v>
      </c>
      <c r="K42" s="18">
        <f>Marketplace_customer!J42/Marketplace_customer!J$2</f>
        <v>0</v>
      </c>
      <c r="L42" s="18">
        <f>Marketplace_customer!K42/Marketplace_customer!K$2</f>
        <v>0</v>
      </c>
      <c r="M42" s="18">
        <f>Marketplace_customer!L42/Marketplace_customer!L$2</f>
        <v>0</v>
      </c>
      <c r="N42" s="18">
        <f>Marketplace_customer!M42/Marketplace_customer!M$2</f>
        <v>0</v>
      </c>
      <c r="O42" s="18">
        <f>Marketplace_customer!N42/Marketplace_customer!N$2</f>
        <v>0</v>
      </c>
      <c r="P42" s="18">
        <f>Marketplace_customer!O42/Marketplace_customer!O$2</f>
        <v>5.3191489361702126E-3</v>
      </c>
      <c r="Q42" s="18">
        <f>Marketplace_customer!P42/Marketplace_customer!P$2</f>
        <v>0</v>
      </c>
      <c r="R42" s="18">
        <f>Marketplace_customer!Q42/Marketplace_customer!Q$2</f>
        <v>0</v>
      </c>
      <c r="S42" s="18">
        <f>Marketplace_customer!R42/Marketplace_customer!R$2</f>
        <v>0</v>
      </c>
      <c r="T42" s="18">
        <f>Marketplace_customer!S42/Marketplace_customer!S$2</f>
        <v>0</v>
      </c>
      <c r="U42" s="18">
        <f>Marketplace_customer!T42/Marketplace_customer!T$2</f>
        <v>0</v>
      </c>
      <c r="V42" s="18">
        <f>Marketplace_customer!U42/Marketplace_customer!U$2</f>
        <v>0</v>
      </c>
      <c r="W42" s="18">
        <f>Marketplace_customer!V42/Marketplace_customer!V$2</f>
        <v>0</v>
      </c>
      <c r="X42" s="18">
        <f>Marketplace_customer!W42/Marketplace_customer!W$2</f>
        <v>0</v>
      </c>
      <c r="Y42" s="18">
        <f>Marketplace_customer!X42/Marketplace_customer!X$2</f>
        <v>0</v>
      </c>
      <c r="Z42" s="18">
        <f>Marketplace_customer!Y42/Marketplace_customer!Y$2</f>
        <v>0</v>
      </c>
      <c r="AA42" s="18">
        <f>Marketplace_customer!Z42/Marketplace_customer!Z$2</f>
        <v>0</v>
      </c>
      <c r="AB42" s="18">
        <f>Marketplace_customer!AA42/Marketplace_customer!AA$2</f>
        <v>0</v>
      </c>
      <c r="AC42" s="18">
        <f>Marketplace_customer!AB42/Marketplace_customer!AB$2</f>
        <v>0</v>
      </c>
      <c r="AD42" s="18">
        <f>Marketplace_customer!AC42/Marketplace_customer!AC$2</f>
        <v>0</v>
      </c>
      <c r="AE42" s="18">
        <f>Marketplace_customer!AD42/Marketplace_customer!AD$2</f>
        <v>0</v>
      </c>
      <c r="AF42" s="18">
        <f>Marketplace_customer!AE42/Marketplace_customer!AE$2</f>
        <v>0</v>
      </c>
      <c r="AG42" s="18">
        <f>Marketplace_customer!AF42/Marketplace_customer!AF$2</f>
        <v>0</v>
      </c>
      <c r="AH42" s="18">
        <f>Marketplace_customer!AG42/Marketplace_customer!AG$2</f>
        <v>4.268041237113402E-3</v>
      </c>
      <c r="AI42" s="18">
        <f>Marketplace_customer!AH42/Marketplace_customer!AH$2</f>
        <v>0</v>
      </c>
      <c r="AJ42" s="18">
        <f>Marketplace_customer!AI42/Marketplace_customer!AI$2</f>
        <v>0</v>
      </c>
      <c r="AK42" s="18">
        <f>Marketplace_customer!AJ42/Marketplace_customer!AJ$2</f>
        <v>0</v>
      </c>
      <c r="AL42" s="18">
        <f>Marketplace_customer!AK42/Marketplace_customer!AK$2</f>
        <v>0</v>
      </c>
      <c r="AM42" s="18">
        <f>Marketplace_customer!AL42/Marketplace_customer!AL$2</f>
        <v>0</v>
      </c>
      <c r="AN42" s="18">
        <f>Marketplace_customer!AM42/Marketplace_customer!AM$2</f>
        <v>0</v>
      </c>
      <c r="AO42" s="18">
        <f>Marketplace_customer!AN42/Marketplace_customer!AN$2</f>
        <v>0</v>
      </c>
      <c r="AP42" s="18">
        <f>Marketplace_customer!AO42/Marketplace_customer!AO$2</f>
        <v>0</v>
      </c>
      <c r="AQ42" s="18">
        <f>Marketplace_customer!AP42/Marketplace_customer!AP$2</f>
        <v>0</v>
      </c>
      <c r="AR42" s="18">
        <f>Marketplace_customer!AQ42/Marketplace_customer!AQ$2</f>
        <v>0</v>
      </c>
      <c r="AS42" s="18">
        <f>Marketplace_customer!AR42/Marketplace_customer!AR$2</f>
        <v>0</v>
      </c>
      <c r="AT42" s="18">
        <f>Marketplace_customer!AS42/Marketplace_customer!AS$2</f>
        <v>0</v>
      </c>
      <c r="AU42" s="18">
        <f>Marketplace_customer!AT42/Marketplace_customer!AT$2</f>
        <v>0</v>
      </c>
      <c r="AV42" s="18">
        <f>Marketplace_customer!AU42/Marketplace_customer!AU$2</f>
        <v>0</v>
      </c>
      <c r="AW42" s="18">
        <f>Marketplace_customer!AV42/Marketplace_customer!AV$2</f>
        <v>0</v>
      </c>
      <c r="AX42" s="18">
        <f>Marketplace_customer!AW42/Marketplace_customer!AW$2</f>
        <v>0</v>
      </c>
      <c r="AY42" s="18">
        <f>Marketplace_customer!AX42/Marketplace_customer!AX$2</f>
        <v>0</v>
      </c>
      <c r="AZ42" s="18">
        <f>Marketplace_customer!AY42/Marketplace_customer!AY$2</f>
        <v>0</v>
      </c>
      <c r="BA42" s="18">
        <f>Marketplace_customer!AZ42/Marketplace_customer!AZ$2</f>
        <v>0</v>
      </c>
      <c r="BB42" s="18">
        <f>Marketplace_customer!BA42/Marketplace_customer!BA$2</f>
        <v>0</v>
      </c>
      <c r="BC42" s="18">
        <f>Marketplace_customer!BB42/Marketplace_customer!BB$2</f>
        <v>0</v>
      </c>
      <c r="BD42" s="18">
        <f>Marketplace_customer!BC42/Marketplace_customer!BC$2</f>
        <v>0</v>
      </c>
      <c r="BE42" s="18">
        <f>Marketplace_customer!BD42/Marketplace_customer!BD$2</f>
        <v>0</v>
      </c>
      <c r="BF42" s="18">
        <f>Marketplace_customer!BE42/Marketplace_customer!BE$2</f>
        <v>0</v>
      </c>
      <c r="BG42" s="18">
        <f>Marketplace_customer!BF42/Marketplace_customer!BF$2</f>
        <v>0</v>
      </c>
      <c r="BH42" s="18">
        <f>Marketplace_customer!BG42/Marketplace_customer!BG$2</f>
        <v>0</v>
      </c>
      <c r="BI42" s="18">
        <f>Marketplace_customer!BH42/Marketplace_customer!BH$2</f>
        <v>0</v>
      </c>
      <c r="BJ42" s="18">
        <f>Marketplace_customer!BI42/Marketplace_customer!BI$2</f>
        <v>0</v>
      </c>
      <c r="BK42" s="18">
        <f>Marketplace_customer!BJ42/Marketplace_customer!BJ$2</f>
        <v>3.0719429213186236E-2</v>
      </c>
      <c r="BL42" s="18">
        <f>Marketplace_customer!BK42/Marketplace_customer!BK$2</f>
        <v>0</v>
      </c>
      <c r="BM42" s="18">
        <f>Marketplace_customer!BL42/Marketplace_customer!BL$2</f>
        <v>0</v>
      </c>
      <c r="BN42" s="18">
        <f>Marketplace_customer!BM42/Marketplace_customer!BM$2</f>
        <v>0</v>
      </c>
      <c r="BO42" s="18">
        <f>Marketplace_customer!BN42/Marketplace_customer!BN$2</f>
        <v>0</v>
      </c>
      <c r="BP42" s="18">
        <f>Marketplace_customer!BO42/Marketplace_customer!BO$2</f>
        <v>0</v>
      </c>
      <c r="BQ42" s="18">
        <f>Marketplace_customer!BP42/Marketplace_customer!BP$2</f>
        <v>0</v>
      </c>
      <c r="BR42" s="18">
        <f>Marketplace_customer!BQ42/Marketplace_customer!BQ$2</f>
        <v>0</v>
      </c>
      <c r="BS42" s="18">
        <f>Marketplace_customer!BR42/Marketplace_customer!BR$2</f>
        <v>2.492063492063492E-3</v>
      </c>
      <c r="BT42" s="18">
        <f>Marketplace_customer!BS42/Marketplace_customer!BS$2</f>
        <v>0</v>
      </c>
      <c r="BU42" s="18">
        <f>Marketplace_customer!BT42/Marketplace_customer!BT$2</f>
        <v>0</v>
      </c>
      <c r="BV42" s="18">
        <f>Marketplace_customer!BU42/Marketplace_customer!BU$2</f>
        <v>0</v>
      </c>
      <c r="BW42" s="19"/>
      <c r="BX42" s="20">
        <f t="shared" ca="1" si="80"/>
        <v>0</v>
      </c>
      <c r="BY42" s="20">
        <f t="shared" ca="1" si="81"/>
        <v>0</v>
      </c>
      <c r="BZ42" s="20">
        <f t="shared" ca="1" si="82"/>
        <v>0</v>
      </c>
      <c r="CA42" s="20">
        <f t="shared" ca="1" si="83"/>
        <v>0</v>
      </c>
      <c r="CB42" s="20">
        <f t="shared" ca="1" si="84"/>
        <v>0</v>
      </c>
      <c r="CC42" s="20">
        <f t="shared" ca="1" si="85"/>
        <v>0</v>
      </c>
      <c r="CD42" s="20">
        <f t="shared" ca="1" si="86"/>
        <v>0</v>
      </c>
      <c r="CE42" s="20">
        <f t="shared" ca="1" si="87"/>
        <v>0</v>
      </c>
      <c r="CF42" s="20">
        <f t="shared" ca="1" si="88"/>
        <v>0</v>
      </c>
      <c r="CG42" s="20">
        <f t="shared" ca="1" si="89"/>
        <v>0</v>
      </c>
      <c r="CH42" s="20">
        <f t="shared" ca="1" si="90"/>
        <v>0</v>
      </c>
      <c r="CI42" s="20">
        <f t="shared" ca="1" si="91"/>
        <v>0</v>
      </c>
      <c r="CJ42" s="20">
        <f t="shared" ca="1" si="92"/>
        <v>1905819522.6648302</v>
      </c>
      <c r="CK42" s="20">
        <f t="shared" ca="1" si="93"/>
        <v>0</v>
      </c>
      <c r="CL42" s="20">
        <f t="shared" ca="1" si="94"/>
        <v>0</v>
      </c>
      <c r="CM42" s="20">
        <f t="shared" ca="1" si="95"/>
        <v>0</v>
      </c>
      <c r="CN42" s="20">
        <f t="shared" ca="1" si="96"/>
        <v>0</v>
      </c>
      <c r="CO42" s="20">
        <f t="shared" ca="1" si="97"/>
        <v>0</v>
      </c>
      <c r="CP42" s="20">
        <f t="shared" ca="1" si="98"/>
        <v>0</v>
      </c>
      <c r="CQ42" s="20">
        <f t="shared" ca="1" si="99"/>
        <v>0</v>
      </c>
      <c r="CR42" s="20">
        <f t="shared" ca="1" si="100"/>
        <v>0</v>
      </c>
      <c r="CS42" s="20">
        <f t="shared" ca="1" si="101"/>
        <v>0</v>
      </c>
      <c r="CT42" s="20">
        <f t="shared" ca="1" si="102"/>
        <v>0</v>
      </c>
      <c r="CU42" s="20">
        <f t="shared" ca="1" si="103"/>
        <v>0</v>
      </c>
      <c r="CV42" s="20">
        <f t="shared" ca="1" si="104"/>
        <v>0</v>
      </c>
      <c r="CW42" s="20">
        <f t="shared" ca="1" si="105"/>
        <v>0</v>
      </c>
      <c r="CX42" s="20">
        <f t="shared" ca="1" si="106"/>
        <v>0</v>
      </c>
      <c r="CY42" s="20">
        <f t="shared" ca="1" si="107"/>
        <v>0</v>
      </c>
      <c r="CZ42" s="20">
        <f t="shared" ca="1" si="108"/>
        <v>0</v>
      </c>
      <c r="DA42" s="20">
        <f t="shared" ca="1" si="109"/>
        <v>0</v>
      </c>
      <c r="DB42" s="20">
        <f t="shared" ca="1" si="110"/>
        <v>1529213866.8871038</v>
      </c>
      <c r="DC42" s="20">
        <f t="shared" ca="1" si="111"/>
        <v>0</v>
      </c>
      <c r="DD42" s="20">
        <f t="shared" ca="1" si="112"/>
        <v>0</v>
      </c>
      <c r="DE42" s="20">
        <f t="shared" ca="1" si="113"/>
        <v>0</v>
      </c>
      <c r="DF42" s="20">
        <f t="shared" ca="1" si="114"/>
        <v>0</v>
      </c>
      <c r="DG42" s="20">
        <f t="shared" ca="1" si="115"/>
        <v>0</v>
      </c>
      <c r="DH42" s="20">
        <f t="shared" ca="1" si="116"/>
        <v>0</v>
      </c>
      <c r="DI42" s="20">
        <f t="shared" ca="1" si="117"/>
        <v>0</v>
      </c>
      <c r="DJ42" s="20">
        <f t="shared" ca="1" si="118"/>
        <v>0</v>
      </c>
      <c r="DK42" s="20">
        <f t="shared" ca="1" si="119"/>
        <v>0</v>
      </c>
      <c r="DL42" s="20">
        <f t="shared" ca="1" si="120"/>
        <v>0</v>
      </c>
      <c r="DM42" s="20">
        <f t="shared" ca="1" si="121"/>
        <v>0</v>
      </c>
      <c r="DN42" s="20">
        <f t="shared" ca="1" si="122"/>
        <v>0</v>
      </c>
      <c r="DO42" s="20">
        <f t="shared" ca="1" si="123"/>
        <v>0</v>
      </c>
      <c r="DP42" s="20">
        <f t="shared" ca="1" si="124"/>
        <v>0</v>
      </c>
      <c r="DQ42" s="20">
        <f t="shared" ca="1" si="125"/>
        <v>0</v>
      </c>
      <c r="DR42" s="20">
        <f t="shared" ca="1" si="126"/>
        <v>0</v>
      </c>
      <c r="DS42" s="20">
        <f t="shared" ca="1" si="127"/>
        <v>0</v>
      </c>
      <c r="DT42" s="20">
        <f t="shared" ca="1" si="128"/>
        <v>0</v>
      </c>
      <c r="DU42" s="20">
        <f t="shared" ca="1" si="129"/>
        <v>0</v>
      </c>
      <c r="DV42" s="20">
        <f t="shared" ca="1" si="130"/>
        <v>0</v>
      </c>
      <c r="DW42" s="20">
        <f t="shared" ca="1" si="131"/>
        <v>0</v>
      </c>
      <c r="DX42" s="20">
        <f t="shared" ca="1" si="132"/>
        <v>0</v>
      </c>
      <c r="DY42" s="20">
        <f t="shared" ca="1" si="133"/>
        <v>0</v>
      </c>
      <c r="DZ42" s="20">
        <f t="shared" ca="1" si="134"/>
        <v>0</v>
      </c>
      <c r="EA42" s="20">
        <f t="shared" ca="1" si="135"/>
        <v>0</v>
      </c>
      <c r="EB42" s="20">
        <f t="shared" ca="1" si="136"/>
        <v>0</v>
      </c>
      <c r="EC42" s="20">
        <f t="shared" ca="1" si="137"/>
        <v>0</v>
      </c>
      <c r="ED42" s="20">
        <f t="shared" ca="1" si="138"/>
        <v>0</v>
      </c>
      <c r="EE42" s="20">
        <f t="shared" ca="1" si="139"/>
        <v>11006589328.886799</v>
      </c>
      <c r="EF42" s="20">
        <f t="shared" ca="1" si="140"/>
        <v>0</v>
      </c>
      <c r="EG42" s="20">
        <f t="shared" ca="1" si="141"/>
        <v>0</v>
      </c>
      <c r="EH42" s="20">
        <f t="shared" ca="1" si="142"/>
        <v>0</v>
      </c>
      <c r="EI42" s="20">
        <f t="shared" ca="1" si="143"/>
        <v>0</v>
      </c>
      <c r="EJ42" s="20">
        <f t="shared" ca="1" si="144"/>
        <v>0</v>
      </c>
      <c r="EK42" s="20">
        <f t="shared" ca="1" si="145"/>
        <v>0</v>
      </c>
      <c r="EL42" s="20">
        <f t="shared" ca="1" si="146"/>
        <v>0</v>
      </c>
      <c r="EM42" s="20">
        <f t="shared" ca="1" si="147"/>
        <v>892891571.92024016</v>
      </c>
      <c r="EN42" s="20">
        <f t="shared" ca="1" si="148"/>
        <v>0</v>
      </c>
      <c r="EO42" s="20">
        <f t="shared" ca="1" si="149"/>
        <v>0</v>
      </c>
      <c r="EP42" s="20">
        <f t="shared" ca="1" si="150"/>
        <v>0</v>
      </c>
      <c r="EQ42" s="17" t="s">
        <v>124</v>
      </c>
      <c r="ER42" s="19">
        <v>1850589004390.1201</v>
      </c>
      <c r="ES42" s="20">
        <f t="shared" si="79"/>
        <v>28.246525085097801</v>
      </c>
    </row>
    <row r="43" spans="1:149" ht="15">
      <c r="A43" s="21" t="s">
        <v>198</v>
      </c>
      <c r="B43" s="14">
        <f ca="1">IFERROR(__xludf.dummyfunction("QUERY('Countries markets attractivenes'!A:C, ""SELECT C WHERE A = '""&amp;A43&amp;""'"",0)"),26.038969556506)</f>
        <v>26.038969556506</v>
      </c>
      <c r="C43" s="14">
        <f t="shared" ca="1" si="78"/>
        <v>203507675081.48785</v>
      </c>
      <c r="D43" s="18">
        <f>Marketplace_customer!C43/Marketplace_customer!C$2</f>
        <v>0</v>
      </c>
      <c r="E43" s="18">
        <f>Marketplace_customer!D43/Marketplace_customer!D$2</f>
        <v>0</v>
      </c>
      <c r="F43" s="18">
        <f>Marketplace_customer!E43/Marketplace_customer!E$2</f>
        <v>0</v>
      </c>
      <c r="G43" s="18">
        <f>Marketplace_customer!F43/Marketplace_customer!F$2</f>
        <v>0</v>
      </c>
      <c r="H43" s="18">
        <f>Marketplace_customer!G43/Marketplace_customer!G$2</f>
        <v>0</v>
      </c>
      <c r="I43" s="18">
        <f>Marketplace_customer!H43/Marketplace_customer!H$2</f>
        <v>0</v>
      </c>
      <c r="J43" s="18">
        <f>Marketplace_customer!I43/Marketplace_customer!I$2</f>
        <v>0</v>
      </c>
      <c r="K43" s="18">
        <f>Marketplace_customer!J43/Marketplace_customer!J$2</f>
        <v>0</v>
      </c>
      <c r="L43" s="18">
        <f>Marketplace_customer!K43/Marketplace_customer!K$2</f>
        <v>0</v>
      </c>
      <c r="M43" s="18">
        <f>Marketplace_customer!L43/Marketplace_customer!L$2</f>
        <v>0</v>
      </c>
      <c r="N43" s="18">
        <f>Marketplace_customer!M43/Marketplace_customer!M$2</f>
        <v>0</v>
      </c>
      <c r="O43" s="18">
        <f>Marketplace_customer!N43/Marketplace_customer!N$2</f>
        <v>0</v>
      </c>
      <c r="P43" s="18">
        <f>Marketplace_customer!O43/Marketplace_customer!O$2</f>
        <v>6.5212765957446803E-4</v>
      </c>
      <c r="Q43" s="18">
        <f>Marketplace_customer!P43/Marketplace_customer!P$2</f>
        <v>0</v>
      </c>
      <c r="R43" s="18">
        <f>Marketplace_customer!Q43/Marketplace_customer!Q$2</f>
        <v>0</v>
      </c>
      <c r="S43" s="18">
        <f>Marketplace_customer!R43/Marketplace_customer!R$2</f>
        <v>0</v>
      </c>
      <c r="T43" s="18">
        <f>Marketplace_customer!S43/Marketplace_customer!S$2</f>
        <v>0</v>
      </c>
      <c r="U43" s="18">
        <f>Marketplace_customer!T43/Marketplace_customer!T$2</f>
        <v>0</v>
      </c>
      <c r="V43" s="18">
        <f>Marketplace_customer!U43/Marketplace_customer!U$2</f>
        <v>0</v>
      </c>
      <c r="W43" s="18">
        <f>Marketplace_customer!V43/Marketplace_customer!V$2</f>
        <v>0</v>
      </c>
      <c r="X43" s="18">
        <f>Marketplace_customer!W43/Marketplace_customer!W$2</f>
        <v>0</v>
      </c>
      <c r="Y43" s="18">
        <f>Marketplace_customer!X43/Marketplace_customer!X$2</f>
        <v>0</v>
      </c>
      <c r="Z43" s="18">
        <f>Marketplace_customer!Y43/Marketplace_customer!Y$2</f>
        <v>0</v>
      </c>
      <c r="AA43" s="18">
        <f>Marketplace_customer!Z43/Marketplace_customer!Z$2</f>
        <v>0</v>
      </c>
      <c r="AB43" s="18">
        <f>Marketplace_customer!AA43/Marketplace_customer!AA$2</f>
        <v>0</v>
      </c>
      <c r="AC43" s="18">
        <f>Marketplace_customer!AB43/Marketplace_customer!AB$2</f>
        <v>0</v>
      </c>
      <c r="AD43" s="18">
        <f>Marketplace_customer!AC43/Marketplace_customer!AC$2</f>
        <v>0</v>
      </c>
      <c r="AE43" s="18">
        <f>Marketplace_customer!AD43/Marketplace_customer!AD$2</f>
        <v>0</v>
      </c>
      <c r="AF43" s="18">
        <f>Marketplace_customer!AE43/Marketplace_customer!AE$2</f>
        <v>0</v>
      </c>
      <c r="AG43" s="18">
        <f>Marketplace_customer!AF43/Marketplace_customer!AF$2</f>
        <v>0</v>
      </c>
      <c r="AH43" s="18">
        <f>Marketplace_customer!AG43/Marketplace_customer!AG$2</f>
        <v>0</v>
      </c>
      <c r="AI43" s="18">
        <f>Marketplace_customer!AH43/Marketplace_customer!AH$2</f>
        <v>0</v>
      </c>
      <c r="AJ43" s="18">
        <f>Marketplace_customer!AI43/Marketplace_customer!AI$2</f>
        <v>0</v>
      </c>
      <c r="AK43" s="18">
        <f>Marketplace_customer!AJ43/Marketplace_customer!AJ$2</f>
        <v>0</v>
      </c>
      <c r="AL43" s="18">
        <f>Marketplace_customer!AK43/Marketplace_customer!AK$2</f>
        <v>0</v>
      </c>
      <c r="AM43" s="18">
        <f>Marketplace_customer!AL43/Marketplace_customer!AL$2</f>
        <v>0.92307692307692302</v>
      </c>
      <c r="AN43" s="18">
        <f>Marketplace_customer!AM43/Marketplace_customer!AM$2</f>
        <v>0</v>
      </c>
      <c r="AO43" s="18">
        <f>Marketplace_customer!AN43/Marketplace_customer!AN$2</f>
        <v>0</v>
      </c>
      <c r="AP43" s="18">
        <f>Marketplace_customer!AO43/Marketplace_customer!AO$2</f>
        <v>0</v>
      </c>
      <c r="AQ43" s="18">
        <f>Marketplace_customer!AP43/Marketplace_customer!AP$2</f>
        <v>0</v>
      </c>
      <c r="AR43" s="18">
        <f>Marketplace_customer!AQ43/Marketplace_customer!AQ$2</f>
        <v>0</v>
      </c>
      <c r="AS43" s="18">
        <f>Marketplace_customer!AR43/Marketplace_customer!AR$2</f>
        <v>0</v>
      </c>
      <c r="AT43" s="18">
        <f>Marketplace_customer!AS43/Marketplace_customer!AS$2</f>
        <v>0</v>
      </c>
      <c r="AU43" s="18">
        <f>Marketplace_customer!AT43/Marketplace_customer!AT$2</f>
        <v>0</v>
      </c>
      <c r="AV43" s="18">
        <f>Marketplace_customer!AU43/Marketplace_customer!AU$2</f>
        <v>0</v>
      </c>
      <c r="AW43" s="18">
        <f>Marketplace_customer!AV43/Marketplace_customer!AV$2</f>
        <v>0</v>
      </c>
      <c r="AX43" s="18">
        <f>Marketplace_customer!AW43/Marketplace_customer!AW$2</f>
        <v>1.9678217821782178E-3</v>
      </c>
      <c r="AY43" s="18">
        <f>Marketplace_customer!AX43/Marketplace_customer!AX$2</f>
        <v>0</v>
      </c>
      <c r="AZ43" s="18">
        <f>Marketplace_customer!AY43/Marketplace_customer!AY$2</f>
        <v>0</v>
      </c>
      <c r="BA43" s="18">
        <f>Marketplace_customer!AZ43/Marketplace_customer!AZ$2</f>
        <v>0</v>
      </c>
      <c r="BB43" s="18">
        <f>Marketplace_customer!BA43/Marketplace_customer!BA$2</f>
        <v>0</v>
      </c>
      <c r="BC43" s="18">
        <f>Marketplace_customer!BB43/Marketplace_customer!BB$2</f>
        <v>0</v>
      </c>
      <c r="BD43" s="18">
        <f>Marketplace_customer!BC43/Marketplace_customer!BC$2</f>
        <v>0</v>
      </c>
      <c r="BE43" s="18">
        <f>Marketplace_customer!BD43/Marketplace_customer!BD$2</f>
        <v>0</v>
      </c>
      <c r="BF43" s="18">
        <f>Marketplace_customer!BE43/Marketplace_customer!BE$2</f>
        <v>0</v>
      </c>
      <c r="BG43" s="18">
        <f>Marketplace_customer!BF43/Marketplace_customer!BF$2</f>
        <v>0</v>
      </c>
      <c r="BH43" s="18">
        <f>Marketplace_customer!BG43/Marketplace_customer!BG$2</f>
        <v>0</v>
      </c>
      <c r="BI43" s="18">
        <f>Marketplace_customer!BH43/Marketplace_customer!BH$2</f>
        <v>0</v>
      </c>
      <c r="BJ43" s="18">
        <f>Marketplace_customer!BI43/Marketplace_customer!BI$2</f>
        <v>0</v>
      </c>
      <c r="BK43" s="18">
        <f>Marketplace_customer!BJ43/Marketplace_customer!BJ$2</f>
        <v>0</v>
      </c>
      <c r="BL43" s="18">
        <f>Marketplace_customer!BK43/Marketplace_customer!BK$2</f>
        <v>0</v>
      </c>
      <c r="BM43" s="18">
        <f>Marketplace_customer!BL43/Marketplace_customer!BL$2</f>
        <v>0</v>
      </c>
      <c r="BN43" s="18">
        <f>Marketplace_customer!BM43/Marketplace_customer!BM$2</f>
        <v>0</v>
      </c>
      <c r="BO43" s="18">
        <f>Marketplace_customer!BN43/Marketplace_customer!BN$2</f>
        <v>0</v>
      </c>
      <c r="BP43" s="18">
        <f>Marketplace_customer!BO43/Marketplace_customer!BO$2</f>
        <v>0</v>
      </c>
      <c r="BQ43" s="18">
        <f>Marketplace_customer!BP43/Marketplace_customer!BP$2</f>
        <v>0</v>
      </c>
      <c r="BR43" s="18">
        <f>Marketplace_customer!BQ43/Marketplace_customer!BQ$2</f>
        <v>0</v>
      </c>
      <c r="BS43" s="18">
        <f>Marketplace_customer!BR43/Marketplace_customer!BR$2</f>
        <v>0</v>
      </c>
      <c r="BT43" s="18">
        <f>Marketplace_customer!BS43/Marketplace_customer!BS$2</f>
        <v>0</v>
      </c>
      <c r="BU43" s="18">
        <f>Marketplace_customer!BT43/Marketplace_customer!BT$2</f>
        <v>0</v>
      </c>
      <c r="BV43" s="18">
        <f>Marketplace_customer!BU43/Marketplace_customer!BU$2</f>
        <v>0.97619047619047605</v>
      </c>
      <c r="BW43" s="19"/>
      <c r="BX43" s="20">
        <f t="shared" ca="1" si="80"/>
        <v>0</v>
      </c>
      <c r="BY43" s="20">
        <f t="shared" ca="1" si="81"/>
        <v>0</v>
      </c>
      <c r="BZ43" s="20">
        <f t="shared" ca="1" si="82"/>
        <v>0</v>
      </c>
      <c r="CA43" s="20">
        <f t="shared" ca="1" si="83"/>
        <v>0</v>
      </c>
      <c r="CB43" s="20">
        <f t="shared" ca="1" si="84"/>
        <v>0</v>
      </c>
      <c r="CC43" s="20">
        <f t="shared" ca="1" si="85"/>
        <v>0</v>
      </c>
      <c r="CD43" s="20">
        <f t="shared" ca="1" si="86"/>
        <v>0</v>
      </c>
      <c r="CE43" s="20">
        <f t="shared" ca="1" si="87"/>
        <v>0</v>
      </c>
      <c r="CF43" s="20">
        <f t="shared" ca="1" si="88"/>
        <v>0</v>
      </c>
      <c r="CG43" s="20">
        <f t="shared" ca="1" si="89"/>
        <v>0</v>
      </c>
      <c r="CH43" s="20">
        <f t="shared" ca="1" si="90"/>
        <v>0</v>
      </c>
      <c r="CI43" s="20">
        <f t="shared" ca="1" si="91"/>
        <v>0</v>
      </c>
      <c r="CJ43" s="20">
        <f t="shared" ca="1" si="92"/>
        <v>132712983.85633196</v>
      </c>
      <c r="CK43" s="20">
        <f t="shared" ca="1" si="93"/>
        <v>0</v>
      </c>
      <c r="CL43" s="20">
        <f t="shared" ca="1" si="94"/>
        <v>0</v>
      </c>
      <c r="CM43" s="20">
        <f t="shared" ca="1" si="95"/>
        <v>0</v>
      </c>
      <c r="CN43" s="20">
        <f t="shared" ca="1" si="96"/>
        <v>0</v>
      </c>
      <c r="CO43" s="20">
        <f t="shared" ca="1" si="97"/>
        <v>0</v>
      </c>
      <c r="CP43" s="20">
        <f t="shared" ca="1" si="98"/>
        <v>0</v>
      </c>
      <c r="CQ43" s="20">
        <f t="shared" ca="1" si="99"/>
        <v>0</v>
      </c>
      <c r="CR43" s="20">
        <f t="shared" ca="1" si="100"/>
        <v>0</v>
      </c>
      <c r="CS43" s="20">
        <f t="shared" ca="1" si="101"/>
        <v>0</v>
      </c>
      <c r="CT43" s="20">
        <f t="shared" ca="1" si="102"/>
        <v>0</v>
      </c>
      <c r="CU43" s="20">
        <f t="shared" ca="1" si="103"/>
        <v>0</v>
      </c>
      <c r="CV43" s="20">
        <f t="shared" ca="1" si="104"/>
        <v>0</v>
      </c>
      <c r="CW43" s="20">
        <f t="shared" ca="1" si="105"/>
        <v>0</v>
      </c>
      <c r="CX43" s="20">
        <f t="shared" ca="1" si="106"/>
        <v>0</v>
      </c>
      <c r="CY43" s="20">
        <f t="shared" ca="1" si="107"/>
        <v>0</v>
      </c>
      <c r="CZ43" s="20">
        <f t="shared" ca="1" si="108"/>
        <v>0</v>
      </c>
      <c r="DA43" s="20">
        <f t="shared" ca="1" si="109"/>
        <v>0</v>
      </c>
      <c r="DB43" s="20">
        <f t="shared" ca="1" si="110"/>
        <v>0</v>
      </c>
      <c r="DC43" s="20">
        <f t="shared" ca="1" si="111"/>
        <v>0</v>
      </c>
      <c r="DD43" s="20">
        <f t="shared" ca="1" si="112"/>
        <v>0</v>
      </c>
      <c r="DE43" s="20">
        <f t="shared" ca="1" si="113"/>
        <v>0</v>
      </c>
      <c r="DF43" s="20">
        <f t="shared" ca="1" si="114"/>
        <v>0</v>
      </c>
      <c r="DG43" s="20">
        <f t="shared" ca="1" si="115"/>
        <v>187853238536.758</v>
      </c>
      <c r="DH43" s="20">
        <f t="shared" ca="1" si="116"/>
        <v>0</v>
      </c>
      <c r="DI43" s="20">
        <f t="shared" ca="1" si="117"/>
        <v>0</v>
      </c>
      <c r="DJ43" s="20">
        <f t="shared" ca="1" si="118"/>
        <v>0</v>
      </c>
      <c r="DK43" s="20">
        <f t="shared" ca="1" si="119"/>
        <v>0</v>
      </c>
      <c r="DL43" s="20">
        <f t="shared" ca="1" si="120"/>
        <v>0</v>
      </c>
      <c r="DM43" s="20">
        <f t="shared" ca="1" si="121"/>
        <v>0</v>
      </c>
      <c r="DN43" s="20">
        <f t="shared" ca="1" si="122"/>
        <v>0</v>
      </c>
      <c r="DO43" s="20">
        <f t="shared" ca="1" si="123"/>
        <v>0</v>
      </c>
      <c r="DP43" s="20">
        <f t="shared" ca="1" si="124"/>
        <v>0</v>
      </c>
      <c r="DQ43" s="20">
        <f t="shared" ca="1" si="125"/>
        <v>0</v>
      </c>
      <c r="DR43" s="20">
        <f t="shared" ca="1" si="126"/>
        <v>400466835.86579913</v>
      </c>
      <c r="DS43" s="20">
        <f t="shared" ca="1" si="127"/>
        <v>0</v>
      </c>
      <c r="DT43" s="20">
        <f t="shared" ca="1" si="128"/>
        <v>0</v>
      </c>
      <c r="DU43" s="20">
        <f t="shared" ca="1" si="129"/>
        <v>0</v>
      </c>
      <c r="DV43" s="20">
        <f t="shared" ca="1" si="130"/>
        <v>0</v>
      </c>
      <c r="DW43" s="20">
        <f t="shared" ca="1" si="131"/>
        <v>0</v>
      </c>
      <c r="DX43" s="20">
        <f t="shared" ca="1" si="132"/>
        <v>0</v>
      </c>
      <c r="DY43" s="20">
        <f t="shared" ca="1" si="133"/>
        <v>0</v>
      </c>
      <c r="DZ43" s="20">
        <f t="shared" ca="1" si="134"/>
        <v>0</v>
      </c>
      <c r="EA43" s="20">
        <f t="shared" ca="1" si="135"/>
        <v>0</v>
      </c>
      <c r="EB43" s="20">
        <f t="shared" ca="1" si="136"/>
        <v>0</v>
      </c>
      <c r="EC43" s="20">
        <f t="shared" ca="1" si="137"/>
        <v>0</v>
      </c>
      <c r="ED43" s="20">
        <f t="shared" ca="1" si="138"/>
        <v>0</v>
      </c>
      <c r="EE43" s="20">
        <f t="shared" ca="1" si="139"/>
        <v>0</v>
      </c>
      <c r="EF43" s="20">
        <f t="shared" ca="1" si="140"/>
        <v>0</v>
      </c>
      <c r="EG43" s="20">
        <f t="shared" ca="1" si="141"/>
        <v>0</v>
      </c>
      <c r="EH43" s="20">
        <f t="shared" ca="1" si="142"/>
        <v>0</v>
      </c>
      <c r="EI43" s="20">
        <f t="shared" ca="1" si="143"/>
        <v>0</v>
      </c>
      <c r="EJ43" s="20">
        <f t="shared" ca="1" si="144"/>
        <v>0</v>
      </c>
      <c r="EK43" s="20">
        <f t="shared" ca="1" si="145"/>
        <v>0</v>
      </c>
      <c r="EL43" s="20">
        <f t="shared" ca="1" si="146"/>
        <v>0</v>
      </c>
      <c r="EM43" s="20">
        <f t="shared" ca="1" si="147"/>
        <v>0</v>
      </c>
      <c r="EN43" s="20">
        <f t="shared" ca="1" si="148"/>
        <v>0</v>
      </c>
      <c r="EO43" s="20">
        <f t="shared" ca="1" si="149"/>
        <v>0</v>
      </c>
      <c r="EP43" s="20">
        <f t="shared" ca="1" si="150"/>
        <v>198662254246.21429</v>
      </c>
      <c r="EQ43" s="17" t="s">
        <v>125</v>
      </c>
      <c r="ER43" s="19">
        <v>1481349619327.4099</v>
      </c>
      <c r="ES43" s="20">
        <f t="shared" si="79"/>
        <v>28.023974693122803</v>
      </c>
    </row>
    <row r="44" spans="1:149" ht="15">
      <c r="A44" s="21" t="s">
        <v>199</v>
      </c>
      <c r="B44" s="14">
        <f>LN(C44)</f>
        <v>27.11048179997492</v>
      </c>
      <c r="C44" s="14">
        <v>594200000000</v>
      </c>
      <c r="D44" s="18">
        <f>Marketplace_customer!C44/Marketplace_customer!C$2</f>
        <v>0.97987117552334946</v>
      </c>
      <c r="E44" s="18">
        <f>Marketplace_customer!D44/Marketplace_customer!D$2</f>
        <v>0</v>
      </c>
      <c r="F44" s="18">
        <f>Marketplace_customer!E44/Marketplace_customer!E$2</f>
        <v>0</v>
      </c>
      <c r="G44" s="18">
        <f>Marketplace_customer!F44/Marketplace_customer!F$2</f>
        <v>0</v>
      </c>
      <c r="H44" s="18">
        <f>Marketplace_customer!G44/Marketplace_customer!G$2</f>
        <v>0</v>
      </c>
      <c r="I44" s="18">
        <f>Marketplace_customer!H44/Marketplace_customer!H$2</f>
        <v>0</v>
      </c>
      <c r="J44" s="18">
        <f>Marketplace_customer!I44/Marketplace_customer!I$2</f>
        <v>0</v>
      </c>
      <c r="K44" s="18">
        <f>Marketplace_customer!J44/Marketplace_customer!J$2</f>
        <v>0</v>
      </c>
      <c r="L44" s="18">
        <f>Marketplace_customer!K44/Marketplace_customer!K$2</f>
        <v>0</v>
      </c>
      <c r="M44" s="18">
        <f>Marketplace_customer!L44/Marketplace_customer!L$2</f>
        <v>0</v>
      </c>
      <c r="N44" s="18">
        <f>Marketplace_customer!M44/Marketplace_customer!M$2</f>
        <v>0</v>
      </c>
      <c r="O44" s="18">
        <f>Marketplace_customer!N44/Marketplace_customer!N$2</f>
        <v>0</v>
      </c>
      <c r="P44" s="18">
        <f>Marketplace_customer!O44/Marketplace_customer!O$2</f>
        <v>0</v>
      </c>
      <c r="Q44" s="18">
        <f>Marketplace_customer!P44/Marketplace_customer!P$2</f>
        <v>0</v>
      </c>
      <c r="R44" s="18">
        <f>Marketplace_customer!Q44/Marketplace_customer!Q$2</f>
        <v>0</v>
      </c>
      <c r="S44" s="18">
        <f>Marketplace_customer!R44/Marketplace_customer!R$2</f>
        <v>0</v>
      </c>
      <c r="T44" s="18">
        <f>Marketplace_customer!S44/Marketplace_customer!S$2</f>
        <v>0</v>
      </c>
      <c r="U44" s="18">
        <f>Marketplace_customer!T44/Marketplace_customer!T$2</f>
        <v>0</v>
      </c>
      <c r="V44" s="18">
        <f>Marketplace_customer!U44/Marketplace_customer!U$2</f>
        <v>0</v>
      </c>
      <c r="W44" s="18">
        <f>Marketplace_customer!V44/Marketplace_customer!V$2</f>
        <v>0</v>
      </c>
      <c r="X44" s="18">
        <f>Marketplace_customer!W44/Marketplace_customer!W$2</f>
        <v>0</v>
      </c>
      <c r="Y44" s="18">
        <f>Marketplace_customer!X44/Marketplace_customer!X$2</f>
        <v>0</v>
      </c>
      <c r="Z44" s="18">
        <f>Marketplace_customer!Y44/Marketplace_customer!Y$2</f>
        <v>0</v>
      </c>
      <c r="AA44" s="18">
        <f>Marketplace_customer!Z44/Marketplace_customer!Z$2</f>
        <v>0</v>
      </c>
      <c r="AB44" s="18">
        <f>Marketplace_customer!AA44/Marketplace_customer!AA$2</f>
        <v>0</v>
      </c>
      <c r="AC44" s="18">
        <f>Marketplace_customer!AB44/Marketplace_customer!AB$2</f>
        <v>0</v>
      </c>
      <c r="AD44" s="18">
        <f>Marketplace_customer!AC44/Marketplace_customer!AC$2</f>
        <v>0</v>
      </c>
      <c r="AE44" s="18">
        <f>Marketplace_customer!AD44/Marketplace_customer!AD$2</f>
        <v>0</v>
      </c>
      <c r="AF44" s="18">
        <f>Marketplace_customer!AE44/Marketplace_customer!AE$2</f>
        <v>0</v>
      </c>
      <c r="AG44" s="18">
        <f>Marketplace_customer!AF44/Marketplace_customer!AF$2</f>
        <v>0</v>
      </c>
      <c r="AH44" s="18">
        <f>Marketplace_customer!AG44/Marketplace_customer!AG$2</f>
        <v>3.6958762886597938E-3</v>
      </c>
      <c r="AI44" s="18">
        <f>Marketplace_customer!AH44/Marketplace_customer!AH$2</f>
        <v>0</v>
      </c>
      <c r="AJ44" s="18">
        <f>Marketplace_customer!AI44/Marketplace_customer!AI$2</f>
        <v>0</v>
      </c>
      <c r="AK44" s="18">
        <f>Marketplace_customer!AJ44/Marketplace_customer!AJ$2</f>
        <v>0</v>
      </c>
      <c r="AL44" s="18">
        <f>Marketplace_customer!AK44/Marketplace_customer!AK$2</f>
        <v>0</v>
      </c>
      <c r="AM44" s="18">
        <f>Marketplace_customer!AL44/Marketplace_customer!AL$2</f>
        <v>0</v>
      </c>
      <c r="AN44" s="18">
        <f>Marketplace_customer!AM44/Marketplace_customer!AM$2</f>
        <v>0</v>
      </c>
      <c r="AO44" s="18">
        <f>Marketplace_customer!AN44/Marketplace_customer!AN$2</f>
        <v>0</v>
      </c>
      <c r="AP44" s="18">
        <f>Marketplace_customer!AO44/Marketplace_customer!AO$2</f>
        <v>0</v>
      </c>
      <c r="AQ44" s="18">
        <f>Marketplace_customer!AP44/Marketplace_customer!AP$2</f>
        <v>0</v>
      </c>
      <c r="AR44" s="18">
        <f>Marketplace_customer!AQ44/Marketplace_customer!AQ$2</f>
        <v>0</v>
      </c>
      <c r="AS44" s="18">
        <f>Marketplace_customer!AR44/Marketplace_customer!AR$2</f>
        <v>0</v>
      </c>
      <c r="AT44" s="18">
        <f>Marketplace_customer!AS44/Marketplace_customer!AS$2</f>
        <v>0</v>
      </c>
      <c r="AU44" s="18">
        <f>Marketplace_customer!AT44/Marketplace_customer!AT$2</f>
        <v>0</v>
      </c>
      <c r="AV44" s="18">
        <f>Marketplace_customer!AU44/Marketplace_customer!AU$2</f>
        <v>0</v>
      </c>
      <c r="AW44" s="18">
        <f>Marketplace_customer!AV44/Marketplace_customer!AV$2</f>
        <v>0</v>
      </c>
      <c r="AX44" s="18">
        <f>Marketplace_customer!AW44/Marketplace_customer!AW$2</f>
        <v>0</v>
      </c>
      <c r="AY44" s="18">
        <f>Marketplace_customer!AX44/Marketplace_customer!AX$2</f>
        <v>0</v>
      </c>
      <c r="AZ44" s="18">
        <f>Marketplace_customer!AY44/Marketplace_customer!AY$2</f>
        <v>0</v>
      </c>
      <c r="BA44" s="18">
        <f>Marketplace_customer!AZ44/Marketplace_customer!AZ$2</f>
        <v>0</v>
      </c>
      <c r="BB44" s="18">
        <f>Marketplace_customer!BA44/Marketplace_customer!BA$2</f>
        <v>0</v>
      </c>
      <c r="BC44" s="18">
        <f>Marketplace_customer!BB44/Marketplace_customer!BB$2</f>
        <v>0</v>
      </c>
      <c r="BD44" s="18">
        <f>Marketplace_customer!BC44/Marketplace_customer!BC$2</f>
        <v>0</v>
      </c>
      <c r="BE44" s="18">
        <f>Marketplace_customer!BD44/Marketplace_customer!BD$2</f>
        <v>0</v>
      </c>
      <c r="BF44" s="18">
        <f>Marketplace_customer!BE44/Marketplace_customer!BE$2</f>
        <v>0</v>
      </c>
      <c r="BG44" s="18">
        <f>Marketplace_customer!BF44/Marketplace_customer!BF$2</f>
        <v>0</v>
      </c>
      <c r="BH44" s="18">
        <f>Marketplace_customer!BG44/Marketplace_customer!BG$2</f>
        <v>0</v>
      </c>
      <c r="BI44" s="18">
        <f>Marketplace_customer!BH44/Marketplace_customer!BH$2</f>
        <v>0</v>
      </c>
      <c r="BJ44" s="18">
        <f>Marketplace_customer!BI44/Marketplace_customer!BI$2</f>
        <v>0</v>
      </c>
      <c r="BK44" s="18">
        <f>Marketplace_customer!BJ44/Marketplace_customer!BJ$2</f>
        <v>0</v>
      </c>
      <c r="BL44" s="18">
        <f>Marketplace_customer!BK44/Marketplace_customer!BK$2</f>
        <v>0</v>
      </c>
      <c r="BM44" s="18">
        <f>Marketplace_customer!BL44/Marketplace_customer!BL$2</f>
        <v>0</v>
      </c>
      <c r="BN44" s="18">
        <f>Marketplace_customer!BM44/Marketplace_customer!BM$2</f>
        <v>0</v>
      </c>
      <c r="BO44" s="18">
        <f>Marketplace_customer!BN44/Marketplace_customer!BN$2</f>
        <v>0</v>
      </c>
      <c r="BP44" s="18">
        <f>Marketplace_customer!BO44/Marketplace_customer!BO$2</f>
        <v>0</v>
      </c>
      <c r="BQ44" s="18">
        <f>Marketplace_customer!BP44/Marketplace_customer!BP$2</f>
        <v>0</v>
      </c>
      <c r="BR44" s="18">
        <f>Marketplace_customer!BQ44/Marketplace_customer!BQ$2</f>
        <v>0</v>
      </c>
      <c r="BS44" s="18">
        <f>Marketplace_customer!BR44/Marketplace_customer!BR$2</f>
        <v>0</v>
      </c>
      <c r="BT44" s="18">
        <f>Marketplace_customer!BS44/Marketplace_customer!BS$2</f>
        <v>0</v>
      </c>
      <c r="BU44" s="18">
        <f>Marketplace_customer!BT44/Marketplace_customer!BT$2</f>
        <v>0</v>
      </c>
      <c r="BV44" s="18">
        <f>Marketplace_customer!BU44/Marketplace_customer!BU$2</f>
        <v>0</v>
      </c>
      <c r="BW44" s="19"/>
      <c r="BX44" s="20">
        <f t="shared" si="80"/>
        <v>582239452495.97424</v>
      </c>
      <c r="BY44" s="20">
        <f t="shared" si="81"/>
        <v>0</v>
      </c>
      <c r="BZ44" s="20">
        <f t="shared" si="82"/>
        <v>0</v>
      </c>
      <c r="CA44" s="20">
        <f t="shared" si="83"/>
        <v>0</v>
      </c>
      <c r="CB44" s="20">
        <f t="shared" si="84"/>
        <v>0</v>
      </c>
      <c r="CC44" s="20">
        <f t="shared" si="85"/>
        <v>0</v>
      </c>
      <c r="CD44" s="20">
        <f t="shared" si="86"/>
        <v>0</v>
      </c>
      <c r="CE44" s="20">
        <f t="shared" si="87"/>
        <v>0</v>
      </c>
      <c r="CF44" s="20">
        <f t="shared" si="88"/>
        <v>0</v>
      </c>
      <c r="CG44" s="20">
        <f t="shared" si="89"/>
        <v>0</v>
      </c>
      <c r="CH44" s="20">
        <f t="shared" si="90"/>
        <v>0</v>
      </c>
      <c r="CI44" s="20">
        <f t="shared" si="91"/>
        <v>0</v>
      </c>
      <c r="CJ44" s="20">
        <f t="shared" si="92"/>
        <v>0</v>
      </c>
      <c r="CK44" s="20">
        <f t="shared" si="93"/>
        <v>0</v>
      </c>
      <c r="CL44" s="20">
        <f t="shared" si="94"/>
        <v>0</v>
      </c>
      <c r="CM44" s="20">
        <f t="shared" si="95"/>
        <v>0</v>
      </c>
      <c r="CN44" s="20">
        <f t="shared" si="96"/>
        <v>0</v>
      </c>
      <c r="CO44" s="20">
        <f t="shared" si="97"/>
        <v>0</v>
      </c>
      <c r="CP44" s="20">
        <f t="shared" si="98"/>
        <v>0</v>
      </c>
      <c r="CQ44" s="20">
        <f t="shared" si="99"/>
        <v>0</v>
      </c>
      <c r="CR44" s="20">
        <f t="shared" si="100"/>
        <v>0</v>
      </c>
      <c r="CS44" s="20">
        <f t="shared" si="101"/>
        <v>0</v>
      </c>
      <c r="CT44" s="20">
        <f t="shared" si="102"/>
        <v>0</v>
      </c>
      <c r="CU44" s="20">
        <f t="shared" si="103"/>
        <v>0</v>
      </c>
      <c r="CV44" s="20">
        <f t="shared" si="104"/>
        <v>0</v>
      </c>
      <c r="CW44" s="20">
        <f t="shared" si="105"/>
        <v>0</v>
      </c>
      <c r="CX44" s="20">
        <f t="shared" si="106"/>
        <v>0</v>
      </c>
      <c r="CY44" s="20">
        <f t="shared" si="107"/>
        <v>0</v>
      </c>
      <c r="CZ44" s="20">
        <f t="shared" si="108"/>
        <v>0</v>
      </c>
      <c r="DA44" s="20">
        <f t="shared" si="109"/>
        <v>0</v>
      </c>
      <c r="DB44" s="20">
        <f t="shared" si="110"/>
        <v>2196089690.7216496</v>
      </c>
      <c r="DC44" s="20">
        <f t="shared" si="111"/>
        <v>0</v>
      </c>
      <c r="DD44" s="20">
        <f t="shared" si="112"/>
        <v>0</v>
      </c>
      <c r="DE44" s="20">
        <f t="shared" si="113"/>
        <v>0</v>
      </c>
      <c r="DF44" s="20">
        <f t="shared" si="114"/>
        <v>0</v>
      </c>
      <c r="DG44" s="20">
        <f t="shared" si="115"/>
        <v>0</v>
      </c>
      <c r="DH44" s="20">
        <f t="shared" si="116"/>
        <v>0</v>
      </c>
      <c r="DI44" s="20">
        <f t="shared" si="117"/>
        <v>0</v>
      </c>
      <c r="DJ44" s="20">
        <f t="shared" si="118"/>
        <v>0</v>
      </c>
      <c r="DK44" s="20">
        <f t="shared" si="119"/>
        <v>0</v>
      </c>
      <c r="DL44" s="20">
        <f t="shared" si="120"/>
        <v>0</v>
      </c>
      <c r="DM44" s="20">
        <f t="shared" si="121"/>
        <v>0</v>
      </c>
      <c r="DN44" s="20">
        <f t="shared" si="122"/>
        <v>0</v>
      </c>
      <c r="DO44" s="20">
        <f t="shared" si="123"/>
        <v>0</v>
      </c>
      <c r="DP44" s="20">
        <f t="shared" si="124"/>
        <v>0</v>
      </c>
      <c r="DQ44" s="20">
        <f t="shared" si="125"/>
        <v>0</v>
      </c>
      <c r="DR44" s="20">
        <f t="shared" si="126"/>
        <v>0</v>
      </c>
      <c r="DS44" s="20">
        <f t="shared" si="127"/>
        <v>0</v>
      </c>
      <c r="DT44" s="20">
        <f t="shared" si="128"/>
        <v>0</v>
      </c>
      <c r="DU44" s="20">
        <f t="shared" si="129"/>
        <v>0</v>
      </c>
      <c r="DV44" s="20">
        <f t="shared" si="130"/>
        <v>0</v>
      </c>
      <c r="DW44" s="20">
        <f t="shared" si="131"/>
        <v>0</v>
      </c>
      <c r="DX44" s="20">
        <f t="shared" si="132"/>
        <v>0</v>
      </c>
      <c r="DY44" s="20">
        <f t="shared" si="133"/>
        <v>0</v>
      </c>
      <c r="DZ44" s="20">
        <f t="shared" si="134"/>
        <v>0</v>
      </c>
      <c r="EA44" s="20">
        <f t="shared" si="135"/>
        <v>0</v>
      </c>
      <c r="EB44" s="20">
        <f t="shared" si="136"/>
        <v>0</v>
      </c>
      <c r="EC44" s="20">
        <f t="shared" si="137"/>
        <v>0</v>
      </c>
      <c r="ED44" s="20">
        <f t="shared" si="138"/>
        <v>0</v>
      </c>
      <c r="EE44" s="20">
        <f t="shared" si="139"/>
        <v>0</v>
      </c>
      <c r="EF44" s="20">
        <f t="shared" si="140"/>
        <v>0</v>
      </c>
      <c r="EG44" s="20">
        <f t="shared" si="141"/>
        <v>0</v>
      </c>
      <c r="EH44" s="20">
        <f t="shared" si="142"/>
        <v>0</v>
      </c>
      <c r="EI44" s="20">
        <f t="shared" si="143"/>
        <v>0</v>
      </c>
      <c r="EJ44" s="20">
        <f t="shared" si="144"/>
        <v>0</v>
      </c>
      <c r="EK44" s="20">
        <f t="shared" si="145"/>
        <v>0</v>
      </c>
      <c r="EL44" s="20">
        <f t="shared" si="146"/>
        <v>0</v>
      </c>
      <c r="EM44" s="20">
        <f t="shared" si="147"/>
        <v>0</v>
      </c>
      <c r="EN44" s="20">
        <f t="shared" si="148"/>
        <v>0</v>
      </c>
      <c r="EO44" s="20">
        <f t="shared" si="149"/>
        <v>0</v>
      </c>
      <c r="EP44" s="20">
        <f t="shared" si="150"/>
        <v>0</v>
      </c>
      <c r="EQ44" s="17" t="s">
        <v>126</v>
      </c>
      <c r="ER44" s="19">
        <v>18745439528126.199</v>
      </c>
      <c r="ES44" s="20">
        <f t="shared" si="79"/>
        <v>30.561971613594327</v>
      </c>
    </row>
    <row r="45" spans="1:149" ht="15">
      <c r="A45" s="21" t="s">
        <v>200</v>
      </c>
      <c r="B45" s="14">
        <f ca="1">IFERROR(__xludf.dummyfunction("QUERY('Countries markets attractivenes'!A:C, ""SELECT C WHERE A = '""&amp;A45&amp;""'"",0)"),25.2522035439636)</f>
        <v>25.252203543963599</v>
      </c>
      <c r="C45" s="14">
        <f t="shared" ref="C45:C57" ca="1" si="151">EXP(1)^B45</f>
        <v>92660076632.509705</v>
      </c>
      <c r="D45" s="18">
        <f>Marketplace_customer!C45/Marketplace_customer!C$2</f>
        <v>0</v>
      </c>
      <c r="E45" s="18">
        <f>Marketplace_customer!D45/Marketplace_customer!D$2</f>
        <v>0</v>
      </c>
      <c r="F45" s="18">
        <f>Marketplace_customer!E45/Marketplace_customer!E$2</f>
        <v>0</v>
      </c>
      <c r="G45" s="18">
        <f>Marketplace_customer!F45/Marketplace_customer!F$2</f>
        <v>0</v>
      </c>
      <c r="H45" s="18">
        <f>Marketplace_customer!G45/Marketplace_customer!G$2</f>
        <v>0</v>
      </c>
      <c r="I45" s="18">
        <f>Marketplace_customer!H45/Marketplace_customer!H$2</f>
        <v>0</v>
      </c>
      <c r="J45" s="18">
        <f>Marketplace_customer!I45/Marketplace_customer!I$2</f>
        <v>0</v>
      </c>
      <c r="K45" s="18">
        <f>Marketplace_customer!J45/Marketplace_customer!J$2</f>
        <v>0</v>
      </c>
      <c r="L45" s="18">
        <f>Marketplace_customer!K45/Marketplace_customer!K$2</f>
        <v>0</v>
      </c>
      <c r="M45" s="18">
        <f>Marketplace_customer!L45/Marketplace_customer!L$2</f>
        <v>0</v>
      </c>
      <c r="N45" s="18">
        <f>Marketplace_customer!M45/Marketplace_customer!M$2</f>
        <v>0</v>
      </c>
      <c r="O45" s="18">
        <f>Marketplace_customer!N45/Marketplace_customer!N$2</f>
        <v>0</v>
      </c>
      <c r="P45" s="18">
        <f>Marketplace_customer!O45/Marketplace_customer!O$2</f>
        <v>8.7234042553191481E-4</v>
      </c>
      <c r="Q45" s="18">
        <f>Marketplace_customer!P45/Marketplace_customer!P$2</f>
        <v>0</v>
      </c>
      <c r="R45" s="18">
        <f>Marketplace_customer!Q45/Marketplace_customer!Q$2</f>
        <v>0</v>
      </c>
      <c r="S45" s="18">
        <f>Marketplace_customer!R45/Marketplace_customer!R$2</f>
        <v>0</v>
      </c>
      <c r="T45" s="18">
        <f>Marketplace_customer!S45/Marketplace_customer!S$2</f>
        <v>0</v>
      </c>
      <c r="U45" s="18">
        <f>Marketplace_customer!T45/Marketplace_customer!T$2</f>
        <v>0</v>
      </c>
      <c r="V45" s="18">
        <f>Marketplace_customer!U45/Marketplace_customer!U$2</f>
        <v>0</v>
      </c>
      <c r="W45" s="18">
        <f>Marketplace_customer!V45/Marketplace_customer!V$2</f>
        <v>0</v>
      </c>
      <c r="X45" s="18">
        <f>Marketplace_customer!W45/Marketplace_customer!W$2</f>
        <v>0</v>
      </c>
      <c r="Y45" s="18">
        <f>Marketplace_customer!X45/Marketplace_customer!X$2</f>
        <v>0</v>
      </c>
      <c r="Z45" s="18">
        <f>Marketplace_customer!Y45/Marketplace_customer!Y$2</f>
        <v>0</v>
      </c>
      <c r="AA45" s="18">
        <f>Marketplace_customer!Z45/Marketplace_customer!Z$2</f>
        <v>0</v>
      </c>
      <c r="AB45" s="18">
        <f>Marketplace_customer!AA45/Marketplace_customer!AA$2</f>
        <v>0</v>
      </c>
      <c r="AC45" s="18">
        <f>Marketplace_customer!AB45/Marketplace_customer!AB$2</f>
        <v>0</v>
      </c>
      <c r="AD45" s="18">
        <f>Marketplace_customer!AC45/Marketplace_customer!AC$2</f>
        <v>2.7421383647798741E-3</v>
      </c>
      <c r="AE45" s="18">
        <f>Marketplace_customer!AD45/Marketplace_customer!AD$2</f>
        <v>0</v>
      </c>
      <c r="AF45" s="18">
        <f>Marketplace_customer!AE45/Marketplace_customer!AE$2</f>
        <v>0</v>
      </c>
      <c r="AG45" s="18">
        <f>Marketplace_customer!AF45/Marketplace_customer!AF$2</f>
        <v>0</v>
      </c>
      <c r="AH45" s="18">
        <f>Marketplace_customer!AG45/Marketplace_customer!AG$2</f>
        <v>0</v>
      </c>
      <c r="AI45" s="18">
        <f>Marketplace_customer!AH45/Marketplace_customer!AH$2</f>
        <v>0</v>
      </c>
      <c r="AJ45" s="18">
        <f>Marketplace_customer!AI45/Marketplace_customer!AI$2</f>
        <v>0</v>
      </c>
      <c r="AK45" s="18">
        <f>Marketplace_customer!AJ45/Marketplace_customer!AJ$2</f>
        <v>0</v>
      </c>
      <c r="AL45" s="18">
        <f>Marketplace_customer!AK45/Marketplace_customer!AK$2</f>
        <v>0</v>
      </c>
      <c r="AM45" s="18">
        <f>Marketplace_customer!AL45/Marketplace_customer!AL$2</f>
        <v>0</v>
      </c>
      <c r="AN45" s="18">
        <f>Marketplace_customer!AM45/Marketplace_customer!AM$2</f>
        <v>0</v>
      </c>
      <c r="AO45" s="18">
        <f>Marketplace_customer!AN45/Marketplace_customer!AN$2</f>
        <v>0</v>
      </c>
      <c r="AP45" s="18">
        <f>Marketplace_customer!AO45/Marketplace_customer!AO$2</f>
        <v>0</v>
      </c>
      <c r="AQ45" s="18">
        <f>Marketplace_customer!AP45/Marketplace_customer!AP$2</f>
        <v>0</v>
      </c>
      <c r="AR45" s="18">
        <f>Marketplace_customer!AQ45/Marketplace_customer!AQ$2</f>
        <v>0</v>
      </c>
      <c r="AS45" s="18">
        <f>Marketplace_customer!AR45/Marketplace_customer!AR$2</f>
        <v>0</v>
      </c>
      <c r="AT45" s="18">
        <f>Marketplace_customer!AS45/Marketplace_customer!AS$2</f>
        <v>0</v>
      </c>
      <c r="AU45" s="18">
        <f>Marketplace_customer!AT45/Marketplace_customer!AT$2</f>
        <v>0</v>
      </c>
      <c r="AV45" s="18">
        <f>Marketplace_customer!AU45/Marketplace_customer!AU$2</f>
        <v>0</v>
      </c>
      <c r="AW45" s="18">
        <f>Marketplace_customer!AV45/Marketplace_customer!AV$2</f>
        <v>0</v>
      </c>
      <c r="AX45" s="18">
        <f>Marketplace_customer!AW45/Marketplace_customer!AW$2</f>
        <v>0</v>
      </c>
      <c r="AY45" s="18">
        <f>Marketplace_customer!AX45/Marketplace_customer!AX$2</f>
        <v>0</v>
      </c>
      <c r="AZ45" s="18">
        <f>Marketplace_customer!AY45/Marketplace_customer!AY$2</f>
        <v>0</v>
      </c>
      <c r="BA45" s="18">
        <f>Marketplace_customer!AZ45/Marketplace_customer!AZ$2</f>
        <v>0</v>
      </c>
      <c r="BB45" s="18">
        <f>Marketplace_customer!BA45/Marketplace_customer!BA$2</f>
        <v>0</v>
      </c>
      <c r="BC45" s="18">
        <f>Marketplace_customer!BB45/Marketplace_customer!BB$2</f>
        <v>0</v>
      </c>
      <c r="BD45" s="18">
        <f>Marketplace_customer!BC45/Marketplace_customer!BC$2</f>
        <v>0</v>
      </c>
      <c r="BE45" s="18">
        <f>Marketplace_customer!BD45/Marketplace_customer!BD$2</f>
        <v>0</v>
      </c>
      <c r="BF45" s="18">
        <f>Marketplace_customer!BE45/Marketplace_customer!BE$2</f>
        <v>0</v>
      </c>
      <c r="BG45" s="18">
        <f>Marketplace_customer!BF45/Marketplace_customer!BF$2</f>
        <v>0</v>
      </c>
      <c r="BH45" s="18">
        <f>Marketplace_customer!BG45/Marketplace_customer!BG$2</f>
        <v>0</v>
      </c>
      <c r="BI45" s="18">
        <f>Marketplace_customer!BH45/Marketplace_customer!BH$2</f>
        <v>0</v>
      </c>
      <c r="BJ45" s="18">
        <f>Marketplace_customer!BI45/Marketplace_customer!BI$2</f>
        <v>0</v>
      </c>
      <c r="BK45" s="18">
        <f>Marketplace_customer!BJ45/Marketplace_customer!BJ$2</f>
        <v>0</v>
      </c>
      <c r="BL45" s="18">
        <f>Marketplace_customer!BK45/Marketplace_customer!BK$2</f>
        <v>0</v>
      </c>
      <c r="BM45" s="18">
        <f>Marketplace_customer!BL45/Marketplace_customer!BL$2</f>
        <v>0</v>
      </c>
      <c r="BN45" s="18">
        <f>Marketplace_customer!BM45/Marketplace_customer!BM$2</f>
        <v>0</v>
      </c>
      <c r="BO45" s="18">
        <f>Marketplace_customer!BN45/Marketplace_customer!BN$2</f>
        <v>0</v>
      </c>
      <c r="BP45" s="18">
        <f>Marketplace_customer!BO45/Marketplace_customer!BO$2</f>
        <v>0</v>
      </c>
      <c r="BQ45" s="18">
        <f>Marketplace_customer!BP45/Marketplace_customer!BP$2</f>
        <v>0</v>
      </c>
      <c r="BR45" s="18">
        <f>Marketplace_customer!BQ45/Marketplace_customer!BQ$2</f>
        <v>0</v>
      </c>
      <c r="BS45" s="18">
        <f>Marketplace_customer!BR45/Marketplace_customer!BR$2</f>
        <v>0</v>
      </c>
      <c r="BT45" s="18">
        <f>Marketplace_customer!BS45/Marketplace_customer!BS$2</f>
        <v>0</v>
      </c>
      <c r="BU45" s="18">
        <f>Marketplace_customer!BT45/Marketplace_customer!BT$2</f>
        <v>0</v>
      </c>
      <c r="BV45" s="18">
        <f>Marketplace_customer!BU45/Marketplace_customer!BU$2</f>
        <v>0</v>
      </c>
      <c r="BW45" s="19"/>
      <c r="BX45" s="20">
        <f t="shared" ca="1" si="80"/>
        <v>0</v>
      </c>
      <c r="BY45" s="20">
        <f t="shared" ca="1" si="81"/>
        <v>0</v>
      </c>
      <c r="BZ45" s="20">
        <f t="shared" ca="1" si="82"/>
        <v>0</v>
      </c>
      <c r="CA45" s="20">
        <f t="shared" ca="1" si="83"/>
        <v>0</v>
      </c>
      <c r="CB45" s="20">
        <f t="shared" ca="1" si="84"/>
        <v>0</v>
      </c>
      <c r="CC45" s="20">
        <f t="shared" ca="1" si="85"/>
        <v>0</v>
      </c>
      <c r="CD45" s="20">
        <f t="shared" ca="1" si="86"/>
        <v>0</v>
      </c>
      <c r="CE45" s="20">
        <f t="shared" ca="1" si="87"/>
        <v>0</v>
      </c>
      <c r="CF45" s="20">
        <f t="shared" ca="1" si="88"/>
        <v>0</v>
      </c>
      <c r="CG45" s="20">
        <f t="shared" ca="1" si="89"/>
        <v>0</v>
      </c>
      <c r="CH45" s="20">
        <f t="shared" ca="1" si="90"/>
        <v>0</v>
      </c>
      <c r="CI45" s="20">
        <f t="shared" ca="1" si="91"/>
        <v>0</v>
      </c>
      <c r="CJ45" s="20">
        <f t="shared" ca="1" si="92"/>
        <v>80831130.679423347</v>
      </c>
      <c r="CK45" s="20">
        <f t="shared" ca="1" si="93"/>
        <v>0</v>
      </c>
      <c r="CL45" s="20">
        <f t="shared" ca="1" si="94"/>
        <v>0</v>
      </c>
      <c r="CM45" s="20">
        <f t="shared" ca="1" si="95"/>
        <v>0</v>
      </c>
      <c r="CN45" s="20">
        <f t="shared" ca="1" si="96"/>
        <v>0</v>
      </c>
      <c r="CO45" s="20">
        <f t="shared" ca="1" si="97"/>
        <v>0</v>
      </c>
      <c r="CP45" s="20">
        <f t="shared" ca="1" si="98"/>
        <v>0</v>
      </c>
      <c r="CQ45" s="20">
        <f t="shared" ca="1" si="99"/>
        <v>0</v>
      </c>
      <c r="CR45" s="20">
        <f t="shared" ca="1" si="100"/>
        <v>0</v>
      </c>
      <c r="CS45" s="20">
        <f t="shared" ca="1" si="101"/>
        <v>0</v>
      </c>
      <c r="CT45" s="20">
        <f t="shared" ca="1" si="102"/>
        <v>0</v>
      </c>
      <c r="CU45" s="20">
        <f t="shared" ca="1" si="103"/>
        <v>0</v>
      </c>
      <c r="CV45" s="20">
        <f t="shared" ca="1" si="104"/>
        <v>0</v>
      </c>
      <c r="CW45" s="20">
        <f t="shared" ca="1" si="105"/>
        <v>0</v>
      </c>
      <c r="CX45" s="20">
        <f t="shared" ca="1" si="106"/>
        <v>254086751.01744798</v>
      </c>
      <c r="CY45" s="20">
        <f t="shared" ca="1" si="107"/>
        <v>0</v>
      </c>
      <c r="CZ45" s="20">
        <f t="shared" ca="1" si="108"/>
        <v>0</v>
      </c>
      <c r="DA45" s="20">
        <f t="shared" ca="1" si="109"/>
        <v>0</v>
      </c>
      <c r="DB45" s="20">
        <f t="shared" ca="1" si="110"/>
        <v>0</v>
      </c>
      <c r="DC45" s="20">
        <f t="shared" ca="1" si="111"/>
        <v>0</v>
      </c>
      <c r="DD45" s="20">
        <f t="shared" ca="1" si="112"/>
        <v>0</v>
      </c>
      <c r="DE45" s="20">
        <f t="shared" ca="1" si="113"/>
        <v>0</v>
      </c>
      <c r="DF45" s="20">
        <f t="shared" ca="1" si="114"/>
        <v>0</v>
      </c>
      <c r="DG45" s="20">
        <f t="shared" ca="1" si="115"/>
        <v>0</v>
      </c>
      <c r="DH45" s="20">
        <f t="shared" ca="1" si="116"/>
        <v>0</v>
      </c>
      <c r="DI45" s="20">
        <f t="shared" ca="1" si="117"/>
        <v>0</v>
      </c>
      <c r="DJ45" s="20">
        <f t="shared" ca="1" si="118"/>
        <v>0</v>
      </c>
      <c r="DK45" s="20">
        <f t="shared" ca="1" si="119"/>
        <v>0</v>
      </c>
      <c r="DL45" s="20">
        <f t="shared" ca="1" si="120"/>
        <v>0</v>
      </c>
      <c r="DM45" s="20">
        <f t="shared" ca="1" si="121"/>
        <v>0</v>
      </c>
      <c r="DN45" s="20">
        <f t="shared" ca="1" si="122"/>
        <v>0</v>
      </c>
      <c r="DO45" s="20">
        <f t="shared" ca="1" si="123"/>
        <v>0</v>
      </c>
      <c r="DP45" s="20">
        <f t="shared" ca="1" si="124"/>
        <v>0</v>
      </c>
      <c r="DQ45" s="20">
        <f t="shared" ca="1" si="125"/>
        <v>0</v>
      </c>
      <c r="DR45" s="20">
        <f t="shared" ca="1" si="126"/>
        <v>0</v>
      </c>
      <c r="DS45" s="20">
        <f t="shared" ca="1" si="127"/>
        <v>0</v>
      </c>
      <c r="DT45" s="20">
        <f t="shared" ca="1" si="128"/>
        <v>0</v>
      </c>
      <c r="DU45" s="20">
        <f t="shared" ca="1" si="129"/>
        <v>0</v>
      </c>
      <c r="DV45" s="20">
        <f t="shared" ca="1" si="130"/>
        <v>0</v>
      </c>
      <c r="DW45" s="20">
        <f t="shared" ca="1" si="131"/>
        <v>0</v>
      </c>
      <c r="DX45" s="20">
        <f t="shared" ca="1" si="132"/>
        <v>0</v>
      </c>
      <c r="DY45" s="20">
        <f t="shared" ca="1" si="133"/>
        <v>0</v>
      </c>
      <c r="DZ45" s="20">
        <f t="shared" ca="1" si="134"/>
        <v>0</v>
      </c>
      <c r="EA45" s="20">
        <f t="shared" ca="1" si="135"/>
        <v>0</v>
      </c>
      <c r="EB45" s="20">
        <f t="shared" ca="1" si="136"/>
        <v>0</v>
      </c>
      <c r="EC45" s="20">
        <f t="shared" ca="1" si="137"/>
        <v>0</v>
      </c>
      <c r="ED45" s="20">
        <f t="shared" ca="1" si="138"/>
        <v>0</v>
      </c>
      <c r="EE45" s="20">
        <f t="shared" ca="1" si="139"/>
        <v>0</v>
      </c>
      <c r="EF45" s="20">
        <f t="shared" ca="1" si="140"/>
        <v>0</v>
      </c>
      <c r="EG45" s="20">
        <f t="shared" ca="1" si="141"/>
        <v>0</v>
      </c>
      <c r="EH45" s="20">
        <f t="shared" ca="1" si="142"/>
        <v>0</v>
      </c>
      <c r="EI45" s="20">
        <f t="shared" ca="1" si="143"/>
        <v>0</v>
      </c>
      <c r="EJ45" s="20">
        <f t="shared" ca="1" si="144"/>
        <v>0</v>
      </c>
      <c r="EK45" s="20">
        <f t="shared" ca="1" si="145"/>
        <v>0</v>
      </c>
      <c r="EL45" s="20">
        <f t="shared" ca="1" si="146"/>
        <v>0</v>
      </c>
      <c r="EM45" s="20">
        <f t="shared" ca="1" si="147"/>
        <v>0</v>
      </c>
      <c r="EN45" s="20">
        <f t="shared" ca="1" si="148"/>
        <v>0</v>
      </c>
      <c r="EO45" s="20">
        <f t="shared" ca="1" si="149"/>
        <v>0</v>
      </c>
      <c r="EP45" s="20">
        <f t="shared" ca="1" si="150"/>
        <v>0</v>
      </c>
      <c r="EQ45" s="17" t="s">
        <v>127</v>
      </c>
      <c r="ER45" s="19">
        <v>1025760526540.6801</v>
      </c>
      <c r="ES45" s="20">
        <f t="shared" si="79"/>
        <v>27.656455430502845</v>
      </c>
    </row>
    <row r="46" spans="1:149" ht="15">
      <c r="A46" s="21" t="s">
        <v>201</v>
      </c>
      <c r="B46" s="14">
        <f ca="1">IFERROR(__xludf.dummyfunction("QUERY('Countries markets attractivenes'!A:C, ""SELECT C WHERE A = '""&amp;A46&amp;""'"",0)"),25.8072558237887)</f>
        <v>25.807255823788701</v>
      </c>
      <c r="C46" s="14">
        <f t="shared" ca="1" si="151"/>
        <v>161416823761.20319</v>
      </c>
      <c r="D46" s="18">
        <f>Marketplace_customer!C46/Marketplace_customer!C$2</f>
        <v>0</v>
      </c>
      <c r="E46" s="18">
        <f>Marketplace_customer!D46/Marketplace_customer!D$2</f>
        <v>0</v>
      </c>
      <c r="F46" s="18">
        <f>Marketplace_customer!E46/Marketplace_customer!E$2</f>
        <v>0</v>
      </c>
      <c r="G46" s="18">
        <f>Marketplace_customer!F46/Marketplace_customer!F$2</f>
        <v>0</v>
      </c>
      <c r="H46" s="18">
        <f>Marketplace_customer!G46/Marketplace_customer!G$2</f>
        <v>0</v>
      </c>
      <c r="I46" s="18">
        <f>Marketplace_customer!H46/Marketplace_customer!H$2</f>
        <v>0</v>
      </c>
      <c r="J46" s="18">
        <f>Marketplace_customer!I46/Marketplace_customer!I$2</f>
        <v>0</v>
      </c>
      <c r="K46" s="18">
        <f>Marketplace_customer!J46/Marketplace_customer!J$2</f>
        <v>0</v>
      </c>
      <c r="L46" s="18">
        <f>Marketplace_customer!K46/Marketplace_customer!K$2</f>
        <v>0</v>
      </c>
      <c r="M46" s="18">
        <f>Marketplace_customer!L46/Marketplace_customer!L$2</f>
        <v>0</v>
      </c>
      <c r="N46" s="18">
        <f>Marketplace_customer!M46/Marketplace_customer!M$2</f>
        <v>0</v>
      </c>
      <c r="O46" s="18">
        <f>Marketplace_customer!N46/Marketplace_customer!N$2</f>
        <v>0</v>
      </c>
      <c r="P46" s="18">
        <f>Marketplace_customer!O46/Marketplace_customer!O$2</f>
        <v>2.9680851063829789E-4</v>
      </c>
      <c r="Q46" s="18">
        <f>Marketplace_customer!P46/Marketplace_customer!P$2</f>
        <v>0</v>
      </c>
      <c r="R46" s="18">
        <f>Marketplace_customer!Q46/Marketplace_customer!Q$2</f>
        <v>0</v>
      </c>
      <c r="S46" s="18">
        <f>Marketplace_customer!R46/Marketplace_customer!R$2</f>
        <v>0</v>
      </c>
      <c r="T46" s="18">
        <f>Marketplace_customer!S46/Marketplace_customer!S$2</f>
        <v>0</v>
      </c>
      <c r="U46" s="18">
        <f>Marketplace_customer!T46/Marketplace_customer!T$2</f>
        <v>0</v>
      </c>
      <c r="V46" s="18">
        <f>Marketplace_customer!U46/Marketplace_customer!U$2</f>
        <v>0</v>
      </c>
      <c r="W46" s="18">
        <f>Marketplace_customer!V46/Marketplace_customer!V$2</f>
        <v>0</v>
      </c>
      <c r="X46" s="18">
        <f>Marketplace_customer!W46/Marketplace_customer!W$2</f>
        <v>0</v>
      </c>
      <c r="Y46" s="18">
        <f>Marketplace_customer!X46/Marketplace_customer!X$2</f>
        <v>0</v>
      </c>
      <c r="Z46" s="18">
        <f>Marketplace_customer!Y46/Marketplace_customer!Y$2</f>
        <v>0</v>
      </c>
      <c r="AA46" s="18">
        <f>Marketplace_customer!Z46/Marketplace_customer!Z$2</f>
        <v>0</v>
      </c>
      <c r="AB46" s="18">
        <f>Marketplace_customer!AA46/Marketplace_customer!AA$2</f>
        <v>0</v>
      </c>
      <c r="AC46" s="18">
        <f>Marketplace_customer!AB46/Marketplace_customer!AB$2</f>
        <v>0</v>
      </c>
      <c r="AD46" s="18">
        <f>Marketplace_customer!AC46/Marketplace_customer!AC$2</f>
        <v>0</v>
      </c>
      <c r="AE46" s="18">
        <f>Marketplace_customer!AD46/Marketplace_customer!AD$2</f>
        <v>0</v>
      </c>
      <c r="AF46" s="18">
        <f>Marketplace_customer!AE46/Marketplace_customer!AE$2</f>
        <v>0</v>
      </c>
      <c r="AG46" s="18">
        <f>Marketplace_customer!AF46/Marketplace_customer!AF$2</f>
        <v>0</v>
      </c>
      <c r="AH46" s="18">
        <f>Marketplace_customer!AG46/Marketplace_customer!AG$2</f>
        <v>0</v>
      </c>
      <c r="AI46" s="18">
        <f>Marketplace_customer!AH46/Marketplace_customer!AH$2</f>
        <v>0</v>
      </c>
      <c r="AJ46" s="18">
        <f>Marketplace_customer!AI46/Marketplace_customer!AI$2</f>
        <v>0</v>
      </c>
      <c r="AK46" s="18">
        <f>Marketplace_customer!AJ46/Marketplace_customer!AJ$2</f>
        <v>0</v>
      </c>
      <c r="AL46" s="18">
        <f>Marketplace_customer!AK46/Marketplace_customer!AK$2</f>
        <v>0</v>
      </c>
      <c r="AM46" s="18">
        <f>Marketplace_customer!AL46/Marketplace_customer!AL$2</f>
        <v>0</v>
      </c>
      <c r="AN46" s="18">
        <f>Marketplace_customer!AM46/Marketplace_customer!AM$2</f>
        <v>0</v>
      </c>
      <c r="AO46" s="18">
        <f>Marketplace_customer!AN46/Marketplace_customer!AN$2</f>
        <v>0</v>
      </c>
      <c r="AP46" s="18">
        <f>Marketplace_customer!AO46/Marketplace_customer!AO$2</f>
        <v>0</v>
      </c>
      <c r="AQ46" s="18">
        <f>Marketplace_customer!AP46/Marketplace_customer!AP$2</f>
        <v>0</v>
      </c>
      <c r="AR46" s="18">
        <f>Marketplace_customer!AQ46/Marketplace_customer!AQ$2</f>
        <v>0</v>
      </c>
      <c r="AS46" s="18">
        <f>Marketplace_customer!AR46/Marketplace_customer!AR$2</f>
        <v>0</v>
      </c>
      <c r="AT46" s="18">
        <f>Marketplace_customer!AS46/Marketplace_customer!AS$2</f>
        <v>0</v>
      </c>
      <c r="AU46" s="18">
        <f>Marketplace_customer!AT46/Marketplace_customer!AT$2</f>
        <v>0</v>
      </c>
      <c r="AV46" s="18">
        <f>Marketplace_customer!AU46/Marketplace_customer!AU$2</f>
        <v>0</v>
      </c>
      <c r="AW46" s="18">
        <f>Marketplace_customer!AV46/Marketplace_customer!AV$2</f>
        <v>0</v>
      </c>
      <c r="AX46" s="18">
        <f>Marketplace_customer!AW46/Marketplace_customer!AW$2</f>
        <v>0</v>
      </c>
      <c r="AY46" s="18">
        <f>Marketplace_customer!AX46/Marketplace_customer!AX$2</f>
        <v>0</v>
      </c>
      <c r="AZ46" s="18">
        <f>Marketplace_customer!AY46/Marketplace_customer!AY$2</f>
        <v>0</v>
      </c>
      <c r="BA46" s="18">
        <f>Marketplace_customer!AZ46/Marketplace_customer!AZ$2</f>
        <v>0</v>
      </c>
      <c r="BB46" s="18">
        <f>Marketplace_customer!BA46/Marketplace_customer!BA$2</f>
        <v>0</v>
      </c>
      <c r="BC46" s="18">
        <f>Marketplace_customer!BB46/Marketplace_customer!BB$2</f>
        <v>0</v>
      </c>
      <c r="BD46" s="18">
        <f>Marketplace_customer!BC46/Marketplace_customer!BC$2</f>
        <v>0</v>
      </c>
      <c r="BE46" s="18">
        <f>Marketplace_customer!BD46/Marketplace_customer!BD$2</f>
        <v>0</v>
      </c>
      <c r="BF46" s="18">
        <f>Marketplace_customer!BE46/Marketplace_customer!BE$2</f>
        <v>0</v>
      </c>
      <c r="BG46" s="18">
        <f>Marketplace_customer!BF46/Marketplace_customer!BF$2</f>
        <v>0</v>
      </c>
      <c r="BH46" s="18">
        <f>Marketplace_customer!BG46/Marketplace_customer!BG$2</f>
        <v>0</v>
      </c>
      <c r="BI46" s="18">
        <f>Marketplace_customer!BH46/Marketplace_customer!BH$2</f>
        <v>0</v>
      </c>
      <c r="BJ46" s="18">
        <f>Marketplace_customer!BI46/Marketplace_customer!BI$2</f>
        <v>0</v>
      </c>
      <c r="BK46" s="18">
        <f>Marketplace_customer!BJ46/Marketplace_customer!BJ$2</f>
        <v>0</v>
      </c>
      <c r="BL46" s="18">
        <f>Marketplace_customer!BK46/Marketplace_customer!BK$2</f>
        <v>0</v>
      </c>
      <c r="BM46" s="18">
        <f>Marketplace_customer!BL46/Marketplace_customer!BL$2</f>
        <v>0</v>
      </c>
      <c r="BN46" s="18">
        <f>Marketplace_customer!BM46/Marketplace_customer!BM$2</f>
        <v>0</v>
      </c>
      <c r="BO46" s="18">
        <f>Marketplace_customer!BN46/Marketplace_customer!BN$2</f>
        <v>0</v>
      </c>
      <c r="BP46" s="18">
        <f>Marketplace_customer!BO46/Marketplace_customer!BO$2</f>
        <v>0</v>
      </c>
      <c r="BQ46" s="18">
        <f>Marketplace_customer!BP46/Marketplace_customer!BP$2</f>
        <v>0</v>
      </c>
      <c r="BR46" s="18">
        <f>Marketplace_customer!BQ46/Marketplace_customer!BQ$2</f>
        <v>0</v>
      </c>
      <c r="BS46" s="18">
        <f>Marketplace_customer!BR46/Marketplace_customer!BR$2</f>
        <v>0</v>
      </c>
      <c r="BT46" s="18">
        <f>Marketplace_customer!BS46/Marketplace_customer!BS$2</f>
        <v>0</v>
      </c>
      <c r="BU46" s="18">
        <f>Marketplace_customer!BT46/Marketplace_customer!BT$2</f>
        <v>0</v>
      </c>
      <c r="BV46" s="18">
        <f>Marketplace_customer!BU46/Marketplace_customer!BU$2</f>
        <v>0</v>
      </c>
      <c r="BW46" s="19"/>
      <c r="BX46" s="20">
        <f t="shared" ca="1" si="80"/>
        <v>0</v>
      </c>
      <c r="BY46" s="20">
        <f t="shared" ca="1" si="81"/>
        <v>0</v>
      </c>
      <c r="BZ46" s="20">
        <f t="shared" ca="1" si="82"/>
        <v>0</v>
      </c>
      <c r="CA46" s="20">
        <f t="shared" ca="1" si="83"/>
        <v>0</v>
      </c>
      <c r="CB46" s="20">
        <f t="shared" ca="1" si="84"/>
        <v>0</v>
      </c>
      <c r="CC46" s="20">
        <f t="shared" ca="1" si="85"/>
        <v>0</v>
      </c>
      <c r="CD46" s="20">
        <f t="shared" ca="1" si="86"/>
        <v>0</v>
      </c>
      <c r="CE46" s="20">
        <f t="shared" ca="1" si="87"/>
        <v>0</v>
      </c>
      <c r="CF46" s="20">
        <f t="shared" ca="1" si="88"/>
        <v>0</v>
      </c>
      <c r="CG46" s="20">
        <f t="shared" ca="1" si="89"/>
        <v>0</v>
      </c>
      <c r="CH46" s="20">
        <f t="shared" ca="1" si="90"/>
        <v>0</v>
      </c>
      <c r="CI46" s="20">
        <f t="shared" ca="1" si="91"/>
        <v>0</v>
      </c>
      <c r="CJ46" s="20">
        <f t="shared" ca="1" si="92"/>
        <v>47909887.052527331</v>
      </c>
      <c r="CK46" s="20">
        <f t="shared" ca="1" si="93"/>
        <v>0</v>
      </c>
      <c r="CL46" s="20">
        <f t="shared" ca="1" si="94"/>
        <v>0</v>
      </c>
      <c r="CM46" s="20">
        <f t="shared" ca="1" si="95"/>
        <v>0</v>
      </c>
      <c r="CN46" s="20">
        <f t="shared" ca="1" si="96"/>
        <v>0</v>
      </c>
      <c r="CO46" s="20">
        <f t="shared" ca="1" si="97"/>
        <v>0</v>
      </c>
      <c r="CP46" s="20">
        <f t="shared" ca="1" si="98"/>
        <v>0</v>
      </c>
      <c r="CQ46" s="20">
        <f t="shared" ca="1" si="99"/>
        <v>0</v>
      </c>
      <c r="CR46" s="20">
        <f t="shared" ca="1" si="100"/>
        <v>0</v>
      </c>
      <c r="CS46" s="20">
        <f t="shared" ca="1" si="101"/>
        <v>0</v>
      </c>
      <c r="CT46" s="20">
        <f t="shared" ca="1" si="102"/>
        <v>0</v>
      </c>
      <c r="CU46" s="20">
        <f t="shared" ca="1" si="103"/>
        <v>0</v>
      </c>
      <c r="CV46" s="20">
        <f t="shared" ca="1" si="104"/>
        <v>0</v>
      </c>
      <c r="CW46" s="20">
        <f t="shared" ca="1" si="105"/>
        <v>0</v>
      </c>
      <c r="CX46" s="20">
        <f t="shared" ca="1" si="106"/>
        <v>0</v>
      </c>
      <c r="CY46" s="20">
        <f t="shared" ca="1" si="107"/>
        <v>0</v>
      </c>
      <c r="CZ46" s="20">
        <f t="shared" ca="1" si="108"/>
        <v>0</v>
      </c>
      <c r="DA46" s="20">
        <f t="shared" ca="1" si="109"/>
        <v>0</v>
      </c>
      <c r="DB46" s="20">
        <f t="shared" ca="1" si="110"/>
        <v>0</v>
      </c>
      <c r="DC46" s="20">
        <f t="shared" ca="1" si="111"/>
        <v>0</v>
      </c>
      <c r="DD46" s="20">
        <f t="shared" ca="1" si="112"/>
        <v>0</v>
      </c>
      <c r="DE46" s="20">
        <f t="shared" ca="1" si="113"/>
        <v>0</v>
      </c>
      <c r="DF46" s="20">
        <f t="shared" ca="1" si="114"/>
        <v>0</v>
      </c>
      <c r="DG46" s="20">
        <f t="shared" ca="1" si="115"/>
        <v>0</v>
      </c>
      <c r="DH46" s="20">
        <f t="shared" ca="1" si="116"/>
        <v>0</v>
      </c>
      <c r="DI46" s="20">
        <f t="shared" ca="1" si="117"/>
        <v>0</v>
      </c>
      <c r="DJ46" s="20">
        <f t="shared" ca="1" si="118"/>
        <v>0</v>
      </c>
      <c r="DK46" s="20">
        <f t="shared" ca="1" si="119"/>
        <v>0</v>
      </c>
      <c r="DL46" s="20">
        <f t="shared" ca="1" si="120"/>
        <v>0</v>
      </c>
      <c r="DM46" s="20">
        <f t="shared" ca="1" si="121"/>
        <v>0</v>
      </c>
      <c r="DN46" s="20">
        <f t="shared" ca="1" si="122"/>
        <v>0</v>
      </c>
      <c r="DO46" s="20">
        <f t="shared" ca="1" si="123"/>
        <v>0</v>
      </c>
      <c r="DP46" s="20">
        <f t="shared" ca="1" si="124"/>
        <v>0</v>
      </c>
      <c r="DQ46" s="20">
        <f t="shared" ca="1" si="125"/>
        <v>0</v>
      </c>
      <c r="DR46" s="20">
        <f t="shared" ca="1" si="126"/>
        <v>0</v>
      </c>
      <c r="DS46" s="20">
        <f t="shared" ca="1" si="127"/>
        <v>0</v>
      </c>
      <c r="DT46" s="20">
        <f t="shared" ca="1" si="128"/>
        <v>0</v>
      </c>
      <c r="DU46" s="20">
        <f t="shared" ca="1" si="129"/>
        <v>0</v>
      </c>
      <c r="DV46" s="20">
        <f t="shared" ca="1" si="130"/>
        <v>0</v>
      </c>
      <c r="DW46" s="20">
        <f t="shared" ca="1" si="131"/>
        <v>0</v>
      </c>
      <c r="DX46" s="20">
        <f t="shared" ca="1" si="132"/>
        <v>0</v>
      </c>
      <c r="DY46" s="20">
        <f t="shared" ca="1" si="133"/>
        <v>0</v>
      </c>
      <c r="DZ46" s="20">
        <f t="shared" ca="1" si="134"/>
        <v>0</v>
      </c>
      <c r="EA46" s="20">
        <f t="shared" ca="1" si="135"/>
        <v>0</v>
      </c>
      <c r="EB46" s="20">
        <f t="shared" ca="1" si="136"/>
        <v>0</v>
      </c>
      <c r="EC46" s="20">
        <f t="shared" ca="1" si="137"/>
        <v>0</v>
      </c>
      <c r="ED46" s="20">
        <f t="shared" ca="1" si="138"/>
        <v>0</v>
      </c>
      <c r="EE46" s="20">
        <f t="shared" ca="1" si="139"/>
        <v>0</v>
      </c>
      <c r="EF46" s="20">
        <f t="shared" ca="1" si="140"/>
        <v>0</v>
      </c>
      <c r="EG46" s="20">
        <f t="shared" ca="1" si="141"/>
        <v>0</v>
      </c>
      <c r="EH46" s="20">
        <f t="shared" ca="1" si="142"/>
        <v>0</v>
      </c>
      <c r="EI46" s="20">
        <f t="shared" ca="1" si="143"/>
        <v>0</v>
      </c>
      <c r="EJ46" s="20">
        <f t="shared" ca="1" si="144"/>
        <v>0</v>
      </c>
      <c r="EK46" s="20">
        <f t="shared" ca="1" si="145"/>
        <v>0</v>
      </c>
      <c r="EL46" s="20">
        <f t="shared" ca="1" si="146"/>
        <v>0</v>
      </c>
      <c r="EM46" s="20">
        <f t="shared" ca="1" si="147"/>
        <v>0</v>
      </c>
      <c r="EN46" s="20">
        <f t="shared" ca="1" si="148"/>
        <v>0</v>
      </c>
      <c r="EO46" s="20">
        <f t="shared" ca="1" si="149"/>
        <v>0</v>
      </c>
      <c r="EP46" s="20">
        <f t="shared" ca="1" si="150"/>
        <v>0</v>
      </c>
      <c r="EQ46" s="17" t="s">
        <v>128</v>
      </c>
      <c r="ER46" s="19">
        <v>487980392658.94501</v>
      </c>
      <c r="ES46" s="20">
        <f t="shared" si="79"/>
        <v>26.91354106301479</v>
      </c>
    </row>
    <row r="47" spans="1:149" ht="15">
      <c r="A47" s="21" t="s">
        <v>202</v>
      </c>
      <c r="B47" s="14">
        <f ca="1">IFERROR(__xludf.dummyfunction("QUERY('Countries markets attractivenes'!A:C, ""SELECT C WHERE A = '""&amp;A47&amp;""'"",0)"),27.9789449825711)</f>
        <v>27.9789449825711</v>
      </c>
      <c r="C47" s="14">
        <f t="shared" ca="1" si="151"/>
        <v>1416124431328.2656</v>
      </c>
      <c r="D47" s="18">
        <f>Marketplace_customer!C47/Marketplace_customer!C$2</f>
        <v>0</v>
      </c>
      <c r="E47" s="18">
        <f>Marketplace_customer!D47/Marketplace_customer!D$2</f>
        <v>0</v>
      </c>
      <c r="F47" s="18">
        <f>Marketplace_customer!E47/Marketplace_customer!E$2</f>
        <v>0</v>
      </c>
      <c r="G47" s="18">
        <f>Marketplace_customer!F47/Marketplace_customer!F$2</f>
        <v>0</v>
      </c>
      <c r="H47" s="18">
        <f>Marketplace_customer!G47/Marketplace_customer!G$2</f>
        <v>0</v>
      </c>
      <c r="I47" s="18">
        <f>Marketplace_customer!H47/Marketplace_customer!H$2</f>
        <v>0</v>
      </c>
      <c r="J47" s="18">
        <f>Marketplace_customer!I47/Marketplace_customer!I$2</f>
        <v>0</v>
      </c>
      <c r="K47" s="18">
        <f>Marketplace_customer!J47/Marketplace_customer!J$2</f>
        <v>0</v>
      </c>
      <c r="L47" s="18">
        <f>Marketplace_customer!K47/Marketplace_customer!K$2</f>
        <v>0</v>
      </c>
      <c r="M47" s="18">
        <f>Marketplace_customer!L47/Marketplace_customer!L$2</f>
        <v>0</v>
      </c>
      <c r="N47" s="18">
        <f>Marketplace_customer!M47/Marketplace_customer!M$2</f>
        <v>0</v>
      </c>
      <c r="O47" s="18">
        <f>Marketplace_customer!N47/Marketplace_customer!N$2</f>
        <v>0</v>
      </c>
      <c r="P47" s="18">
        <f>Marketplace_customer!O47/Marketplace_customer!O$2</f>
        <v>1.5957446808510637E-3</v>
      </c>
      <c r="Q47" s="18">
        <f>Marketplace_customer!P47/Marketplace_customer!P$2</f>
        <v>0</v>
      </c>
      <c r="R47" s="18">
        <f>Marketplace_customer!Q47/Marketplace_customer!Q$2</f>
        <v>0</v>
      </c>
      <c r="S47" s="18">
        <f>Marketplace_customer!R47/Marketplace_customer!R$2</f>
        <v>0</v>
      </c>
      <c r="T47" s="18">
        <f>Marketplace_customer!S47/Marketplace_customer!S$2</f>
        <v>0</v>
      </c>
      <c r="U47" s="18">
        <f>Marketplace_customer!T47/Marketplace_customer!T$2</f>
        <v>0</v>
      </c>
      <c r="V47" s="18">
        <f>Marketplace_customer!U47/Marketplace_customer!U$2</f>
        <v>0</v>
      </c>
      <c r="W47" s="18">
        <f>Marketplace_customer!V47/Marketplace_customer!V$2</f>
        <v>0</v>
      </c>
      <c r="X47" s="18">
        <f>Marketplace_customer!W47/Marketplace_customer!W$2</f>
        <v>0</v>
      </c>
      <c r="Y47" s="18">
        <f>Marketplace_customer!X47/Marketplace_customer!X$2</f>
        <v>0</v>
      </c>
      <c r="Z47" s="18">
        <f>Marketplace_customer!Y47/Marketplace_customer!Y$2</f>
        <v>0</v>
      </c>
      <c r="AA47" s="18">
        <f>Marketplace_customer!Z47/Marketplace_customer!Z$2</f>
        <v>0</v>
      </c>
      <c r="AB47" s="18">
        <f>Marketplace_customer!AA47/Marketplace_customer!AA$2</f>
        <v>0</v>
      </c>
      <c r="AC47" s="18">
        <f>Marketplace_customer!AB47/Marketplace_customer!AB$2</f>
        <v>0</v>
      </c>
      <c r="AD47" s="18">
        <f>Marketplace_customer!AC47/Marketplace_customer!AC$2</f>
        <v>0</v>
      </c>
      <c r="AE47" s="18">
        <f>Marketplace_customer!AD47/Marketplace_customer!AD$2</f>
        <v>0</v>
      </c>
      <c r="AF47" s="18">
        <f>Marketplace_customer!AE47/Marketplace_customer!AE$2</f>
        <v>0</v>
      </c>
      <c r="AG47" s="18">
        <f>Marketplace_customer!AF47/Marketplace_customer!AF$2</f>
        <v>0</v>
      </c>
      <c r="AH47" s="18">
        <f>Marketplace_customer!AG47/Marketplace_customer!AG$2</f>
        <v>0</v>
      </c>
      <c r="AI47" s="18">
        <f>Marketplace_customer!AH47/Marketplace_customer!AH$2</f>
        <v>0</v>
      </c>
      <c r="AJ47" s="18">
        <f>Marketplace_customer!AI47/Marketplace_customer!AI$2</f>
        <v>0</v>
      </c>
      <c r="AK47" s="18">
        <f>Marketplace_customer!AJ47/Marketplace_customer!AJ$2</f>
        <v>0</v>
      </c>
      <c r="AL47" s="18">
        <f>Marketplace_customer!AK47/Marketplace_customer!AK$2</f>
        <v>0</v>
      </c>
      <c r="AM47" s="18">
        <f>Marketplace_customer!AL47/Marketplace_customer!AL$2</f>
        <v>0</v>
      </c>
      <c r="AN47" s="18">
        <f>Marketplace_customer!AM47/Marketplace_customer!AM$2</f>
        <v>0</v>
      </c>
      <c r="AO47" s="18">
        <f>Marketplace_customer!AN47/Marketplace_customer!AN$2</f>
        <v>0</v>
      </c>
      <c r="AP47" s="18">
        <f>Marketplace_customer!AO47/Marketplace_customer!AO$2</f>
        <v>0</v>
      </c>
      <c r="AQ47" s="18">
        <f>Marketplace_customer!AP47/Marketplace_customer!AP$2</f>
        <v>0</v>
      </c>
      <c r="AR47" s="18">
        <f>Marketplace_customer!AQ47/Marketplace_customer!AQ$2</f>
        <v>0</v>
      </c>
      <c r="AS47" s="18">
        <f>Marketplace_customer!AR47/Marketplace_customer!AR$2</f>
        <v>0</v>
      </c>
      <c r="AT47" s="18">
        <f>Marketplace_customer!AS47/Marketplace_customer!AS$2</f>
        <v>0</v>
      </c>
      <c r="AU47" s="18">
        <f>Marketplace_customer!AT47/Marketplace_customer!AT$2</f>
        <v>0</v>
      </c>
      <c r="AV47" s="18">
        <f>Marketplace_customer!AU47/Marketplace_customer!AU$2</f>
        <v>0</v>
      </c>
      <c r="AW47" s="18">
        <f>Marketplace_customer!AV47/Marketplace_customer!AV$2</f>
        <v>0</v>
      </c>
      <c r="AX47" s="18">
        <f>Marketplace_customer!AW47/Marketplace_customer!AW$2</f>
        <v>0</v>
      </c>
      <c r="AY47" s="18">
        <f>Marketplace_customer!AX47/Marketplace_customer!AX$2</f>
        <v>0</v>
      </c>
      <c r="AZ47" s="18">
        <f>Marketplace_customer!AY47/Marketplace_customer!AY$2</f>
        <v>0</v>
      </c>
      <c r="BA47" s="18">
        <f>Marketplace_customer!AZ47/Marketplace_customer!AZ$2</f>
        <v>0</v>
      </c>
      <c r="BB47" s="18">
        <f>Marketplace_customer!BA47/Marketplace_customer!BA$2</f>
        <v>0</v>
      </c>
      <c r="BC47" s="18">
        <f>Marketplace_customer!BB47/Marketplace_customer!BB$2</f>
        <v>0</v>
      </c>
      <c r="BD47" s="18">
        <f>Marketplace_customer!BC47/Marketplace_customer!BC$2</f>
        <v>0</v>
      </c>
      <c r="BE47" s="18">
        <f>Marketplace_customer!BD47/Marketplace_customer!BD$2</f>
        <v>0</v>
      </c>
      <c r="BF47" s="18">
        <f>Marketplace_customer!BE47/Marketplace_customer!BE$2</f>
        <v>0</v>
      </c>
      <c r="BG47" s="18">
        <f>Marketplace_customer!BF47/Marketplace_customer!BF$2</f>
        <v>0</v>
      </c>
      <c r="BH47" s="18">
        <f>Marketplace_customer!BG47/Marketplace_customer!BG$2</f>
        <v>0</v>
      </c>
      <c r="BI47" s="18">
        <f>Marketplace_customer!BH47/Marketplace_customer!BH$2</f>
        <v>0</v>
      </c>
      <c r="BJ47" s="18">
        <f>Marketplace_customer!BI47/Marketplace_customer!BI$2</f>
        <v>0</v>
      </c>
      <c r="BK47" s="18">
        <f>Marketplace_customer!BJ47/Marketplace_customer!BJ$2</f>
        <v>0</v>
      </c>
      <c r="BL47" s="18">
        <f>Marketplace_customer!BK47/Marketplace_customer!BK$2</f>
        <v>0</v>
      </c>
      <c r="BM47" s="18">
        <f>Marketplace_customer!BL47/Marketplace_customer!BL$2</f>
        <v>0</v>
      </c>
      <c r="BN47" s="18">
        <f>Marketplace_customer!BM47/Marketplace_customer!BM$2</f>
        <v>0</v>
      </c>
      <c r="BO47" s="18">
        <f>Marketplace_customer!BN47/Marketplace_customer!BN$2</f>
        <v>0</v>
      </c>
      <c r="BP47" s="18">
        <f>Marketplace_customer!BO47/Marketplace_customer!BO$2</f>
        <v>0</v>
      </c>
      <c r="BQ47" s="18">
        <f>Marketplace_customer!BP47/Marketplace_customer!BP$2</f>
        <v>0</v>
      </c>
      <c r="BR47" s="18">
        <f>Marketplace_customer!BQ47/Marketplace_customer!BQ$2</f>
        <v>0</v>
      </c>
      <c r="BS47" s="18">
        <f>Marketplace_customer!BR47/Marketplace_customer!BR$2</f>
        <v>0</v>
      </c>
      <c r="BT47" s="18">
        <f>Marketplace_customer!BS47/Marketplace_customer!BS$2</f>
        <v>0</v>
      </c>
      <c r="BU47" s="18">
        <f>Marketplace_customer!BT47/Marketplace_customer!BT$2</f>
        <v>0</v>
      </c>
      <c r="BV47" s="18">
        <f>Marketplace_customer!BU47/Marketplace_customer!BU$2</f>
        <v>0</v>
      </c>
      <c r="BW47" s="19"/>
      <c r="BX47" s="20">
        <f t="shared" ca="1" si="80"/>
        <v>0</v>
      </c>
      <c r="BY47" s="20">
        <f t="shared" ca="1" si="81"/>
        <v>0</v>
      </c>
      <c r="BZ47" s="20">
        <f t="shared" ca="1" si="82"/>
        <v>0</v>
      </c>
      <c r="CA47" s="20">
        <f t="shared" ca="1" si="83"/>
        <v>0</v>
      </c>
      <c r="CB47" s="20">
        <f t="shared" ca="1" si="84"/>
        <v>0</v>
      </c>
      <c r="CC47" s="20">
        <f t="shared" ca="1" si="85"/>
        <v>0</v>
      </c>
      <c r="CD47" s="20">
        <f t="shared" ca="1" si="86"/>
        <v>0</v>
      </c>
      <c r="CE47" s="20">
        <f t="shared" ca="1" si="87"/>
        <v>0</v>
      </c>
      <c r="CF47" s="20">
        <f t="shared" ca="1" si="88"/>
        <v>0</v>
      </c>
      <c r="CG47" s="20">
        <f t="shared" ca="1" si="89"/>
        <v>0</v>
      </c>
      <c r="CH47" s="20">
        <f t="shared" ca="1" si="90"/>
        <v>0</v>
      </c>
      <c r="CI47" s="20">
        <f t="shared" ca="1" si="91"/>
        <v>0</v>
      </c>
      <c r="CJ47" s="20">
        <f t="shared" ca="1" si="92"/>
        <v>2259773028.7153172</v>
      </c>
      <c r="CK47" s="20">
        <f t="shared" ca="1" si="93"/>
        <v>0</v>
      </c>
      <c r="CL47" s="20">
        <f t="shared" ca="1" si="94"/>
        <v>0</v>
      </c>
      <c r="CM47" s="20">
        <f t="shared" ca="1" si="95"/>
        <v>0</v>
      </c>
      <c r="CN47" s="20">
        <f t="shared" ca="1" si="96"/>
        <v>0</v>
      </c>
      <c r="CO47" s="20">
        <f t="shared" ca="1" si="97"/>
        <v>0</v>
      </c>
      <c r="CP47" s="20">
        <f t="shared" ca="1" si="98"/>
        <v>0</v>
      </c>
      <c r="CQ47" s="20">
        <f t="shared" ca="1" si="99"/>
        <v>0</v>
      </c>
      <c r="CR47" s="20">
        <f t="shared" ca="1" si="100"/>
        <v>0</v>
      </c>
      <c r="CS47" s="20">
        <f t="shared" ca="1" si="101"/>
        <v>0</v>
      </c>
      <c r="CT47" s="20">
        <f t="shared" ca="1" si="102"/>
        <v>0</v>
      </c>
      <c r="CU47" s="20">
        <f t="shared" ca="1" si="103"/>
        <v>0</v>
      </c>
      <c r="CV47" s="20">
        <f t="shared" ca="1" si="104"/>
        <v>0</v>
      </c>
      <c r="CW47" s="20">
        <f t="shared" ca="1" si="105"/>
        <v>0</v>
      </c>
      <c r="CX47" s="20">
        <f t="shared" ca="1" si="106"/>
        <v>0</v>
      </c>
      <c r="CY47" s="20">
        <f t="shared" ca="1" si="107"/>
        <v>0</v>
      </c>
      <c r="CZ47" s="20">
        <f t="shared" ca="1" si="108"/>
        <v>0</v>
      </c>
      <c r="DA47" s="20">
        <f t="shared" ca="1" si="109"/>
        <v>0</v>
      </c>
      <c r="DB47" s="20">
        <f t="shared" ca="1" si="110"/>
        <v>0</v>
      </c>
      <c r="DC47" s="20">
        <f t="shared" ca="1" si="111"/>
        <v>0</v>
      </c>
      <c r="DD47" s="20">
        <f t="shared" ca="1" si="112"/>
        <v>0</v>
      </c>
      <c r="DE47" s="20">
        <f t="shared" ca="1" si="113"/>
        <v>0</v>
      </c>
      <c r="DF47" s="20">
        <f t="shared" ca="1" si="114"/>
        <v>0</v>
      </c>
      <c r="DG47" s="20">
        <f t="shared" ca="1" si="115"/>
        <v>0</v>
      </c>
      <c r="DH47" s="20">
        <f t="shared" ca="1" si="116"/>
        <v>0</v>
      </c>
      <c r="DI47" s="20">
        <f t="shared" ca="1" si="117"/>
        <v>0</v>
      </c>
      <c r="DJ47" s="20">
        <f t="shared" ca="1" si="118"/>
        <v>0</v>
      </c>
      <c r="DK47" s="20">
        <f t="shared" ca="1" si="119"/>
        <v>0</v>
      </c>
      <c r="DL47" s="20">
        <f t="shared" ca="1" si="120"/>
        <v>0</v>
      </c>
      <c r="DM47" s="20">
        <f t="shared" ca="1" si="121"/>
        <v>0</v>
      </c>
      <c r="DN47" s="20">
        <f t="shared" ca="1" si="122"/>
        <v>0</v>
      </c>
      <c r="DO47" s="20">
        <f t="shared" ca="1" si="123"/>
        <v>0</v>
      </c>
      <c r="DP47" s="20">
        <f t="shared" ca="1" si="124"/>
        <v>0</v>
      </c>
      <c r="DQ47" s="20">
        <f t="shared" ca="1" si="125"/>
        <v>0</v>
      </c>
      <c r="DR47" s="20">
        <f t="shared" ca="1" si="126"/>
        <v>0</v>
      </c>
      <c r="DS47" s="20">
        <f t="shared" ca="1" si="127"/>
        <v>0</v>
      </c>
      <c r="DT47" s="20">
        <f t="shared" ca="1" si="128"/>
        <v>0</v>
      </c>
      <c r="DU47" s="20">
        <f t="shared" ca="1" si="129"/>
        <v>0</v>
      </c>
      <c r="DV47" s="20">
        <f t="shared" ca="1" si="130"/>
        <v>0</v>
      </c>
      <c r="DW47" s="20">
        <f t="shared" ca="1" si="131"/>
        <v>0</v>
      </c>
      <c r="DX47" s="20">
        <f t="shared" ca="1" si="132"/>
        <v>0</v>
      </c>
      <c r="DY47" s="20">
        <f t="shared" ca="1" si="133"/>
        <v>0</v>
      </c>
      <c r="DZ47" s="20">
        <f t="shared" ca="1" si="134"/>
        <v>0</v>
      </c>
      <c r="EA47" s="20">
        <f t="shared" ca="1" si="135"/>
        <v>0</v>
      </c>
      <c r="EB47" s="20">
        <f t="shared" ca="1" si="136"/>
        <v>0</v>
      </c>
      <c r="EC47" s="20">
        <f t="shared" ca="1" si="137"/>
        <v>0</v>
      </c>
      <c r="ED47" s="20">
        <f t="shared" ca="1" si="138"/>
        <v>0</v>
      </c>
      <c r="EE47" s="20">
        <f t="shared" ca="1" si="139"/>
        <v>0</v>
      </c>
      <c r="EF47" s="20">
        <f t="shared" ca="1" si="140"/>
        <v>0</v>
      </c>
      <c r="EG47" s="20">
        <f t="shared" ca="1" si="141"/>
        <v>0</v>
      </c>
      <c r="EH47" s="20">
        <f t="shared" ca="1" si="142"/>
        <v>0</v>
      </c>
      <c r="EI47" s="20">
        <f t="shared" ca="1" si="143"/>
        <v>0</v>
      </c>
      <c r="EJ47" s="20">
        <f t="shared" ca="1" si="144"/>
        <v>0</v>
      </c>
      <c r="EK47" s="20">
        <f t="shared" ca="1" si="145"/>
        <v>0</v>
      </c>
      <c r="EL47" s="20">
        <f t="shared" ca="1" si="146"/>
        <v>0</v>
      </c>
      <c r="EM47" s="20">
        <f t="shared" ca="1" si="147"/>
        <v>0</v>
      </c>
      <c r="EN47" s="20">
        <f t="shared" ca="1" si="148"/>
        <v>0</v>
      </c>
      <c r="EO47" s="20">
        <f t="shared" ca="1" si="149"/>
        <v>0</v>
      </c>
      <c r="EP47" s="20">
        <f t="shared" ca="1" si="150"/>
        <v>0</v>
      </c>
      <c r="EQ47" s="17" t="s">
        <v>129</v>
      </c>
      <c r="ER47" s="19">
        <v>1141348953782.75</v>
      </c>
      <c r="ES47" s="20">
        <f t="shared" si="79"/>
        <v>27.763231971587707</v>
      </c>
    </row>
    <row r="48" spans="1:149" ht="15">
      <c r="A48" s="21" t="s">
        <v>203</v>
      </c>
      <c r="B48" s="14">
        <f ca="1">IFERROR(__xludf.dummyfunction("QUERY('Countries markets attractivenes'!A:C, ""SELECT C WHERE A = '""&amp;A48&amp;""'"",0)"),27.2013369835059)</f>
        <v>27.2013369835059</v>
      </c>
      <c r="C48" s="14">
        <f t="shared" ca="1" si="151"/>
        <v>650714601909.93213</v>
      </c>
      <c r="D48" s="18">
        <f>Marketplace_customer!C48/Marketplace_customer!C$2</f>
        <v>0</v>
      </c>
      <c r="E48" s="18">
        <f>Marketplace_customer!D48/Marketplace_customer!D$2</f>
        <v>9.1153846153846141E-2</v>
      </c>
      <c r="F48" s="18">
        <f>Marketplace_customer!E48/Marketplace_customer!E$2</f>
        <v>0</v>
      </c>
      <c r="G48" s="18">
        <f>Marketplace_customer!F48/Marketplace_customer!F$2</f>
        <v>0</v>
      </c>
      <c r="H48" s="18">
        <f>Marketplace_customer!G48/Marketplace_customer!G$2</f>
        <v>0</v>
      </c>
      <c r="I48" s="18">
        <f>Marketplace_customer!H48/Marketplace_customer!H$2</f>
        <v>0</v>
      </c>
      <c r="J48" s="18">
        <f>Marketplace_customer!I48/Marketplace_customer!I$2</f>
        <v>0</v>
      </c>
      <c r="K48" s="18">
        <f>Marketplace_customer!J48/Marketplace_customer!J$2</f>
        <v>0</v>
      </c>
      <c r="L48" s="18">
        <f>Marketplace_customer!K48/Marketplace_customer!K$2</f>
        <v>0</v>
      </c>
      <c r="M48" s="18">
        <f>Marketplace_customer!L48/Marketplace_customer!L$2</f>
        <v>0</v>
      </c>
      <c r="N48" s="18">
        <f>Marketplace_customer!M48/Marketplace_customer!M$2</f>
        <v>0</v>
      </c>
      <c r="O48" s="18">
        <f>Marketplace_customer!N48/Marketplace_customer!N$2</f>
        <v>0</v>
      </c>
      <c r="P48" s="18">
        <f>Marketplace_customer!O48/Marketplace_customer!O$2</f>
        <v>2.1276595744680851E-3</v>
      </c>
      <c r="Q48" s="18">
        <f>Marketplace_customer!P48/Marketplace_customer!P$2</f>
        <v>0</v>
      </c>
      <c r="R48" s="18">
        <f>Marketplace_customer!Q48/Marketplace_customer!Q$2</f>
        <v>0</v>
      </c>
      <c r="S48" s="18">
        <f>Marketplace_customer!R48/Marketplace_customer!R$2</f>
        <v>0</v>
      </c>
      <c r="T48" s="18">
        <f>Marketplace_customer!S48/Marketplace_customer!S$2</f>
        <v>0</v>
      </c>
      <c r="U48" s="18">
        <f>Marketplace_customer!T48/Marketplace_customer!T$2</f>
        <v>0</v>
      </c>
      <c r="V48" s="18">
        <f>Marketplace_customer!U48/Marketplace_customer!U$2</f>
        <v>0</v>
      </c>
      <c r="W48" s="18">
        <f>Marketplace_customer!V48/Marketplace_customer!V$2</f>
        <v>0</v>
      </c>
      <c r="X48" s="18">
        <f>Marketplace_customer!W48/Marketplace_customer!W$2</f>
        <v>0</v>
      </c>
      <c r="Y48" s="18">
        <f>Marketplace_customer!X48/Marketplace_customer!X$2</f>
        <v>0</v>
      </c>
      <c r="Z48" s="18">
        <f>Marketplace_customer!Y48/Marketplace_customer!Y$2</f>
        <v>0</v>
      </c>
      <c r="AA48" s="18">
        <f>Marketplace_customer!Z48/Marketplace_customer!Z$2</f>
        <v>0</v>
      </c>
      <c r="AB48" s="18">
        <f>Marketplace_customer!AA48/Marketplace_customer!AA$2</f>
        <v>0</v>
      </c>
      <c r="AC48" s="18">
        <f>Marketplace_customer!AB48/Marketplace_customer!AB$2</f>
        <v>0</v>
      </c>
      <c r="AD48" s="18">
        <f>Marketplace_customer!AC48/Marketplace_customer!AC$2</f>
        <v>0</v>
      </c>
      <c r="AE48" s="18">
        <f>Marketplace_customer!AD48/Marketplace_customer!AD$2</f>
        <v>0</v>
      </c>
      <c r="AF48" s="18">
        <f>Marketplace_customer!AE48/Marketplace_customer!AE$2</f>
        <v>0</v>
      </c>
      <c r="AG48" s="18">
        <f>Marketplace_customer!AF48/Marketplace_customer!AF$2</f>
        <v>0</v>
      </c>
      <c r="AH48" s="18">
        <f>Marketplace_customer!AG48/Marketplace_customer!AG$2</f>
        <v>0</v>
      </c>
      <c r="AI48" s="18">
        <f>Marketplace_customer!AH48/Marketplace_customer!AH$2</f>
        <v>0</v>
      </c>
      <c r="AJ48" s="18">
        <f>Marketplace_customer!AI48/Marketplace_customer!AI$2</f>
        <v>0</v>
      </c>
      <c r="AK48" s="18">
        <f>Marketplace_customer!AJ48/Marketplace_customer!AJ$2</f>
        <v>0</v>
      </c>
      <c r="AL48" s="18">
        <f>Marketplace_customer!AK48/Marketplace_customer!AK$2</f>
        <v>0</v>
      </c>
      <c r="AM48" s="18">
        <f>Marketplace_customer!AL48/Marketplace_customer!AL$2</f>
        <v>0</v>
      </c>
      <c r="AN48" s="18">
        <f>Marketplace_customer!AM48/Marketplace_customer!AM$2</f>
        <v>0</v>
      </c>
      <c r="AO48" s="18">
        <f>Marketplace_customer!AN48/Marketplace_customer!AN$2</f>
        <v>0</v>
      </c>
      <c r="AP48" s="18">
        <f>Marketplace_customer!AO48/Marketplace_customer!AO$2</f>
        <v>0</v>
      </c>
      <c r="AQ48" s="18">
        <f>Marketplace_customer!AP48/Marketplace_customer!AP$2</f>
        <v>0</v>
      </c>
      <c r="AR48" s="18">
        <f>Marketplace_customer!AQ48/Marketplace_customer!AQ$2</f>
        <v>0</v>
      </c>
      <c r="AS48" s="18">
        <f>Marketplace_customer!AR48/Marketplace_customer!AR$2</f>
        <v>0</v>
      </c>
      <c r="AT48" s="18">
        <f>Marketplace_customer!AS48/Marketplace_customer!AS$2</f>
        <v>0</v>
      </c>
      <c r="AU48" s="18">
        <f>Marketplace_customer!AT48/Marketplace_customer!AT$2</f>
        <v>0</v>
      </c>
      <c r="AV48" s="18">
        <f>Marketplace_customer!AU48/Marketplace_customer!AU$2</f>
        <v>0</v>
      </c>
      <c r="AW48" s="18">
        <f>Marketplace_customer!AV48/Marketplace_customer!AV$2</f>
        <v>0</v>
      </c>
      <c r="AX48" s="18">
        <f>Marketplace_customer!AW48/Marketplace_customer!AW$2</f>
        <v>0</v>
      </c>
      <c r="AY48" s="18">
        <f>Marketplace_customer!AX48/Marketplace_customer!AX$2</f>
        <v>0</v>
      </c>
      <c r="AZ48" s="18">
        <f>Marketplace_customer!AY48/Marketplace_customer!AY$2</f>
        <v>0</v>
      </c>
      <c r="BA48" s="18">
        <f>Marketplace_customer!AZ48/Marketplace_customer!AZ$2</f>
        <v>0</v>
      </c>
      <c r="BB48" s="18">
        <f>Marketplace_customer!BA48/Marketplace_customer!BA$2</f>
        <v>0</v>
      </c>
      <c r="BC48" s="18">
        <f>Marketplace_customer!BB48/Marketplace_customer!BB$2</f>
        <v>0.55999999999999994</v>
      </c>
      <c r="BD48" s="18">
        <f>Marketplace_customer!BC48/Marketplace_customer!BC$2</f>
        <v>0</v>
      </c>
      <c r="BE48" s="18">
        <f>Marketplace_customer!BD48/Marketplace_customer!BD$2</f>
        <v>0</v>
      </c>
      <c r="BF48" s="18">
        <f>Marketplace_customer!BE48/Marketplace_customer!BE$2</f>
        <v>0</v>
      </c>
      <c r="BG48" s="18">
        <f>Marketplace_customer!BF48/Marketplace_customer!BF$2</f>
        <v>0</v>
      </c>
      <c r="BH48" s="18">
        <f>Marketplace_customer!BG48/Marketplace_customer!BG$2</f>
        <v>0</v>
      </c>
      <c r="BI48" s="18">
        <f>Marketplace_customer!BH48/Marketplace_customer!BH$2</f>
        <v>0</v>
      </c>
      <c r="BJ48" s="18">
        <f>Marketplace_customer!BI48/Marketplace_customer!BI$2</f>
        <v>0</v>
      </c>
      <c r="BK48" s="18">
        <f>Marketplace_customer!BJ48/Marketplace_customer!BJ$2</f>
        <v>0</v>
      </c>
      <c r="BL48" s="18">
        <f>Marketplace_customer!BK48/Marketplace_customer!BK$2</f>
        <v>0</v>
      </c>
      <c r="BM48" s="18">
        <f>Marketplace_customer!BL48/Marketplace_customer!BL$2</f>
        <v>0</v>
      </c>
      <c r="BN48" s="18">
        <f>Marketplace_customer!BM48/Marketplace_customer!BM$2</f>
        <v>0</v>
      </c>
      <c r="BO48" s="18">
        <f>Marketplace_customer!BN48/Marketplace_customer!BN$2</f>
        <v>0</v>
      </c>
      <c r="BP48" s="18">
        <f>Marketplace_customer!BO48/Marketplace_customer!BO$2</f>
        <v>0</v>
      </c>
      <c r="BQ48" s="18">
        <f>Marketplace_customer!BP48/Marketplace_customer!BP$2</f>
        <v>0</v>
      </c>
      <c r="BR48" s="18">
        <f>Marketplace_customer!BQ48/Marketplace_customer!BQ$2</f>
        <v>0</v>
      </c>
      <c r="BS48" s="18">
        <f>Marketplace_customer!BR48/Marketplace_customer!BR$2</f>
        <v>0</v>
      </c>
      <c r="BT48" s="18">
        <f>Marketplace_customer!BS48/Marketplace_customer!BS$2</f>
        <v>0</v>
      </c>
      <c r="BU48" s="18">
        <f>Marketplace_customer!BT48/Marketplace_customer!BT$2</f>
        <v>0</v>
      </c>
      <c r="BV48" s="18">
        <f>Marketplace_customer!BU48/Marketplace_customer!BU$2</f>
        <v>0</v>
      </c>
      <c r="BW48" s="19"/>
      <c r="BX48" s="20">
        <f t="shared" ca="1" si="80"/>
        <v>0</v>
      </c>
      <c r="BY48" s="20">
        <f t="shared" ca="1" si="81"/>
        <v>59315138712.559189</v>
      </c>
      <c r="BZ48" s="20">
        <f t="shared" ca="1" si="82"/>
        <v>0</v>
      </c>
      <c r="CA48" s="20">
        <f t="shared" ca="1" si="83"/>
        <v>0</v>
      </c>
      <c r="CB48" s="20">
        <f t="shared" ca="1" si="84"/>
        <v>0</v>
      </c>
      <c r="CC48" s="20">
        <f t="shared" ca="1" si="85"/>
        <v>0</v>
      </c>
      <c r="CD48" s="20">
        <f t="shared" ca="1" si="86"/>
        <v>0</v>
      </c>
      <c r="CE48" s="20">
        <f t="shared" ca="1" si="87"/>
        <v>0</v>
      </c>
      <c r="CF48" s="20">
        <f t="shared" ca="1" si="88"/>
        <v>0</v>
      </c>
      <c r="CG48" s="20">
        <f t="shared" ca="1" si="89"/>
        <v>0</v>
      </c>
      <c r="CH48" s="20">
        <f t="shared" ca="1" si="90"/>
        <v>0</v>
      </c>
      <c r="CI48" s="20">
        <f t="shared" ca="1" si="91"/>
        <v>0</v>
      </c>
      <c r="CJ48" s="20">
        <f t="shared" ca="1" si="92"/>
        <v>1384499152.9998555</v>
      </c>
      <c r="CK48" s="20">
        <f t="shared" ca="1" si="93"/>
        <v>0</v>
      </c>
      <c r="CL48" s="20">
        <f t="shared" ca="1" si="94"/>
        <v>0</v>
      </c>
      <c r="CM48" s="20">
        <f t="shared" ca="1" si="95"/>
        <v>0</v>
      </c>
      <c r="CN48" s="20">
        <f t="shared" ca="1" si="96"/>
        <v>0</v>
      </c>
      <c r="CO48" s="20">
        <f t="shared" ca="1" si="97"/>
        <v>0</v>
      </c>
      <c r="CP48" s="20">
        <f t="shared" ca="1" si="98"/>
        <v>0</v>
      </c>
      <c r="CQ48" s="20">
        <f t="shared" ca="1" si="99"/>
        <v>0</v>
      </c>
      <c r="CR48" s="20">
        <f t="shared" ca="1" si="100"/>
        <v>0</v>
      </c>
      <c r="CS48" s="20">
        <f t="shared" ca="1" si="101"/>
        <v>0</v>
      </c>
      <c r="CT48" s="20">
        <f t="shared" ca="1" si="102"/>
        <v>0</v>
      </c>
      <c r="CU48" s="20">
        <f t="shared" ca="1" si="103"/>
        <v>0</v>
      </c>
      <c r="CV48" s="20">
        <f t="shared" ca="1" si="104"/>
        <v>0</v>
      </c>
      <c r="CW48" s="20">
        <f t="shared" ca="1" si="105"/>
        <v>0</v>
      </c>
      <c r="CX48" s="20">
        <f t="shared" ca="1" si="106"/>
        <v>0</v>
      </c>
      <c r="CY48" s="20">
        <f t="shared" ca="1" si="107"/>
        <v>0</v>
      </c>
      <c r="CZ48" s="20">
        <f t="shared" ca="1" si="108"/>
        <v>0</v>
      </c>
      <c r="DA48" s="20">
        <f t="shared" ca="1" si="109"/>
        <v>0</v>
      </c>
      <c r="DB48" s="20">
        <f t="shared" ca="1" si="110"/>
        <v>0</v>
      </c>
      <c r="DC48" s="20">
        <f t="shared" ca="1" si="111"/>
        <v>0</v>
      </c>
      <c r="DD48" s="20">
        <f t="shared" ca="1" si="112"/>
        <v>0</v>
      </c>
      <c r="DE48" s="20">
        <f t="shared" ca="1" si="113"/>
        <v>0</v>
      </c>
      <c r="DF48" s="20">
        <f t="shared" ca="1" si="114"/>
        <v>0</v>
      </c>
      <c r="DG48" s="20">
        <f t="shared" ca="1" si="115"/>
        <v>0</v>
      </c>
      <c r="DH48" s="20">
        <f t="shared" ca="1" si="116"/>
        <v>0</v>
      </c>
      <c r="DI48" s="20">
        <f t="shared" ca="1" si="117"/>
        <v>0</v>
      </c>
      <c r="DJ48" s="20">
        <f t="shared" ca="1" si="118"/>
        <v>0</v>
      </c>
      <c r="DK48" s="20">
        <f t="shared" ca="1" si="119"/>
        <v>0</v>
      </c>
      <c r="DL48" s="20">
        <f t="shared" ca="1" si="120"/>
        <v>0</v>
      </c>
      <c r="DM48" s="20">
        <f t="shared" ca="1" si="121"/>
        <v>0</v>
      </c>
      <c r="DN48" s="20">
        <f t="shared" ca="1" si="122"/>
        <v>0</v>
      </c>
      <c r="DO48" s="20">
        <f t="shared" ca="1" si="123"/>
        <v>0</v>
      </c>
      <c r="DP48" s="20">
        <f t="shared" ca="1" si="124"/>
        <v>0</v>
      </c>
      <c r="DQ48" s="20">
        <f t="shared" ca="1" si="125"/>
        <v>0</v>
      </c>
      <c r="DR48" s="20">
        <f t="shared" ca="1" si="126"/>
        <v>0</v>
      </c>
      <c r="DS48" s="20">
        <f t="shared" ca="1" si="127"/>
        <v>0</v>
      </c>
      <c r="DT48" s="20">
        <f t="shared" ca="1" si="128"/>
        <v>0</v>
      </c>
      <c r="DU48" s="20">
        <f t="shared" ca="1" si="129"/>
        <v>0</v>
      </c>
      <c r="DV48" s="20">
        <f t="shared" ca="1" si="130"/>
        <v>0</v>
      </c>
      <c r="DW48" s="20">
        <f t="shared" ca="1" si="131"/>
        <v>364400177069.56195</v>
      </c>
      <c r="DX48" s="20">
        <f t="shared" ca="1" si="132"/>
        <v>0</v>
      </c>
      <c r="DY48" s="20">
        <f t="shared" ca="1" si="133"/>
        <v>0</v>
      </c>
      <c r="DZ48" s="20">
        <f t="shared" ca="1" si="134"/>
        <v>0</v>
      </c>
      <c r="EA48" s="20">
        <f t="shared" ca="1" si="135"/>
        <v>0</v>
      </c>
      <c r="EB48" s="20">
        <f t="shared" ca="1" si="136"/>
        <v>0</v>
      </c>
      <c r="EC48" s="20">
        <f t="shared" ca="1" si="137"/>
        <v>0</v>
      </c>
      <c r="ED48" s="20">
        <f t="shared" ca="1" si="138"/>
        <v>0</v>
      </c>
      <c r="EE48" s="20">
        <f t="shared" ca="1" si="139"/>
        <v>0</v>
      </c>
      <c r="EF48" s="20">
        <f t="shared" ca="1" si="140"/>
        <v>0</v>
      </c>
      <c r="EG48" s="20">
        <f t="shared" ca="1" si="141"/>
        <v>0</v>
      </c>
      <c r="EH48" s="20">
        <f t="shared" ca="1" si="142"/>
        <v>0</v>
      </c>
      <c r="EI48" s="20">
        <f t="shared" ca="1" si="143"/>
        <v>0</v>
      </c>
      <c r="EJ48" s="20">
        <f t="shared" ca="1" si="144"/>
        <v>0</v>
      </c>
      <c r="EK48" s="20">
        <f t="shared" ca="1" si="145"/>
        <v>0</v>
      </c>
      <c r="EL48" s="20">
        <f t="shared" ca="1" si="146"/>
        <v>0</v>
      </c>
      <c r="EM48" s="20">
        <f t="shared" ca="1" si="147"/>
        <v>0</v>
      </c>
      <c r="EN48" s="20">
        <f t="shared" ca="1" si="148"/>
        <v>0</v>
      </c>
      <c r="EO48" s="20">
        <f t="shared" ca="1" si="149"/>
        <v>0</v>
      </c>
      <c r="EP48" s="20">
        <f t="shared" ca="1" si="150"/>
        <v>0</v>
      </c>
      <c r="EQ48" s="17" t="s">
        <v>130</v>
      </c>
      <c r="ER48" s="19">
        <v>1743682153126.1699</v>
      </c>
      <c r="ES48" s="20">
        <f t="shared" si="79"/>
        <v>28.187020173157649</v>
      </c>
    </row>
    <row r="49" spans="1:149" ht="15">
      <c r="A49" s="21" t="s">
        <v>204</v>
      </c>
      <c r="B49" s="14">
        <f ca="1">IFERROR(__xludf.dummyfunction("QUERY('Countries markets attractivenes'!A:C, ""SELECT C WHERE A = '""&amp;A49&amp;""'"",0)"),26.5226608588227)</f>
        <v>26.5226608588227</v>
      </c>
      <c r="C49" s="14">
        <f t="shared" ca="1" si="151"/>
        <v>330099796334.0213</v>
      </c>
      <c r="D49" s="18">
        <f>Marketplace_customer!C49/Marketplace_customer!C$2</f>
        <v>0</v>
      </c>
      <c r="E49" s="18">
        <f>Marketplace_customer!D49/Marketplace_customer!D$2</f>
        <v>0</v>
      </c>
      <c r="F49" s="18">
        <f>Marketplace_customer!E49/Marketplace_customer!E$2</f>
        <v>0</v>
      </c>
      <c r="G49" s="18">
        <f>Marketplace_customer!F49/Marketplace_customer!F$2</f>
        <v>0</v>
      </c>
      <c r="H49" s="18">
        <f>Marketplace_customer!G49/Marketplace_customer!G$2</f>
        <v>0</v>
      </c>
      <c r="I49" s="18">
        <f>Marketplace_customer!H49/Marketplace_customer!H$2</f>
        <v>0</v>
      </c>
      <c r="J49" s="18">
        <f>Marketplace_customer!I49/Marketplace_customer!I$2</f>
        <v>0</v>
      </c>
      <c r="K49" s="18">
        <f>Marketplace_customer!J49/Marketplace_customer!J$2</f>
        <v>0</v>
      </c>
      <c r="L49" s="18">
        <f>Marketplace_customer!K49/Marketplace_customer!K$2</f>
        <v>0</v>
      </c>
      <c r="M49" s="18">
        <f>Marketplace_customer!L49/Marketplace_customer!L$2</f>
        <v>0</v>
      </c>
      <c r="N49" s="18">
        <f>Marketplace_customer!M49/Marketplace_customer!M$2</f>
        <v>0</v>
      </c>
      <c r="O49" s="18">
        <f>Marketplace_customer!N49/Marketplace_customer!N$2</f>
        <v>0</v>
      </c>
      <c r="P49" s="18">
        <f>Marketplace_customer!O49/Marketplace_customer!O$2</f>
        <v>1.8085106382978724E-3</v>
      </c>
      <c r="Q49" s="18">
        <f>Marketplace_customer!P49/Marketplace_customer!P$2</f>
        <v>0</v>
      </c>
      <c r="R49" s="18">
        <f>Marketplace_customer!Q49/Marketplace_customer!Q$2</f>
        <v>0</v>
      </c>
      <c r="S49" s="18">
        <f>Marketplace_customer!R49/Marketplace_customer!R$2</f>
        <v>0</v>
      </c>
      <c r="T49" s="18">
        <f>Marketplace_customer!S49/Marketplace_customer!S$2</f>
        <v>0</v>
      </c>
      <c r="U49" s="18">
        <f>Marketplace_customer!T49/Marketplace_customer!T$2</f>
        <v>0</v>
      </c>
      <c r="V49" s="18">
        <f>Marketplace_customer!U49/Marketplace_customer!U$2</f>
        <v>0</v>
      </c>
      <c r="W49" s="18">
        <f>Marketplace_customer!V49/Marketplace_customer!V$2</f>
        <v>0</v>
      </c>
      <c r="X49" s="18">
        <f>Marketplace_customer!W49/Marketplace_customer!W$2</f>
        <v>0</v>
      </c>
      <c r="Y49" s="18">
        <f>Marketplace_customer!X49/Marketplace_customer!X$2</f>
        <v>0</v>
      </c>
      <c r="Z49" s="18">
        <f>Marketplace_customer!Y49/Marketplace_customer!Y$2</f>
        <v>0</v>
      </c>
      <c r="AA49" s="18">
        <f>Marketplace_customer!Z49/Marketplace_customer!Z$2</f>
        <v>0</v>
      </c>
      <c r="AB49" s="18">
        <f>Marketplace_customer!AA49/Marketplace_customer!AA$2</f>
        <v>0</v>
      </c>
      <c r="AC49" s="18">
        <f>Marketplace_customer!AB49/Marketplace_customer!AB$2</f>
        <v>0</v>
      </c>
      <c r="AD49" s="18">
        <f>Marketplace_customer!AC49/Marketplace_customer!AC$2</f>
        <v>0</v>
      </c>
      <c r="AE49" s="18">
        <f>Marketplace_customer!AD49/Marketplace_customer!AD$2</f>
        <v>0</v>
      </c>
      <c r="AF49" s="18">
        <f>Marketplace_customer!AE49/Marketplace_customer!AE$2</f>
        <v>0</v>
      </c>
      <c r="AG49" s="18">
        <f>Marketplace_customer!AF49/Marketplace_customer!AF$2</f>
        <v>0</v>
      </c>
      <c r="AH49" s="18">
        <f>Marketplace_customer!AG49/Marketplace_customer!AG$2</f>
        <v>0</v>
      </c>
      <c r="AI49" s="18">
        <f>Marketplace_customer!AH49/Marketplace_customer!AH$2</f>
        <v>0</v>
      </c>
      <c r="AJ49" s="18">
        <f>Marketplace_customer!AI49/Marketplace_customer!AI$2</f>
        <v>0</v>
      </c>
      <c r="AK49" s="18">
        <f>Marketplace_customer!AJ49/Marketplace_customer!AJ$2</f>
        <v>0</v>
      </c>
      <c r="AL49" s="18">
        <f>Marketplace_customer!AK49/Marketplace_customer!AK$2</f>
        <v>0</v>
      </c>
      <c r="AM49" s="18">
        <f>Marketplace_customer!AL49/Marketplace_customer!AL$2</f>
        <v>0</v>
      </c>
      <c r="AN49" s="18">
        <f>Marketplace_customer!AM49/Marketplace_customer!AM$2</f>
        <v>0</v>
      </c>
      <c r="AO49" s="18">
        <f>Marketplace_customer!AN49/Marketplace_customer!AN$2</f>
        <v>0</v>
      </c>
      <c r="AP49" s="18">
        <f>Marketplace_customer!AO49/Marketplace_customer!AO$2</f>
        <v>0</v>
      </c>
      <c r="AQ49" s="18">
        <f>Marketplace_customer!AP49/Marketplace_customer!AP$2</f>
        <v>0</v>
      </c>
      <c r="AR49" s="18">
        <f>Marketplace_customer!AQ49/Marketplace_customer!AQ$2</f>
        <v>0</v>
      </c>
      <c r="AS49" s="18">
        <f>Marketplace_customer!AR49/Marketplace_customer!AR$2</f>
        <v>0</v>
      </c>
      <c r="AT49" s="18">
        <f>Marketplace_customer!AS49/Marketplace_customer!AS$2</f>
        <v>0</v>
      </c>
      <c r="AU49" s="18">
        <f>Marketplace_customer!AT49/Marketplace_customer!AT$2</f>
        <v>0</v>
      </c>
      <c r="AV49" s="18">
        <f>Marketplace_customer!AU49/Marketplace_customer!AU$2</f>
        <v>0</v>
      </c>
      <c r="AW49" s="18">
        <f>Marketplace_customer!AV49/Marketplace_customer!AV$2</f>
        <v>0</v>
      </c>
      <c r="AX49" s="18">
        <f>Marketplace_customer!AW49/Marketplace_customer!AW$2</f>
        <v>0</v>
      </c>
      <c r="AY49" s="18">
        <f>Marketplace_customer!AX49/Marketplace_customer!AX$2</f>
        <v>0</v>
      </c>
      <c r="AZ49" s="18">
        <f>Marketplace_customer!AY49/Marketplace_customer!AY$2</f>
        <v>0</v>
      </c>
      <c r="BA49" s="18">
        <f>Marketplace_customer!AZ49/Marketplace_customer!AZ$2</f>
        <v>0</v>
      </c>
      <c r="BB49" s="18">
        <f>Marketplace_customer!BA49/Marketplace_customer!BA$2</f>
        <v>0</v>
      </c>
      <c r="BC49" s="18">
        <f>Marketplace_customer!BB49/Marketplace_customer!BB$2</f>
        <v>0</v>
      </c>
      <c r="BD49" s="18">
        <f>Marketplace_customer!BC49/Marketplace_customer!BC$2</f>
        <v>0</v>
      </c>
      <c r="BE49" s="18">
        <f>Marketplace_customer!BD49/Marketplace_customer!BD$2</f>
        <v>0</v>
      </c>
      <c r="BF49" s="18">
        <f>Marketplace_customer!BE49/Marketplace_customer!BE$2</f>
        <v>0</v>
      </c>
      <c r="BG49" s="18">
        <f>Marketplace_customer!BF49/Marketplace_customer!BF$2</f>
        <v>0</v>
      </c>
      <c r="BH49" s="18">
        <f>Marketplace_customer!BG49/Marketplace_customer!BG$2</f>
        <v>0</v>
      </c>
      <c r="BI49" s="18">
        <f>Marketplace_customer!BH49/Marketplace_customer!BH$2</f>
        <v>0</v>
      </c>
      <c r="BJ49" s="18">
        <f>Marketplace_customer!BI49/Marketplace_customer!BI$2</f>
        <v>0</v>
      </c>
      <c r="BK49" s="18">
        <f>Marketplace_customer!BJ49/Marketplace_customer!BJ$2</f>
        <v>7.5972781925084222E-3</v>
      </c>
      <c r="BL49" s="18">
        <f>Marketplace_customer!BK49/Marketplace_customer!BK$2</f>
        <v>0</v>
      </c>
      <c r="BM49" s="18">
        <f>Marketplace_customer!BL49/Marketplace_customer!BL$2</f>
        <v>0</v>
      </c>
      <c r="BN49" s="18">
        <f>Marketplace_customer!BM49/Marketplace_customer!BM$2</f>
        <v>0</v>
      </c>
      <c r="BO49" s="18">
        <f>Marketplace_customer!BN49/Marketplace_customer!BN$2</f>
        <v>0</v>
      </c>
      <c r="BP49" s="18">
        <f>Marketplace_customer!BO49/Marketplace_customer!BO$2</f>
        <v>0</v>
      </c>
      <c r="BQ49" s="18">
        <f>Marketplace_customer!BP49/Marketplace_customer!BP$2</f>
        <v>0</v>
      </c>
      <c r="BR49" s="18">
        <f>Marketplace_customer!BQ49/Marketplace_customer!BQ$2</f>
        <v>0</v>
      </c>
      <c r="BS49" s="18">
        <f>Marketplace_customer!BR49/Marketplace_customer!BR$2</f>
        <v>0</v>
      </c>
      <c r="BT49" s="18">
        <f>Marketplace_customer!BS49/Marketplace_customer!BS$2</f>
        <v>0</v>
      </c>
      <c r="BU49" s="18">
        <f>Marketplace_customer!BT49/Marketplace_customer!BT$2</f>
        <v>0</v>
      </c>
      <c r="BV49" s="18">
        <f>Marketplace_customer!BU49/Marketplace_customer!BU$2</f>
        <v>0</v>
      </c>
      <c r="BW49" s="19"/>
      <c r="BX49" s="20">
        <f t="shared" ca="1" si="80"/>
        <v>0</v>
      </c>
      <c r="BY49" s="20">
        <f t="shared" ca="1" si="81"/>
        <v>0</v>
      </c>
      <c r="BZ49" s="20">
        <f t="shared" ca="1" si="82"/>
        <v>0</v>
      </c>
      <c r="CA49" s="20">
        <f t="shared" ca="1" si="83"/>
        <v>0</v>
      </c>
      <c r="CB49" s="20">
        <f t="shared" ca="1" si="84"/>
        <v>0</v>
      </c>
      <c r="CC49" s="20">
        <f t="shared" ca="1" si="85"/>
        <v>0</v>
      </c>
      <c r="CD49" s="20">
        <f t="shared" ca="1" si="86"/>
        <v>0</v>
      </c>
      <c r="CE49" s="20">
        <f t="shared" ca="1" si="87"/>
        <v>0</v>
      </c>
      <c r="CF49" s="20">
        <f t="shared" ca="1" si="88"/>
        <v>0</v>
      </c>
      <c r="CG49" s="20">
        <f t="shared" ca="1" si="89"/>
        <v>0</v>
      </c>
      <c r="CH49" s="20">
        <f t="shared" ca="1" si="90"/>
        <v>0</v>
      </c>
      <c r="CI49" s="20">
        <f t="shared" ca="1" si="91"/>
        <v>0</v>
      </c>
      <c r="CJ49" s="20">
        <f t="shared" ca="1" si="92"/>
        <v>596988993.37003851</v>
      </c>
      <c r="CK49" s="20">
        <f t="shared" ca="1" si="93"/>
        <v>0</v>
      </c>
      <c r="CL49" s="20">
        <f t="shared" ca="1" si="94"/>
        <v>0</v>
      </c>
      <c r="CM49" s="20">
        <f t="shared" ca="1" si="95"/>
        <v>0</v>
      </c>
      <c r="CN49" s="20">
        <f t="shared" ca="1" si="96"/>
        <v>0</v>
      </c>
      <c r="CO49" s="20">
        <f t="shared" ca="1" si="97"/>
        <v>0</v>
      </c>
      <c r="CP49" s="20">
        <f t="shared" ca="1" si="98"/>
        <v>0</v>
      </c>
      <c r="CQ49" s="20">
        <f t="shared" ca="1" si="99"/>
        <v>0</v>
      </c>
      <c r="CR49" s="20">
        <f t="shared" ca="1" si="100"/>
        <v>0</v>
      </c>
      <c r="CS49" s="20">
        <f t="shared" ca="1" si="101"/>
        <v>0</v>
      </c>
      <c r="CT49" s="20">
        <f t="shared" ca="1" si="102"/>
        <v>0</v>
      </c>
      <c r="CU49" s="20">
        <f t="shared" ca="1" si="103"/>
        <v>0</v>
      </c>
      <c r="CV49" s="20">
        <f t="shared" ca="1" si="104"/>
        <v>0</v>
      </c>
      <c r="CW49" s="20">
        <f t="shared" ca="1" si="105"/>
        <v>0</v>
      </c>
      <c r="CX49" s="20">
        <f t="shared" ca="1" si="106"/>
        <v>0</v>
      </c>
      <c r="CY49" s="20">
        <f t="shared" ca="1" si="107"/>
        <v>0</v>
      </c>
      <c r="CZ49" s="20">
        <f t="shared" ca="1" si="108"/>
        <v>0</v>
      </c>
      <c r="DA49" s="20">
        <f t="shared" ca="1" si="109"/>
        <v>0</v>
      </c>
      <c r="DB49" s="20">
        <f t="shared" ca="1" si="110"/>
        <v>0</v>
      </c>
      <c r="DC49" s="20">
        <f t="shared" ca="1" si="111"/>
        <v>0</v>
      </c>
      <c r="DD49" s="20">
        <f t="shared" ca="1" si="112"/>
        <v>0</v>
      </c>
      <c r="DE49" s="20">
        <f t="shared" ca="1" si="113"/>
        <v>0</v>
      </c>
      <c r="DF49" s="20">
        <f t="shared" ca="1" si="114"/>
        <v>0</v>
      </c>
      <c r="DG49" s="20">
        <f t="shared" ca="1" si="115"/>
        <v>0</v>
      </c>
      <c r="DH49" s="20">
        <f t="shared" ca="1" si="116"/>
        <v>0</v>
      </c>
      <c r="DI49" s="20">
        <f t="shared" ca="1" si="117"/>
        <v>0</v>
      </c>
      <c r="DJ49" s="20">
        <f t="shared" ca="1" si="118"/>
        <v>0</v>
      </c>
      <c r="DK49" s="20">
        <f t="shared" ca="1" si="119"/>
        <v>0</v>
      </c>
      <c r="DL49" s="20">
        <f t="shared" ca="1" si="120"/>
        <v>0</v>
      </c>
      <c r="DM49" s="20">
        <f t="shared" ca="1" si="121"/>
        <v>0</v>
      </c>
      <c r="DN49" s="20">
        <f t="shared" ca="1" si="122"/>
        <v>0</v>
      </c>
      <c r="DO49" s="20">
        <f t="shared" ca="1" si="123"/>
        <v>0</v>
      </c>
      <c r="DP49" s="20">
        <f t="shared" ca="1" si="124"/>
        <v>0</v>
      </c>
      <c r="DQ49" s="20">
        <f t="shared" ca="1" si="125"/>
        <v>0</v>
      </c>
      <c r="DR49" s="20">
        <f t="shared" ca="1" si="126"/>
        <v>0</v>
      </c>
      <c r="DS49" s="20">
        <f t="shared" ca="1" si="127"/>
        <v>0</v>
      </c>
      <c r="DT49" s="20">
        <f t="shared" ca="1" si="128"/>
        <v>0</v>
      </c>
      <c r="DU49" s="20">
        <f t="shared" ca="1" si="129"/>
        <v>0</v>
      </c>
      <c r="DV49" s="20">
        <f t="shared" ca="1" si="130"/>
        <v>0</v>
      </c>
      <c r="DW49" s="20">
        <f t="shared" ca="1" si="131"/>
        <v>0</v>
      </c>
      <c r="DX49" s="20">
        <f t="shared" ca="1" si="132"/>
        <v>0</v>
      </c>
      <c r="DY49" s="20">
        <f t="shared" ca="1" si="133"/>
        <v>0</v>
      </c>
      <c r="DZ49" s="20">
        <f t="shared" ca="1" si="134"/>
        <v>0</v>
      </c>
      <c r="EA49" s="20">
        <f t="shared" ca="1" si="135"/>
        <v>0</v>
      </c>
      <c r="EB49" s="20">
        <f t="shared" ca="1" si="136"/>
        <v>0</v>
      </c>
      <c r="EC49" s="20">
        <f t="shared" ca="1" si="137"/>
        <v>0</v>
      </c>
      <c r="ED49" s="20">
        <f t="shared" ca="1" si="138"/>
        <v>0</v>
      </c>
      <c r="EE49" s="20">
        <f t="shared" ca="1" si="139"/>
        <v>2507859984.0399318</v>
      </c>
      <c r="EF49" s="20">
        <f t="shared" ca="1" si="140"/>
        <v>0</v>
      </c>
      <c r="EG49" s="20">
        <f t="shared" ca="1" si="141"/>
        <v>0</v>
      </c>
      <c r="EH49" s="20">
        <f t="shared" ca="1" si="142"/>
        <v>0</v>
      </c>
      <c r="EI49" s="20">
        <f t="shared" ca="1" si="143"/>
        <v>0</v>
      </c>
      <c r="EJ49" s="20">
        <f t="shared" ca="1" si="144"/>
        <v>0</v>
      </c>
      <c r="EK49" s="20">
        <f t="shared" ca="1" si="145"/>
        <v>0</v>
      </c>
      <c r="EL49" s="20">
        <f t="shared" ca="1" si="146"/>
        <v>0</v>
      </c>
      <c r="EM49" s="20">
        <f t="shared" ca="1" si="147"/>
        <v>0</v>
      </c>
      <c r="EN49" s="20">
        <f t="shared" ca="1" si="148"/>
        <v>0</v>
      </c>
      <c r="EO49" s="20">
        <f t="shared" ca="1" si="149"/>
        <v>0</v>
      </c>
      <c r="EP49" s="20">
        <f t="shared" ca="1" si="150"/>
        <v>0</v>
      </c>
      <c r="EQ49" s="17" t="s">
        <v>131</v>
      </c>
      <c r="ER49" s="19">
        <v>793868331098.09497</v>
      </c>
      <c r="ES49" s="20">
        <f t="shared" si="79"/>
        <v>27.400183454590991</v>
      </c>
    </row>
    <row r="50" spans="1:149" ht="15">
      <c r="A50" s="21" t="s">
        <v>205</v>
      </c>
      <c r="B50" s="14">
        <f ca="1">IFERROR(__xludf.dummyfunction("QUERY('Countries markets attractivenes'!A:C, ""SELECT C WHERE A = '""&amp;A50&amp;""'"",0)"),24.5970612567733)</f>
        <v>24.597061256773301</v>
      </c>
      <c r="C50" s="14">
        <f t="shared" ca="1" si="151"/>
        <v>48124693310.888809</v>
      </c>
      <c r="D50" s="18">
        <f>Marketplace_customer!C50/Marketplace_customer!C$2</f>
        <v>0</v>
      </c>
      <c r="E50" s="18">
        <f>Marketplace_customer!D50/Marketplace_customer!D$2</f>
        <v>0</v>
      </c>
      <c r="F50" s="18">
        <f>Marketplace_customer!E50/Marketplace_customer!E$2</f>
        <v>0</v>
      </c>
      <c r="G50" s="18">
        <f>Marketplace_customer!F50/Marketplace_customer!F$2</f>
        <v>0</v>
      </c>
      <c r="H50" s="18">
        <f>Marketplace_customer!G50/Marketplace_customer!G$2</f>
        <v>0</v>
      </c>
      <c r="I50" s="18">
        <f>Marketplace_customer!H50/Marketplace_customer!H$2</f>
        <v>0</v>
      </c>
      <c r="J50" s="18">
        <f>Marketplace_customer!I50/Marketplace_customer!I$2</f>
        <v>0</v>
      </c>
      <c r="K50" s="18">
        <f>Marketplace_customer!J50/Marketplace_customer!J$2</f>
        <v>0</v>
      </c>
      <c r="L50" s="18">
        <f>Marketplace_customer!K50/Marketplace_customer!K$2</f>
        <v>0</v>
      </c>
      <c r="M50" s="18">
        <f>Marketplace_customer!L50/Marketplace_customer!L$2</f>
        <v>0</v>
      </c>
      <c r="N50" s="18">
        <f>Marketplace_customer!M50/Marketplace_customer!M$2</f>
        <v>0</v>
      </c>
      <c r="O50" s="18">
        <f>Marketplace_customer!N50/Marketplace_customer!N$2</f>
        <v>0</v>
      </c>
      <c r="P50" s="18">
        <f>Marketplace_customer!O50/Marketplace_customer!O$2</f>
        <v>2.425531914893617E-4</v>
      </c>
      <c r="Q50" s="18">
        <f>Marketplace_customer!P50/Marketplace_customer!P$2</f>
        <v>0</v>
      </c>
      <c r="R50" s="18">
        <f>Marketplace_customer!Q50/Marketplace_customer!Q$2</f>
        <v>0</v>
      </c>
      <c r="S50" s="18">
        <f>Marketplace_customer!R50/Marketplace_customer!R$2</f>
        <v>0</v>
      </c>
      <c r="T50" s="18">
        <f>Marketplace_customer!S50/Marketplace_customer!S$2</f>
        <v>0</v>
      </c>
      <c r="U50" s="18">
        <f>Marketplace_customer!T50/Marketplace_customer!T$2</f>
        <v>0</v>
      </c>
      <c r="V50" s="18">
        <f>Marketplace_customer!U50/Marketplace_customer!U$2</f>
        <v>0</v>
      </c>
      <c r="W50" s="18">
        <f>Marketplace_customer!V50/Marketplace_customer!V$2</f>
        <v>0</v>
      </c>
      <c r="X50" s="18">
        <f>Marketplace_customer!W50/Marketplace_customer!W$2</f>
        <v>0</v>
      </c>
      <c r="Y50" s="18">
        <f>Marketplace_customer!X50/Marketplace_customer!X$2</f>
        <v>0</v>
      </c>
      <c r="Z50" s="18">
        <f>Marketplace_customer!Y50/Marketplace_customer!Y$2</f>
        <v>0</v>
      </c>
      <c r="AA50" s="18">
        <f>Marketplace_customer!Z50/Marketplace_customer!Z$2</f>
        <v>0</v>
      </c>
      <c r="AB50" s="18">
        <f>Marketplace_customer!AA50/Marketplace_customer!AA$2</f>
        <v>0</v>
      </c>
      <c r="AC50" s="18">
        <f>Marketplace_customer!AB50/Marketplace_customer!AB$2</f>
        <v>0</v>
      </c>
      <c r="AD50" s="18">
        <f>Marketplace_customer!AC50/Marketplace_customer!AC$2</f>
        <v>0</v>
      </c>
      <c r="AE50" s="18">
        <f>Marketplace_customer!AD50/Marketplace_customer!AD$2</f>
        <v>0</v>
      </c>
      <c r="AF50" s="18">
        <f>Marketplace_customer!AE50/Marketplace_customer!AE$2</f>
        <v>0</v>
      </c>
      <c r="AG50" s="18">
        <f>Marketplace_customer!AF50/Marketplace_customer!AF$2</f>
        <v>0</v>
      </c>
      <c r="AH50" s="18">
        <f>Marketplace_customer!AG50/Marketplace_customer!AG$2</f>
        <v>0</v>
      </c>
      <c r="AI50" s="18">
        <f>Marketplace_customer!AH50/Marketplace_customer!AH$2</f>
        <v>0</v>
      </c>
      <c r="AJ50" s="18">
        <f>Marketplace_customer!AI50/Marketplace_customer!AI$2</f>
        <v>0</v>
      </c>
      <c r="AK50" s="18">
        <f>Marketplace_customer!AJ50/Marketplace_customer!AJ$2</f>
        <v>0</v>
      </c>
      <c r="AL50" s="18">
        <f>Marketplace_customer!AK50/Marketplace_customer!AK$2</f>
        <v>0</v>
      </c>
      <c r="AM50" s="18">
        <f>Marketplace_customer!AL50/Marketplace_customer!AL$2</f>
        <v>0</v>
      </c>
      <c r="AN50" s="18">
        <f>Marketplace_customer!AM50/Marketplace_customer!AM$2</f>
        <v>0</v>
      </c>
      <c r="AO50" s="18">
        <f>Marketplace_customer!AN50/Marketplace_customer!AN$2</f>
        <v>0</v>
      </c>
      <c r="AP50" s="18">
        <f>Marketplace_customer!AO50/Marketplace_customer!AO$2</f>
        <v>0</v>
      </c>
      <c r="AQ50" s="18">
        <f>Marketplace_customer!AP50/Marketplace_customer!AP$2</f>
        <v>0</v>
      </c>
      <c r="AR50" s="18">
        <f>Marketplace_customer!AQ50/Marketplace_customer!AQ$2</f>
        <v>0</v>
      </c>
      <c r="AS50" s="18">
        <f>Marketplace_customer!AR50/Marketplace_customer!AR$2</f>
        <v>0</v>
      </c>
      <c r="AT50" s="18">
        <f>Marketplace_customer!AS50/Marketplace_customer!AS$2</f>
        <v>0</v>
      </c>
      <c r="AU50" s="18">
        <f>Marketplace_customer!AT50/Marketplace_customer!AT$2</f>
        <v>0</v>
      </c>
      <c r="AV50" s="18">
        <f>Marketplace_customer!AU50/Marketplace_customer!AU$2</f>
        <v>0</v>
      </c>
      <c r="AW50" s="18">
        <f>Marketplace_customer!AV50/Marketplace_customer!AV$2</f>
        <v>0</v>
      </c>
      <c r="AX50" s="18">
        <f>Marketplace_customer!AW50/Marketplace_customer!AW$2</f>
        <v>0</v>
      </c>
      <c r="AY50" s="18">
        <f>Marketplace_customer!AX50/Marketplace_customer!AX$2</f>
        <v>0</v>
      </c>
      <c r="AZ50" s="18">
        <f>Marketplace_customer!AY50/Marketplace_customer!AY$2</f>
        <v>0</v>
      </c>
      <c r="BA50" s="18">
        <f>Marketplace_customer!AZ50/Marketplace_customer!AZ$2</f>
        <v>0</v>
      </c>
      <c r="BB50" s="18">
        <f>Marketplace_customer!BA50/Marketplace_customer!BA$2</f>
        <v>0</v>
      </c>
      <c r="BC50" s="18">
        <f>Marketplace_customer!BB50/Marketplace_customer!BB$2</f>
        <v>0</v>
      </c>
      <c r="BD50" s="18">
        <f>Marketplace_customer!BC50/Marketplace_customer!BC$2</f>
        <v>0</v>
      </c>
      <c r="BE50" s="18">
        <f>Marketplace_customer!BD50/Marketplace_customer!BD$2</f>
        <v>0</v>
      </c>
      <c r="BF50" s="18">
        <f>Marketplace_customer!BE50/Marketplace_customer!BE$2</f>
        <v>0</v>
      </c>
      <c r="BG50" s="18">
        <f>Marketplace_customer!BF50/Marketplace_customer!BF$2</f>
        <v>0</v>
      </c>
      <c r="BH50" s="18">
        <f>Marketplace_customer!BG50/Marketplace_customer!BG$2</f>
        <v>0</v>
      </c>
      <c r="BI50" s="18">
        <f>Marketplace_customer!BH50/Marketplace_customer!BH$2</f>
        <v>0</v>
      </c>
      <c r="BJ50" s="18">
        <f>Marketplace_customer!BI50/Marketplace_customer!BI$2</f>
        <v>0</v>
      </c>
      <c r="BK50" s="18">
        <f>Marketplace_customer!BJ50/Marketplace_customer!BJ$2</f>
        <v>0</v>
      </c>
      <c r="BL50" s="18">
        <f>Marketplace_customer!BK50/Marketplace_customer!BK$2</f>
        <v>0</v>
      </c>
      <c r="BM50" s="18">
        <f>Marketplace_customer!BL50/Marketplace_customer!BL$2</f>
        <v>0</v>
      </c>
      <c r="BN50" s="18">
        <f>Marketplace_customer!BM50/Marketplace_customer!BM$2</f>
        <v>0</v>
      </c>
      <c r="BO50" s="18">
        <f>Marketplace_customer!BN50/Marketplace_customer!BN$2</f>
        <v>0</v>
      </c>
      <c r="BP50" s="18">
        <f>Marketplace_customer!BO50/Marketplace_customer!BO$2</f>
        <v>0</v>
      </c>
      <c r="BQ50" s="18">
        <f>Marketplace_customer!BP50/Marketplace_customer!BP$2</f>
        <v>0</v>
      </c>
      <c r="BR50" s="18">
        <f>Marketplace_customer!BQ50/Marketplace_customer!BQ$2</f>
        <v>0</v>
      </c>
      <c r="BS50" s="18">
        <f>Marketplace_customer!BR50/Marketplace_customer!BR$2</f>
        <v>0</v>
      </c>
      <c r="BT50" s="18">
        <f>Marketplace_customer!BS50/Marketplace_customer!BS$2</f>
        <v>0</v>
      </c>
      <c r="BU50" s="18">
        <f>Marketplace_customer!BT50/Marketplace_customer!BT$2</f>
        <v>0</v>
      </c>
      <c r="BV50" s="18">
        <f>Marketplace_customer!BU50/Marketplace_customer!BU$2</f>
        <v>0</v>
      </c>
      <c r="BW50" s="19"/>
      <c r="BX50" s="20">
        <f t="shared" ca="1" si="80"/>
        <v>0</v>
      </c>
      <c r="BY50" s="20">
        <f t="shared" ca="1" si="81"/>
        <v>0</v>
      </c>
      <c r="BZ50" s="20">
        <f t="shared" ca="1" si="82"/>
        <v>0</v>
      </c>
      <c r="CA50" s="20">
        <f t="shared" ca="1" si="83"/>
        <v>0</v>
      </c>
      <c r="CB50" s="20">
        <f t="shared" ca="1" si="84"/>
        <v>0</v>
      </c>
      <c r="CC50" s="20">
        <f t="shared" ca="1" si="85"/>
        <v>0</v>
      </c>
      <c r="CD50" s="20">
        <f t="shared" ca="1" si="86"/>
        <v>0</v>
      </c>
      <c r="CE50" s="20">
        <f t="shared" ca="1" si="87"/>
        <v>0</v>
      </c>
      <c r="CF50" s="20">
        <f t="shared" ca="1" si="88"/>
        <v>0</v>
      </c>
      <c r="CG50" s="20">
        <f t="shared" ca="1" si="89"/>
        <v>0</v>
      </c>
      <c r="CH50" s="20">
        <f t="shared" ca="1" si="90"/>
        <v>0</v>
      </c>
      <c r="CI50" s="20">
        <f t="shared" ca="1" si="91"/>
        <v>0</v>
      </c>
      <c r="CJ50" s="20">
        <f t="shared" ca="1" si="92"/>
        <v>11672797.952002818</v>
      </c>
      <c r="CK50" s="20">
        <f t="shared" ca="1" si="93"/>
        <v>0</v>
      </c>
      <c r="CL50" s="20">
        <f t="shared" ca="1" si="94"/>
        <v>0</v>
      </c>
      <c r="CM50" s="20">
        <f t="shared" ca="1" si="95"/>
        <v>0</v>
      </c>
      <c r="CN50" s="20">
        <f t="shared" ca="1" si="96"/>
        <v>0</v>
      </c>
      <c r="CO50" s="20">
        <f t="shared" ca="1" si="97"/>
        <v>0</v>
      </c>
      <c r="CP50" s="20">
        <f t="shared" ca="1" si="98"/>
        <v>0</v>
      </c>
      <c r="CQ50" s="20">
        <f t="shared" ca="1" si="99"/>
        <v>0</v>
      </c>
      <c r="CR50" s="20">
        <f t="shared" ca="1" si="100"/>
        <v>0</v>
      </c>
      <c r="CS50" s="20">
        <f t="shared" ca="1" si="101"/>
        <v>0</v>
      </c>
      <c r="CT50" s="20">
        <f t="shared" ca="1" si="102"/>
        <v>0</v>
      </c>
      <c r="CU50" s="20">
        <f t="shared" ca="1" si="103"/>
        <v>0</v>
      </c>
      <c r="CV50" s="20">
        <f t="shared" ca="1" si="104"/>
        <v>0</v>
      </c>
      <c r="CW50" s="20">
        <f t="shared" ca="1" si="105"/>
        <v>0</v>
      </c>
      <c r="CX50" s="20">
        <f t="shared" ca="1" si="106"/>
        <v>0</v>
      </c>
      <c r="CY50" s="20">
        <f t="shared" ca="1" si="107"/>
        <v>0</v>
      </c>
      <c r="CZ50" s="20">
        <f t="shared" ca="1" si="108"/>
        <v>0</v>
      </c>
      <c r="DA50" s="20">
        <f t="shared" ca="1" si="109"/>
        <v>0</v>
      </c>
      <c r="DB50" s="20">
        <f t="shared" ca="1" si="110"/>
        <v>0</v>
      </c>
      <c r="DC50" s="20">
        <f t="shared" ca="1" si="111"/>
        <v>0</v>
      </c>
      <c r="DD50" s="20">
        <f t="shared" ca="1" si="112"/>
        <v>0</v>
      </c>
      <c r="DE50" s="20">
        <f t="shared" ca="1" si="113"/>
        <v>0</v>
      </c>
      <c r="DF50" s="20">
        <f t="shared" ca="1" si="114"/>
        <v>0</v>
      </c>
      <c r="DG50" s="20">
        <f t="shared" ca="1" si="115"/>
        <v>0</v>
      </c>
      <c r="DH50" s="20">
        <f t="shared" ca="1" si="116"/>
        <v>0</v>
      </c>
      <c r="DI50" s="20">
        <f t="shared" ca="1" si="117"/>
        <v>0</v>
      </c>
      <c r="DJ50" s="20">
        <f t="shared" ca="1" si="118"/>
        <v>0</v>
      </c>
      <c r="DK50" s="20">
        <f t="shared" ca="1" si="119"/>
        <v>0</v>
      </c>
      <c r="DL50" s="20">
        <f t="shared" ca="1" si="120"/>
        <v>0</v>
      </c>
      <c r="DM50" s="20">
        <f t="shared" ca="1" si="121"/>
        <v>0</v>
      </c>
      <c r="DN50" s="20">
        <f t="shared" ca="1" si="122"/>
        <v>0</v>
      </c>
      <c r="DO50" s="20">
        <f t="shared" ca="1" si="123"/>
        <v>0</v>
      </c>
      <c r="DP50" s="20">
        <f t="shared" ca="1" si="124"/>
        <v>0</v>
      </c>
      <c r="DQ50" s="20">
        <f t="shared" ca="1" si="125"/>
        <v>0</v>
      </c>
      <c r="DR50" s="20">
        <f t="shared" ca="1" si="126"/>
        <v>0</v>
      </c>
      <c r="DS50" s="20">
        <f t="shared" ca="1" si="127"/>
        <v>0</v>
      </c>
      <c r="DT50" s="20">
        <f t="shared" ca="1" si="128"/>
        <v>0</v>
      </c>
      <c r="DU50" s="20">
        <f t="shared" ca="1" si="129"/>
        <v>0</v>
      </c>
      <c r="DV50" s="20">
        <f t="shared" ca="1" si="130"/>
        <v>0</v>
      </c>
      <c r="DW50" s="20">
        <f t="shared" ca="1" si="131"/>
        <v>0</v>
      </c>
      <c r="DX50" s="20">
        <f t="shared" ca="1" si="132"/>
        <v>0</v>
      </c>
      <c r="DY50" s="20">
        <f t="shared" ca="1" si="133"/>
        <v>0</v>
      </c>
      <c r="DZ50" s="20">
        <f t="shared" ca="1" si="134"/>
        <v>0</v>
      </c>
      <c r="EA50" s="20">
        <f t="shared" ca="1" si="135"/>
        <v>0</v>
      </c>
      <c r="EB50" s="20">
        <f t="shared" ca="1" si="136"/>
        <v>0</v>
      </c>
      <c r="EC50" s="20">
        <f t="shared" ca="1" si="137"/>
        <v>0</v>
      </c>
      <c r="ED50" s="20">
        <f t="shared" ca="1" si="138"/>
        <v>0</v>
      </c>
      <c r="EE50" s="20">
        <f t="shared" ca="1" si="139"/>
        <v>0</v>
      </c>
      <c r="EF50" s="20">
        <f t="shared" ca="1" si="140"/>
        <v>0</v>
      </c>
      <c r="EG50" s="20">
        <f t="shared" ca="1" si="141"/>
        <v>0</v>
      </c>
      <c r="EH50" s="20">
        <f t="shared" ca="1" si="142"/>
        <v>0</v>
      </c>
      <c r="EI50" s="20">
        <f t="shared" ca="1" si="143"/>
        <v>0</v>
      </c>
      <c r="EJ50" s="20">
        <f t="shared" ca="1" si="144"/>
        <v>0</v>
      </c>
      <c r="EK50" s="20">
        <f t="shared" ca="1" si="145"/>
        <v>0</v>
      </c>
      <c r="EL50" s="20">
        <f t="shared" ca="1" si="146"/>
        <v>0</v>
      </c>
      <c r="EM50" s="20">
        <f t="shared" ca="1" si="147"/>
        <v>0</v>
      </c>
      <c r="EN50" s="20">
        <f t="shared" ca="1" si="148"/>
        <v>0</v>
      </c>
      <c r="EO50" s="20">
        <f t="shared" ca="1" si="149"/>
        <v>0</v>
      </c>
      <c r="EP50" s="20">
        <f t="shared" ca="1" si="150"/>
        <v>0</v>
      </c>
      <c r="EQ50" s="17" t="s">
        <v>132</v>
      </c>
      <c r="ER50" s="19">
        <v>1089718469158.22</v>
      </c>
      <c r="ES50" s="20">
        <f t="shared" si="79"/>
        <v>27.716940493632293</v>
      </c>
    </row>
    <row r="51" spans="1:149" ht="15">
      <c r="A51" s="21" t="s">
        <v>206</v>
      </c>
      <c r="B51" s="14">
        <f ca="1">IFERROR(__xludf.dummyfunction("QUERY('Countries markets attractivenes'!A:C, ""SELECT C WHERE A = '""&amp;A51&amp;""'"",0)"),26.5393054425721)</f>
        <v>26.5393054425721</v>
      </c>
      <c r="C51" s="14">
        <f t="shared" ca="1" si="151"/>
        <v>335640150576.13293</v>
      </c>
      <c r="D51" s="18">
        <f>Marketplace_customer!C51/Marketplace_customer!C$2</f>
        <v>0</v>
      </c>
      <c r="E51" s="18">
        <f>Marketplace_customer!D51/Marketplace_customer!D$2</f>
        <v>0</v>
      </c>
      <c r="F51" s="18">
        <f>Marketplace_customer!E51/Marketplace_customer!E$2</f>
        <v>0</v>
      </c>
      <c r="G51" s="18">
        <f>Marketplace_customer!F51/Marketplace_customer!F$2</f>
        <v>0</v>
      </c>
      <c r="H51" s="18">
        <f>Marketplace_customer!G51/Marketplace_customer!G$2</f>
        <v>0</v>
      </c>
      <c r="I51" s="18">
        <f>Marketplace_customer!H51/Marketplace_customer!H$2</f>
        <v>0</v>
      </c>
      <c r="J51" s="18">
        <f>Marketplace_customer!I51/Marketplace_customer!I$2</f>
        <v>0</v>
      </c>
      <c r="K51" s="18">
        <f>Marketplace_customer!J51/Marketplace_customer!J$2</f>
        <v>0</v>
      </c>
      <c r="L51" s="18">
        <f>Marketplace_customer!K51/Marketplace_customer!K$2</f>
        <v>0</v>
      </c>
      <c r="M51" s="18">
        <f>Marketplace_customer!L51/Marketplace_customer!L$2</f>
        <v>0</v>
      </c>
      <c r="N51" s="18">
        <f>Marketplace_customer!M51/Marketplace_customer!M$2</f>
        <v>0</v>
      </c>
      <c r="O51" s="18">
        <f>Marketplace_customer!N51/Marketplace_customer!N$2</f>
        <v>0</v>
      </c>
      <c r="P51" s="18">
        <f>Marketplace_customer!O51/Marketplace_customer!O$2</f>
        <v>3.51063829787234E-3</v>
      </c>
      <c r="Q51" s="18">
        <f>Marketplace_customer!P51/Marketplace_customer!P$2</f>
        <v>0</v>
      </c>
      <c r="R51" s="18">
        <f>Marketplace_customer!Q51/Marketplace_customer!Q$2</f>
        <v>0</v>
      </c>
      <c r="S51" s="18">
        <f>Marketplace_customer!R51/Marketplace_customer!R$2</f>
        <v>0</v>
      </c>
      <c r="T51" s="18">
        <f>Marketplace_customer!S51/Marketplace_customer!S$2</f>
        <v>0</v>
      </c>
      <c r="U51" s="18">
        <f>Marketplace_customer!T51/Marketplace_customer!T$2</f>
        <v>0</v>
      </c>
      <c r="V51" s="18">
        <f>Marketplace_customer!U51/Marketplace_customer!U$2</f>
        <v>0</v>
      </c>
      <c r="W51" s="18">
        <f>Marketplace_customer!V51/Marketplace_customer!V$2</f>
        <v>0</v>
      </c>
      <c r="X51" s="18">
        <f>Marketplace_customer!W51/Marketplace_customer!W$2</f>
        <v>0</v>
      </c>
      <c r="Y51" s="18">
        <f>Marketplace_customer!X51/Marketplace_customer!X$2</f>
        <v>0</v>
      </c>
      <c r="Z51" s="18">
        <f>Marketplace_customer!Y51/Marketplace_customer!Y$2</f>
        <v>0</v>
      </c>
      <c r="AA51" s="18">
        <f>Marketplace_customer!Z51/Marketplace_customer!Z$2</f>
        <v>0</v>
      </c>
      <c r="AB51" s="18">
        <f>Marketplace_customer!AA51/Marketplace_customer!AA$2</f>
        <v>0</v>
      </c>
      <c r="AC51" s="18">
        <f>Marketplace_customer!AB51/Marketplace_customer!AB$2</f>
        <v>0</v>
      </c>
      <c r="AD51" s="18">
        <f>Marketplace_customer!AC51/Marketplace_customer!AC$2</f>
        <v>0</v>
      </c>
      <c r="AE51" s="18">
        <f>Marketplace_customer!AD51/Marketplace_customer!AD$2</f>
        <v>0</v>
      </c>
      <c r="AF51" s="18">
        <f>Marketplace_customer!AE51/Marketplace_customer!AE$2</f>
        <v>2.2919508867667122E-3</v>
      </c>
      <c r="AG51" s="18">
        <f>Marketplace_customer!AF51/Marketplace_customer!AF$2</f>
        <v>0</v>
      </c>
      <c r="AH51" s="18">
        <f>Marketplace_customer!AG51/Marketplace_customer!AG$2</f>
        <v>3.175257731958763E-3</v>
      </c>
      <c r="AI51" s="18">
        <f>Marketplace_customer!AH51/Marketplace_customer!AH$2</f>
        <v>0</v>
      </c>
      <c r="AJ51" s="18">
        <f>Marketplace_customer!AI51/Marketplace_customer!AI$2</f>
        <v>0</v>
      </c>
      <c r="AK51" s="18">
        <f>Marketplace_customer!AJ51/Marketplace_customer!AJ$2</f>
        <v>0</v>
      </c>
      <c r="AL51" s="18">
        <f>Marketplace_customer!AK51/Marketplace_customer!AK$2</f>
        <v>0</v>
      </c>
      <c r="AM51" s="18">
        <f>Marketplace_customer!AL51/Marketplace_customer!AL$2</f>
        <v>0</v>
      </c>
      <c r="AN51" s="18">
        <f>Marketplace_customer!AM51/Marketplace_customer!AM$2</f>
        <v>0</v>
      </c>
      <c r="AO51" s="18">
        <f>Marketplace_customer!AN51/Marketplace_customer!AN$2</f>
        <v>0</v>
      </c>
      <c r="AP51" s="18">
        <f>Marketplace_customer!AO51/Marketplace_customer!AO$2</f>
        <v>0</v>
      </c>
      <c r="AQ51" s="18">
        <f>Marketplace_customer!AP51/Marketplace_customer!AP$2</f>
        <v>0</v>
      </c>
      <c r="AR51" s="18">
        <f>Marketplace_customer!AQ51/Marketplace_customer!AQ$2</f>
        <v>0</v>
      </c>
      <c r="AS51" s="18">
        <f>Marketplace_customer!AR51/Marketplace_customer!AR$2</f>
        <v>0</v>
      </c>
      <c r="AT51" s="18">
        <f>Marketplace_customer!AS51/Marketplace_customer!AS$2</f>
        <v>0</v>
      </c>
      <c r="AU51" s="18">
        <f>Marketplace_customer!AT51/Marketplace_customer!AT$2</f>
        <v>0</v>
      </c>
      <c r="AV51" s="18">
        <f>Marketplace_customer!AU51/Marketplace_customer!AU$2</f>
        <v>0</v>
      </c>
      <c r="AW51" s="18">
        <f>Marketplace_customer!AV51/Marketplace_customer!AV$2</f>
        <v>0</v>
      </c>
      <c r="AX51" s="18">
        <f>Marketplace_customer!AW51/Marketplace_customer!AW$2</f>
        <v>0</v>
      </c>
      <c r="AY51" s="18">
        <f>Marketplace_customer!AX51/Marketplace_customer!AX$2</f>
        <v>0</v>
      </c>
      <c r="AZ51" s="18">
        <f>Marketplace_customer!AY51/Marketplace_customer!AY$2</f>
        <v>0</v>
      </c>
      <c r="BA51" s="18">
        <f>Marketplace_customer!AZ51/Marketplace_customer!AZ$2</f>
        <v>0</v>
      </c>
      <c r="BB51" s="18">
        <f>Marketplace_customer!BA51/Marketplace_customer!BA$2</f>
        <v>0</v>
      </c>
      <c r="BC51" s="18">
        <f>Marketplace_customer!BB51/Marketplace_customer!BB$2</f>
        <v>0</v>
      </c>
      <c r="BD51" s="18">
        <f>Marketplace_customer!BC51/Marketplace_customer!BC$2</f>
        <v>0</v>
      </c>
      <c r="BE51" s="18">
        <f>Marketplace_customer!BD51/Marketplace_customer!BD$2</f>
        <v>0</v>
      </c>
      <c r="BF51" s="18">
        <f>Marketplace_customer!BE51/Marketplace_customer!BE$2</f>
        <v>0</v>
      </c>
      <c r="BG51" s="18">
        <f>Marketplace_customer!BF51/Marketplace_customer!BF$2</f>
        <v>0</v>
      </c>
      <c r="BH51" s="18">
        <f>Marketplace_customer!BG51/Marketplace_customer!BG$2</f>
        <v>0</v>
      </c>
      <c r="BI51" s="18">
        <f>Marketplace_customer!BH51/Marketplace_customer!BH$2</f>
        <v>0</v>
      </c>
      <c r="BJ51" s="18">
        <f>Marketplace_customer!BI51/Marketplace_customer!BI$2</f>
        <v>0</v>
      </c>
      <c r="BK51" s="18">
        <f>Marketplace_customer!BJ51/Marketplace_customer!BJ$2</f>
        <v>0</v>
      </c>
      <c r="BL51" s="18">
        <f>Marketplace_customer!BK51/Marketplace_customer!BK$2</f>
        <v>0</v>
      </c>
      <c r="BM51" s="18">
        <f>Marketplace_customer!BL51/Marketplace_customer!BL$2</f>
        <v>0</v>
      </c>
      <c r="BN51" s="18">
        <f>Marketplace_customer!BM51/Marketplace_customer!BM$2</f>
        <v>0</v>
      </c>
      <c r="BO51" s="18">
        <f>Marketplace_customer!BN51/Marketplace_customer!BN$2</f>
        <v>0</v>
      </c>
      <c r="BP51" s="18">
        <f>Marketplace_customer!BO51/Marketplace_customer!BO$2</f>
        <v>0</v>
      </c>
      <c r="BQ51" s="18">
        <f>Marketplace_customer!BP51/Marketplace_customer!BP$2</f>
        <v>0</v>
      </c>
      <c r="BR51" s="18">
        <f>Marketplace_customer!BQ51/Marketplace_customer!BQ$2</f>
        <v>0</v>
      </c>
      <c r="BS51" s="18">
        <f>Marketplace_customer!BR51/Marketplace_customer!BR$2</f>
        <v>0</v>
      </c>
      <c r="BT51" s="18">
        <f>Marketplace_customer!BS51/Marketplace_customer!BS$2</f>
        <v>0</v>
      </c>
      <c r="BU51" s="18">
        <f>Marketplace_customer!BT51/Marketplace_customer!BT$2</f>
        <v>0</v>
      </c>
      <c r="BV51" s="18">
        <f>Marketplace_customer!BU51/Marketplace_customer!BU$2</f>
        <v>0</v>
      </c>
      <c r="BW51" s="19"/>
      <c r="BX51" s="20">
        <f t="shared" ca="1" si="80"/>
        <v>0</v>
      </c>
      <c r="BY51" s="20">
        <f t="shared" ca="1" si="81"/>
        <v>0</v>
      </c>
      <c r="BZ51" s="20">
        <f t="shared" ca="1" si="82"/>
        <v>0</v>
      </c>
      <c r="CA51" s="20">
        <f t="shared" ca="1" si="83"/>
        <v>0</v>
      </c>
      <c r="CB51" s="20">
        <f t="shared" ca="1" si="84"/>
        <v>0</v>
      </c>
      <c r="CC51" s="20">
        <f t="shared" ca="1" si="85"/>
        <v>0</v>
      </c>
      <c r="CD51" s="20">
        <f t="shared" ca="1" si="86"/>
        <v>0</v>
      </c>
      <c r="CE51" s="20">
        <f t="shared" ca="1" si="87"/>
        <v>0</v>
      </c>
      <c r="CF51" s="20">
        <f t="shared" ca="1" si="88"/>
        <v>0</v>
      </c>
      <c r="CG51" s="20">
        <f t="shared" ca="1" si="89"/>
        <v>0</v>
      </c>
      <c r="CH51" s="20">
        <f t="shared" ca="1" si="90"/>
        <v>0</v>
      </c>
      <c r="CI51" s="20">
        <f t="shared" ca="1" si="91"/>
        <v>0</v>
      </c>
      <c r="CJ51" s="20">
        <f t="shared" ca="1" si="92"/>
        <v>1178311166.9162111</v>
      </c>
      <c r="CK51" s="20">
        <f t="shared" ca="1" si="93"/>
        <v>0</v>
      </c>
      <c r="CL51" s="20">
        <f t="shared" ca="1" si="94"/>
        <v>0</v>
      </c>
      <c r="CM51" s="20">
        <f t="shared" ca="1" si="95"/>
        <v>0</v>
      </c>
      <c r="CN51" s="20">
        <f t="shared" ca="1" si="96"/>
        <v>0</v>
      </c>
      <c r="CO51" s="20">
        <f t="shared" ca="1" si="97"/>
        <v>0</v>
      </c>
      <c r="CP51" s="20">
        <f t="shared" ca="1" si="98"/>
        <v>0</v>
      </c>
      <c r="CQ51" s="20">
        <f t="shared" ca="1" si="99"/>
        <v>0</v>
      </c>
      <c r="CR51" s="20">
        <f t="shared" ca="1" si="100"/>
        <v>0</v>
      </c>
      <c r="CS51" s="20">
        <f t="shared" ca="1" si="101"/>
        <v>0</v>
      </c>
      <c r="CT51" s="20">
        <f t="shared" ca="1" si="102"/>
        <v>0</v>
      </c>
      <c r="CU51" s="20">
        <f t="shared" ca="1" si="103"/>
        <v>0</v>
      </c>
      <c r="CV51" s="20">
        <f t="shared" ca="1" si="104"/>
        <v>0</v>
      </c>
      <c r="CW51" s="20">
        <f t="shared" ca="1" si="105"/>
        <v>0</v>
      </c>
      <c r="CX51" s="20">
        <f t="shared" ca="1" si="106"/>
        <v>0</v>
      </c>
      <c r="CY51" s="20">
        <f t="shared" ca="1" si="107"/>
        <v>0</v>
      </c>
      <c r="CZ51" s="20">
        <f t="shared" ca="1" si="108"/>
        <v>769270740.74748075</v>
      </c>
      <c r="DA51" s="20">
        <f t="shared" ca="1" si="109"/>
        <v>0</v>
      </c>
      <c r="DB51" s="20">
        <f t="shared" ca="1" si="110"/>
        <v>1065743983.2726696</v>
      </c>
      <c r="DC51" s="20">
        <f t="shared" ca="1" si="111"/>
        <v>0</v>
      </c>
      <c r="DD51" s="20">
        <f t="shared" ca="1" si="112"/>
        <v>0</v>
      </c>
      <c r="DE51" s="20">
        <f t="shared" ca="1" si="113"/>
        <v>0</v>
      </c>
      <c r="DF51" s="20">
        <f t="shared" ca="1" si="114"/>
        <v>0</v>
      </c>
      <c r="DG51" s="20">
        <f t="shared" ca="1" si="115"/>
        <v>0</v>
      </c>
      <c r="DH51" s="20">
        <f t="shared" ca="1" si="116"/>
        <v>0</v>
      </c>
      <c r="DI51" s="20">
        <f t="shared" ca="1" si="117"/>
        <v>0</v>
      </c>
      <c r="DJ51" s="20">
        <f t="shared" ca="1" si="118"/>
        <v>0</v>
      </c>
      <c r="DK51" s="20">
        <f t="shared" ca="1" si="119"/>
        <v>0</v>
      </c>
      <c r="DL51" s="20">
        <f t="shared" ca="1" si="120"/>
        <v>0</v>
      </c>
      <c r="DM51" s="20">
        <f t="shared" ca="1" si="121"/>
        <v>0</v>
      </c>
      <c r="DN51" s="20">
        <f t="shared" ca="1" si="122"/>
        <v>0</v>
      </c>
      <c r="DO51" s="20">
        <f t="shared" ca="1" si="123"/>
        <v>0</v>
      </c>
      <c r="DP51" s="20">
        <f t="shared" ca="1" si="124"/>
        <v>0</v>
      </c>
      <c r="DQ51" s="20">
        <f t="shared" ca="1" si="125"/>
        <v>0</v>
      </c>
      <c r="DR51" s="20">
        <f t="shared" ca="1" si="126"/>
        <v>0</v>
      </c>
      <c r="DS51" s="20">
        <f t="shared" ca="1" si="127"/>
        <v>0</v>
      </c>
      <c r="DT51" s="20">
        <f t="shared" ca="1" si="128"/>
        <v>0</v>
      </c>
      <c r="DU51" s="20">
        <f t="shared" ca="1" si="129"/>
        <v>0</v>
      </c>
      <c r="DV51" s="20">
        <f t="shared" ca="1" si="130"/>
        <v>0</v>
      </c>
      <c r="DW51" s="20">
        <f t="shared" ca="1" si="131"/>
        <v>0</v>
      </c>
      <c r="DX51" s="20">
        <f t="shared" ca="1" si="132"/>
        <v>0</v>
      </c>
      <c r="DY51" s="20">
        <f t="shared" ca="1" si="133"/>
        <v>0</v>
      </c>
      <c r="DZ51" s="20">
        <f t="shared" ca="1" si="134"/>
        <v>0</v>
      </c>
      <c r="EA51" s="20">
        <f t="shared" ca="1" si="135"/>
        <v>0</v>
      </c>
      <c r="EB51" s="20">
        <f t="shared" ca="1" si="136"/>
        <v>0</v>
      </c>
      <c r="EC51" s="20">
        <f t="shared" ca="1" si="137"/>
        <v>0</v>
      </c>
      <c r="ED51" s="20">
        <f t="shared" ca="1" si="138"/>
        <v>0</v>
      </c>
      <c r="EE51" s="20">
        <f t="shared" ca="1" si="139"/>
        <v>0</v>
      </c>
      <c r="EF51" s="20">
        <f t="shared" ca="1" si="140"/>
        <v>0</v>
      </c>
      <c r="EG51" s="20">
        <f t="shared" ca="1" si="141"/>
        <v>0</v>
      </c>
      <c r="EH51" s="20">
        <f t="shared" ca="1" si="142"/>
        <v>0</v>
      </c>
      <c r="EI51" s="20">
        <f t="shared" ca="1" si="143"/>
        <v>0</v>
      </c>
      <c r="EJ51" s="20">
        <f t="shared" ca="1" si="144"/>
        <v>0</v>
      </c>
      <c r="EK51" s="20">
        <f t="shared" ca="1" si="145"/>
        <v>0</v>
      </c>
      <c r="EL51" s="20">
        <f t="shared" ca="1" si="146"/>
        <v>0</v>
      </c>
      <c r="EM51" s="20">
        <f t="shared" ca="1" si="147"/>
        <v>0</v>
      </c>
      <c r="EN51" s="20">
        <f t="shared" ca="1" si="148"/>
        <v>0</v>
      </c>
      <c r="EO51" s="20">
        <f t="shared" ca="1" si="149"/>
        <v>0</v>
      </c>
      <c r="EP51" s="20">
        <f t="shared" ca="1" si="150"/>
        <v>0</v>
      </c>
      <c r="EQ51" s="17" t="s">
        <v>133</v>
      </c>
      <c r="ER51" s="19">
        <v>1481506137607.29</v>
      </c>
      <c r="ES51" s="20">
        <f t="shared" si="79"/>
        <v>28.024080346784586</v>
      </c>
    </row>
    <row r="52" spans="1:149" ht="15">
      <c r="A52" s="21" t="s">
        <v>207</v>
      </c>
      <c r="B52" s="14">
        <f ca="1">IFERROR(__xludf.dummyfunction("QUERY('Countries markets attractivenes'!A:C, ""SELECT C WHERE A = '""&amp;A52&amp;""'"",0)"),27.7971542084119)</f>
        <v>27.7971542084119</v>
      </c>
      <c r="C52" s="14">
        <f t="shared" ca="1" si="151"/>
        <v>1180730237585.7319</v>
      </c>
      <c r="D52" s="18">
        <f>Marketplace_customer!C52/Marketplace_customer!C$2</f>
        <v>0</v>
      </c>
      <c r="E52" s="18">
        <f>Marketplace_customer!D52/Marketplace_customer!D$2</f>
        <v>0</v>
      </c>
      <c r="F52" s="18">
        <f>Marketplace_customer!E52/Marketplace_customer!E$2</f>
        <v>0</v>
      </c>
      <c r="G52" s="18">
        <f>Marketplace_customer!F52/Marketplace_customer!F$2</f>
        <v>0</v>
      </c>
      <c r="H52" s="18">
        <f>Marketplace_customer!G52/Marketplace_customer!G$2</f>
        <v>0</v>
      </c>
      <c r="I52" s="18">
        <f>Marketplace_customer!H52/Marketplace_customer!H$2</f>
        <v>0</v>
      </c>
      <c r="J52" s="18">
        <f>Marketplace_customer!I52/Marketplace_customer!I$2</f>
        <v>0.89709443099273611</v>
      </c>
      <c r="K52" s="18">
        <f>Marketplace_customer!J52/Marketplace_customer!J$2</f>
        <v>0</v>
      </c>
      <c r="L52" s="18">
        <f>Marketplace_customer!K52/Marketplace_customer!K$2</f>
        <v>0</v>
      </c>
      <c r="M52" s="18">
        <f>Marketplace_customer!L52/Marketplace_customer!L$2</f>
        <v>0</v>
      </c>
      <c r="N52" s="18">
        <f>Marketplace_customer!M52/Marketplace_customer!M$2</f>
        <v>0</v>
      </c>
      <c r="O52" s="18">
        <f>Marketplace_customer!N52/Marketplace_customer!N$2</f>
        <v>0</v>
      </c>
      <c r="P52" s="18">
        <f>Marketplace_customer!O52/Marketplace_customer!O$2</f>
        <v>3.4042553191489366E-3</v>
      </c>
      <c r="Q52" s="18">
        <f>Marketplace_customer!P52/Marketplace_customer!P$2</f>
        <v>0</v>
      </c>
      <c r="R52" s="18">
        <f>Marketplace_customer!Q52/Marketplace_customer!Q$2</f>
        <v>0</v>
      </c>
      <c r="S52" s="18">
        <f>Marketplace_customer!R52/Marketplace_customer!R$2</f>
        <v>0</v>
      </c>
      <c r="T52" s="18">
        <f>Marketplace_customer!S52/Marketplace_customer!S$2</f>
        <v>0</v>
      </c>
      <c r="U52" s="18">
        <f>Marketplace_customer!T52/Marketplace_customer!T$2</f>
        <v>0</v>
      </c>
      <c r="V52" s="18">
        <f>Marketplace_customer!U52/Marketplace_customer!U$2</f>
        <v>0</v>
      </c>
      <c r="W52" s="18">
        <f>Marketplace_customer!V52/Marketplace_customer!V$2</f>
        <v>0</v>
      </c>
      <c r="X52" s="18">
        <f>Marketplace_customer!W52/Marketplace_customer!W$2</f>
        <v>0</v>
      </c>
      <c r="Y52" s="18">
        <f>Marketplace_customer!X52/Marketplace_customer!X$2</f>
        <v>0</v>
      </c>
      <c r="Z52" s="18">
        <f>Marketplace_customer!Y52/Marketplace_customer!Y$2</f>
        <v>0</v>
      </c>
      <c r="AA52" s="18">
        <f>Marketplace_customer!Z52/Marketplace_customer!Z$2</f>
        <v>0</v>
      </c>
      <c r="AB52" s="18">
        <f>Marketplace_customer!AA52/Marketplace_customer!AA$2</f>
        <v>0</v>
      </c>
      <c r="AC52" s="18">
        <f>Marketplace_customer!AB52/Marketplace_customer!AB$2</f>
        <v>0</v>
      </c>
      <c r="AD52" s="18">
        <f>Marketplace_customer!AC52/Marketplace_customer!AC$2</f>
        <v>0</v>
      </c>
      <c r="AE52" s="18">
        <f>Marketplace_customer!AD52/Marketplace_customer!AD$2</f>
        <v>0</v>
      </c>
      <c r="AF52" s="18">
        <f>Marketplace_customer!AE52/Marketplace_customer!AE$2</f>
        <v>0</v>
      </c>
      <c r="AG52" s="18">
        <f>Marketplace_customer!AF52/Marketplace_customer!AF$2</f>
        <v>0.96666666666666667</v>
      </c>
      <c r="AH52" s="18">
        <f>Marketplace_customer!AG52/Marketplace_customer!AG$2</f>
        <v>5.6701030927835058E-3</v>
      </c>
      <c r="AI52" s="18">
        <f>Marketplace_customer!AH52/Marketplace_customer!AH$2</f>
        <v>0</v>
      </c>
      <c r="AJ52" s="18">
        <f>Marketplace_customer!AI52/Marketplace_customer!AI$2</f>
        <v>0</v>
      </c>
      <c r="AK52" s="18">
        <f>Marketplace_customer!AJ52/Marketplace_customer!AJ$2</f>
        <v>0</v>
      </c>
      <c r="AL52" s="18">
        <f>Marketplace_customer!AK52/Marketplace_customer!AK$2</f>
        <v>0</v>
      </c>
      <c r="AM52" s="18">
        <f>Marketplace_customer!AL52/Marketplace_customer!AL$2</f>
        <v>0</v>
      </c>
      <c r="AN52" s="18">
        <f>Marketplace_customer!AM52/Marketplace_customer!AM$2</f>
        <v>0</v>
      </c>
      <c r="AO52" s="18">
        <f>Marketplace_customer!AN52/Marketplace_customer!AN$2</f>
        <v>0</v>
      </c>
      <c r="AP52" s="18">
        <f>Marketplace_customer!AO52/Marketplace_customer!AO$2</f>
        <v>0</v>
      </c>
      <c r="AQ52" s="18">
        <f>Marketplace_customer!AP52/Marketplace_customer!AP$2</f>
        <v>0</v>
      </c>
      <c r="AR52" s="18">
        <f>Marketplace_customer!AQ52/Marketplace_customer!AQ$2</f>
        <v>0</v>
      </c>
      <c r="AS52" s="18">
        <f>Marketplace_customer!AR52/Marketplace_customer!AR$2</f>
        <v>0</v>
      </c>
      <c r="AT52" s="18">
        <f>Marketplace_customer!AS52/Marketplace_customer!AS$2</f>
        <v>0</v>
      </c>
      <c r="AU52" s="18">
        <f>Marketplace_customer!AT52/Marketplace_customer!AT$2</f>
        <v>0</v>
      </c>
      <c r="AV52" s="18">
        <f>Marketplace_customer!AU52/Marketplace_customer!AU$2</f>
        <v>0</v>
      </c>
      <c r="AW52" s="18">
        <f>Marketplace_customer!AV52/Marketplace_customer!AV$2</f>
        <v>0</v>
      </c>
      <c r="AX52" s="18">
        <f>Marketplace_customer!AW52/Marketplace_customer!AW$2</f>
        <v>0</v>
      </c>
      <c r="AY52" s="18">
        <f>Marketplace_customer!AX52/Marketplace_customer!AX$2</f>
        <v>0</v>
      </c>
      <c r="AZ52" s="18">
        <f>Marketplace_customer!AY52/Marketplace_customer!AY$2</f>
        <v>0</v>
      </c>
      <c r="BA52" s="18">
        <f>Marketplace_customer!AZ52/Marketplace_customer!AZ$2</f>
        <v>0</v>
      </c>
      <c r="BB52" s="18">
        <f>Marketplace_customer!BA52/Marketplace_customer!BA$2</f>
        <v>0</v>
      </c>
      <c r="BC52" s="18">
        <f>Marketplace_customer!BB52/Marketplace_customer!BB$2</f>
        <v>0</v>
      </c>
      <c r="BD52" s="18">
        <f>Marketplace_customer!BC52/Marketplace_customer!BC$2</f>
        <v>0</v>
      </c>
      <c r="BE52" s="18">
        <f>Marketplace_customer!BD52/Marketplace_customer!BD$2</f>
        <v>0</v>
      </c>
      <c r="BF52" s="18">
        <f>Marketplace_customer!BE52/Marketplace_customer!BE$2</f>
        <v>0</v>
      </c>
      <c r="BG52" s="18">
        <f>Marketplace_customer!BF52/Marketplace_customer!BF$2</f>
        <v>0</v>
      </c>
      <c r="BH52" s="18">
        <f>Marketplace_customer!BG52/Marketplace_customer!BG$2</f>
        <v>0</v>
      </c>
      <c r="BI52" s="18">
        <f>Marketplace_customer!BH52/Marketplace_customer!BH$2</f>
        <v>0</v>
      </c>
      <c r="BJ52" s="18">
        <f>Marketplace_customer!BI52/Marketplace_customer!BI$2</f>
        <v>0</v>
      </c>
      <c r="BK52" s="18">
        <f>Marketplace_customer!BJ52/Marketplace_customer!BJ$2</f>
        <v>0</v>
      </c>
      <c r="BL52" s="18">
        <f>Marketplace_customer!BK52/Marketplace_customer!BK$2</f>
        <v>0</v>
      </c>
      <c r="BM52" s="18">
        <f>Marketplace_customer!BL52/Marketplace_customer!BL$2</f>
        <v>0</v>
      </c>
      <c r="BN52" s="18">
        <f>Marketplace_customer!BM52/Marketplace_customer!BM$2</f>
        <v>0</v>
      </c>
      <c r="BO52" s="18">
        <f>Marketplace_customer!BN52/Marketplace_customer!BN$2</f>
        <v>0</v>
      </c>
      <c r="BP52" s="18">
        <f>Marketplace_customer!BO52/Marketplace_customer!BO$2</f>
        <v>0</v>
      </c>
      <c r="BQ52" s="18">
        <f>Marketplace_customer!BP52/Marketplace_customer!BP$2</f>
        <v>0</v>
      </c>
      <c r="BR52" s="18">
        <f>Marketplace_customer!BQ52/Marketplace_customer!BQ$2</f>
        <v>0</v>
      </c>
      <c r="BS52" s="18">
        <f>Marketplace_customer!BR52/Marketplace_customer!BR$2</f>
        <v>0</v>
      </c>
      <c r="BT52" s="18">
        <f>Marketplace_customer!BS52/Marketplace_customer!BS$2</f>
        <v>0</v>
      </c>
      <c r="BU52" s="18">
        <f>Marketplace_customer!BT52/Marketplace_customer!BT$2</f>
        <v>0</v>
      </c>
      <c r="BV52" s="18">
        <f>Marketplace_customer!BU52/Marketplace_customer!BU$2</f>
        <v>0</v>
      </c>
      <c r="BW52" s="19"/>
      <c r="BX52" s="20">
        <f t="shared" ca="1" si="80"/>
        <v>0</v>
      </c>
      <c r="BY52" s="20">
        <f t="shared" ca="1" si="81"/>
        <v>0</v>
      </c>
      <c r="BZ52" s="20">
        <f t="shared" ca="1" si="82"/>
        <v>0</v>
      </c>
      <c r="CA52" s="20">
        <f t="shared" ca="1" si="83"/>
        <v>0</v>
      </c>
      <c r="CB52" s="20">
        <f t="shared" ca="1" si="84"/>
        <v>0</v>
      </c>
      <c r="CC52" s="20">
        <f t="shared" ca="1" si="85"/>
        <v>0</v>
      </c>
      <c r="CD52" s="20">
        <f t="shared" ca="1" si="86"/>
        <v>1059226520642.8903</v>
      </c>
      <c r="CE52" s="20">
        <f t="shared" ca="1" si="87"/>
        <v>0</v>
      </c>
      <c r="CF52" s="20">
        <f t="shared" ca="1" si="88"/>
        <v>0</v>
      </c>
      <c r="CG52" s="20">
        <f t="shared" ca="1" si="89"/>
        <v>0</v>
      </c>
      <c r="CH52" s="20">
        <f t="shared" ca="1" si="90"/>
        <v>0</v>
      </c>
      <c r="CI52" s="20">
        <f t="shared" ca="1" si="91"/>
        <v>0</v>
      </c>
      <c r="CJ52" s="20">
        <f t="shared" ca="1" si="92"/>
        <v>4019507191.7812157</v>
      </c>
      <c r="CK52" s="20">
        <f t="shared" ca="1" si="93"/>
        <v>0</v>
      </c>
      <c r="CL52" s="20">
        <f t="shared" ca="1" si="94"/>
        <v>0</v>
      </c>
      <c r="CM52" s="20">
        <f t="shared" ca="1" si="95"/>
        <v>0</v>
      </c>
      <c r="CN52" s="20">
        <f t="shared" ca="1" si="96"/>
        <v>0</v>
      </c>
      <c r="CO52" s="20">
        <f t="shared" ca="1" si="97"/>
        <v>0</v>
      </c>
      <c r="CP52" s="20">
        <f t="shared" ca="1" si="98"/>
        <v>0</v>
      </c>
      <c r="CQ52" s="20">
        <f t="shared" ca="1" si="99"/>
        <v>0</v>
      </c>
      <c r="CR52" s="20">
        <f t="shared" ca="1" si="100"/>
        <v>0</v>
      </c>
      <c r="CS52" s="20">
        <f t="shared" ca="1" si="101"/>
        <v>0</v>
      </c>
      <c r="CT52" s="20">
        <f t="shared" ca="1" si="102"/>
        <v>0</v>
      </c>
      <c r="CU52" s="20">
        <f t="shared" ca="1" si="103"/>
        <v>0</v>
      </c>
      <c r="CV52" s="20">
        <f t="shared" ca="1" si="104"/>
        <v>0</v>
      </c>
      <c r="CW52" s="20">
        <f t="shared" ca="1" si="105"/>
        <v>0</v>
      </c>
      <c r="CX52" s="20">
        <f t="shared" ca="1" si="106"/>
        <v>0</v>
      </c>
      <c r="CY52" s="20">
        <f t="shared" ca="1" si="107"/>
        <v>0</v>
      </c>
      <c r="CZ52" s="20">
        <f t="shared" ca="1" si="108"/>
        <v>0</v>
      </c>
      <c r="DA52" s="20">
        <f t="shared" ca="1" si="109"/>
        <v>1141372562999.5408</v>
      </c>
      <c r="DB52" s="20">
        <f t="shared" ca="1" si="110"/>
        <v>6694862171.877862</v>
      </c>
      <c r="DC52" s="20">
        <f t="shared" ca="1" si="111"/>
        <v>0</v>
      </c>
      <c r="DD52" s="20">
        <f t="shared" ca="1" si="112"/>
        <v>0</v>
      </c>
      <c r="DE52" s="20">
        <f t="shared" ca="1" si="113"/>
        <v>0</v>
      </c>
      <c r="DF52" s="20">
        <f t="shared" ca="1" si="114"/>
        <v>0</v>
      </c>
      <c r="DG52" s="20">
        <f t="shared" ca="1" si="115"/>
        <v>0</v>
      </c>
      <c r="DH52" s="20">
        <f t="shared" ca="1" si="116"/>
        <v>0</v>
      </c>
      <c r="DI52" s="20">
        <f t="shared" ca="1" si="117"/>
        <v>0</v>
      </c>
      <c r="DJ52" s="20">
        <f t="shared" ca="1" si="118"/>
        <v>0</v>
      </c>
      <c r="DK52" s="20">
        <f t="shared" ca="1" si="119"/>
        <v>0</v>
      </c>
      <c r="DL52" s="20">
        <f t="shared" ca="1" si="120"/>
        <v>0</v>
      </c>
      <c r="DM52" s="20">
        <f t="shared" ca="1" si="121"/>
        <v>0</v>
      </c>
      <c r="DN52" s="20">
        <f t="shared" ca="1" si="122"/>
        <v>0</v>
      </c>
      <c r="DO52" s="20">
        <f t="shared" ca="1" si="123"/>
        <v>0</v>
      </c>
      <c r="DP52" s="20">
        <f t="shared" ca="1" si="124"/>
        <v>0</v>
      </c>
      <c r="DQ52" s="20">
        <f t="shared" ca="1" si="125"/>
        <v>0</v>
      </c>
      <c r="DR52" s="20">
        <f t="shared" ca="1" si="126"/>
        <v>0</v>
      </c>
      <c r="DS52" s="20">
        <f t="shared" ca="1" si="127"/>
        <v>0</v>
      </c>
      <c r="DT52" s="20">
        <f t="shared" ca="1" si="128"/>
        <v>0</v>
      </c>
      <c r="DU52" s="20">
        <f t="shared" ca="1" si="129"/>
        <v>0</v>
      </c>
      <c r="DV52" s="20">
        <f t="shared" ca="1" si="130"/>
        <v>0</v>
      </c>
      <c r="DW52" s="20">
        <f t="shared" ca="1" si="131"/>
        <v>0</v>
      </c>
      <c r="DX52" s="20">
        <f t="shared" ca="1" si="132"/>
        <v>0</v>
      </c>
      <c r="DY52" s="20">
        <f t="shared" ca="1" si="133"/>
        <v>0</v>
      </c>
      <c r="DZ52" s="20">
        <f t="shared" ca="1" si="134"/>
        <v>0</v>
      </c>
      <c r="EA52" s="20">
        <f t="shared" ca="1" si="135"/>
        <v>0</v>
      </c>
      <c r="EB52" s="20">
        <f t="shared" ca="1" si="136"/>
        <v>0</v>
      </c>
      <c r="EC52" s="20">
        <f t="shared" ca="1" si="137"/>
        <v>0</v>
      </c>
      <c r="ED52" s="20">
        <f t="shared" ca="1" si="138"/>
        <v>0</v>
      </c>
      <c r="EE52" s="20">
        <f t="shared" ca="1" si="139"/>
        <v>0</v>
      </c>
      <c r="EF52" s="20">
        <f t="shared" ca="1" si="140"/>
        <v>0</v>
      </c>
      <c r="EG52" s="20">
        <f t="shared" ca="1" si="141"/>
        <v>0</v>
      </c>
      <c r="EH52" s="20">
        <f t="shared" ca="1" si="142"/>
        <v>0</v>
      </c>
      <c r="EI52" s="20">
        <f t="shared" ca="1" si="143"/>
        <v>0</v>
      </c>
      <c r="EJ52" s="20">
        <f t="shared" ca="1" si="144"/>
        <v>0</v>
      </c>
      <c r="EK52" s="20">
        <f t="shared" ca="1" si="145"/>
        <v>0</v>
      </c>
      <c r="EL52" s="20">
        <f t="shared" ca="1" si="146"/>
        <v>0</v>
      </c>
      <c r="EM52" s="20">
        <f t="shared" ca="1" si="147"/>
        <v>0</v>
      </c>
      <c r="EN52" s="20">
        <f t="shared" ca="1" si="148"/>
        <v>0</v>
      </c>
      <c r="EO52" s="20">
        <f t="shared" ca="1" si="149"/>
        <v>0</v>
      </c>
      <c r="EP52" s="20">
        <f t="shared" ca="1" si="150"/>
        <v>0</v>
      </c>
      <c r="EQ52" s="17" t="s">
        <v>134</v>
      </c>
      <c r="ER52" s="19">
        <v>1584034483710.29</v>
      </c>
      <c r="ES52" s="20">
        <f t="shared" si="79"/>
        <v>28.090996179102941</v>
      </c>
    </row>
    <row r="53" spans="1:149" ht="15">
      <c r="A53" s="21" t="s">
        <v>208</v>
      </c>
      <c r="B53" s="14">
        <f ca="1">IFERROR(__xludf.dummyfunction("QUERY('Countries markets attractivenes'!A:C, ""SELECT C WHERE A = '""&amp;A53&amp;""'"",0)"),27.0029345341638)</f>
        <v>27.002934534163799</v>
      </c>
      <c r="C53" s="14">
        <f t="shared" ca="1" si="151"/>
        <v>533611847447.40546</v>
      </c>
      <c r="D53" s="18">
        <f>Marketplace_customer!C53/Marketplace_customer!C$2</f>
        <v>0</v>
      </c>
      <c r="E53" s="18">
        <f>Marketplace_customer!D53/Marketplace_customer!D$2</f>
        <v>0</v>
      </c>
      <c r="F53" s="18">
        <f>Marketplace_customer!E53/Marketplace_customer!E$2</f>
        <v>0</v>
      </c>
      <c r="G53" s="18">
        <f>Marketplace_customer!F53/Marketplace_customer!F$2</f>
        <v>0</v>
      </c>
      <c r="H53" s="18">
        <f>Marketplace_customer!G53/Marketplace_customer!G$2</f>
        <v>0</v>
      </c>
      <c r="I53" s="18">
        <f>Marketplace_customer!H53/Marketplace_customer!H$2</f>
        <v>0</v>
      </c>
      <c r="J53" s="18">
        <f>Marketplace_customer!I53/Marketplace_customer!I$2</f>
        <v>0</v>
      </c>
      <c r="K53" s="18">
        <f>Marketplace_customer!J53/Marketplace_customer!J$2</f>
        <v>0</v>
      </c>
      <c r="L53" s="18">
        <f>Marketplace_customer!K53/Marketplace_customer!K$2</f>
        <v>0</v>
      </c>
      <c r="M53" s="18">
        <f>Marketplace_customer!L53/Marketplace_customer!L$2</f>
        <v>0</v>
      </c>
      <c r="N53" s="18">
        <f>Marketplace_customer!M53/Marketplace_customer!M$2</f>
        <v>0</v>
      </c>
      <c r="O53" s="18">
        <f>Marketplace_customer!N53/Marketplace_customer!N$2</f>
        <v>0</v>
      </c>
      <c r="P53" s="18">
        <f>Marketplace_customer!O53/Marketplace_customer!O$2</f>
        <v>1.4893617021276594E-3</v>
      </c>
      <c r="Q53" s="18">
        <f>Marketplace_customer!P53/Marketplace_customer!P$2</f>
        <v>0</v>
      </c>
      <c r="R53" s="18">
        <f>Marketplace_customer!Q53/Marketplace_customer!Q$2</f>
        <v>0</v>
      </c>
      <c r="S53" s="18">
        <f>Marketplace_customer!R53/Marketplace_customer!R$2</f>
        <v>0</v>
      </c>
      <c r="T53" s="18">
        <f>Marketplace_customer!S53/Marketplace_customer!S$2</f>
        <v>0</v>
      </c>
      <c r="U53" s="18">
        <f>Marketplace_customer!T53/Marketplace_customer!T$2</f>
        <v>0</v>
      </c>
      <c r="V53" s="18">
        <f>Marketplace_customer!U53/Marketplace_customer!U$2</f>
        <v>0</v>
      </c>
      <c r="W53" s="18">
        <f>Marketplace_customer!V53/Marketplace_customer!V$2</f>
        <v>0</v>
      </c>
      <c r="X53" s="18">
        <f>Marketplace_customer!W53/Marketplace_customer!W$2</f>
        <v>0</v>
      </c>
      <c r="Y53" s="18">
        <f>Marketplace_customer!X53/Marketplace_customer!X$2</f>
        <v>0</v>
      </c>
      <c r="Z53" s="18">
        <f>Marketplace_customer!Y53/Marketplace_customer!Y$2</f>
        <v>0</v>
      </c>
      <c r="AA53" s="18">
        <f>Marketplace_customer!Z53/Marketplace_customer!Z$2</f>
        <v>0</v>
      </c>
      <c r="AB53" s="18">
        <f>Marketplace_customer!AA53/Marketplace_customer!AA$2</f>
        <v>0</v>
      </c>
      <c r="AC53" s="18">
        <f>Marketplace_customer!AB53/Marketplace_customer!AB$2</f>
        <v>0</v>
      </c>
      <c r="AD53" s="18">
        <f>Marketplace_customer!AC53/Marketplace_customer!AC$2</f>
        <v>0</v>
      </c>
      <c r="AE53" s="18">
        <f>Marketplace_customer!AD53/Marketplace_customer!AD$2</f>
        <v>0</v>
      </c>
      <c r="AF53" s="18">
        <f>Marketplace_customer!AE53/Marketplace_customer!AE$2</f>
        <v>0</v>
      </c>
      <c r="AG53" s="18">
        <f>Marketplace_customer!AF53/Marketplace_customer!AF$2</f>
        <v>0</v>
      </c>
      <c r="AH53" s="18">
        <f>Marketplace_customer!AG53/Marketplace_customer!AG$2</f>
        <v>2.0206185567010308E-3</v>
      </c>
      <c r="AI53" s="18">
        <f>Marketplace_customer!AH53/Marketplace_customer!AH$2</f>
        <v>0</v>
      </c>
      <c r="AJ53" s="18">
        <f>Marketplace_customer!AI53/Marketplace_customer!AI$2</f>
        <v>0</v>
      </c>
      <c r="AK53" s="18">
        <f>Marketplace_customer!AJ53/Marketplace_customer!AJ$2</f>
        <v>0</v>
      </c>
      <c r="AL53" s="18">
        <f>Marketplace_customer!AK53/Marketplace_customer!AK$2</f>
        <v>0</v>
      </c>
      <c r="AM53" s="18">
        <f>Marketplace_customer!AL53/Marketplace_customer!AL$2</f>
        <v>0</v>
      </c>
      <c r="AN53" s="18">
        <f>Marketplace_customer!AM53/Marketplace_customer!AM$2</f>
        <v>0</v>
      </c>
      <c r="AO53" s="18">
        <f>Marketplace_customer!AN53/Marketplace_customer!AN$2</f>
        <v>0</v>
      </c>
      <c r="AP53" s="18">
        <f>Marketplace_customer!AO53/Marketplace_customer!AO$2</f>
        <v>0</v>
      </c>
      <c r="AQ53" s="18">
        <f>Marketplace_customer!AP53/Marketplace_customer!AP$2</f>
        <v>0</v>
      </c>
      <c r="AR53" s="18">
        <f>Marketplace_customer!AQ53/Marketplace_customer!AQ$2</f>
        <v>0</v>
      </c>
      <c r="AS53" s="18">
        <f>Marketplace_customer!AR53/Marketplace_customer!AR$2</f>
        <v>0</v>
      </c>
      <c r="AT53" s="18">
        <f>Marketplace_customer!AS53/Marketplace_customer!AS$2</f>
        <v>0</v>
      </c>
      <c r="AU53" s="18">
        <f>Marketplace_customer!AT53/Marketplace_customer!AT$2</f>
        <v>0</v>
      </c>
      <c r="AV53" s="18">
        <f>Marketplace_customer!AU53/Marketplace_customer!AU$2</f>
        <v>0</v>
      </c>
      <c r="AW53" s="18">
        <f>Marketplace_customer!AV53/Marketplace_customer!AV$2</f>
        <v>0</v>
      </c>
      <c r="AX53" s="18">
        <f>Marketplace_customer!AW53/Marketplace_customer!AW$2</f>
        <v>0</v>
      </c>
      <c r="AY53" s="18">
        <f>Marketplace_customer!AX53/Marketplace_customer!AX$2</f>
        <v>0</v>
      </c>
      <c r="AZ53" s="18">
        <f>Marketplace_customer!AY53/Marketplace_customer!AY$2</f>
        <v>0</v>
      </c>
      <c r="BA53" s="18">
        <f>Marketplace_customer!AZ53/Marketplace_customer!AZ$2</f>
        <v>0</v>
      </c>
      <c r="BB53" s="18">
        <f>Marketplace_customer!BA53/Marketplace_customer!BA$2</f>
        <v>0</v>
      </c>
      <c r="BC53" s="18">
        <f>Marketplace_customer!BB53/Marketplace_customer!BB$2</f>
        <v>0</v>
      </c>
      <c r="BD53" s="18">
        <f>Marketplace_customer!BC53/Marketplace_customer!BC$2</f>
        <v>0</v>
      </c>
      <c r="BE53" s="18">
        <f>Marketplace_customer!BD53/Marketplace_customer!BD$2</f>
        <v>0</v>
      </c>
      <c r="BF53" s="18">
        <f>Marketplace_customer!BE53/Marketplace_customer!BE$2</f>
        <v>0</v>
      </c>
      <c r="BG53" s="18">
        <f>Marketplace_customer!BF53/Marketplace_customer!BF$2</f>
        <v>0</v>
      </c>
      <c r="BH53" s="18">
        <f>Marketplace_customer!BG53/Marketplace_customer!BG$2</f>
        <v>0</v>
      </c>
      <c r="BI53" s="18">
        <f>Marketplace_customer!BH53/Marketplace_customer!BH$2</f>
        <v>0</v>
      </c>
      <c r="BJ53" s="18">
        <f>Marketplace_customer!BI53/Marketplace_customer!BI$2</f>
        <v>0</v>
      </c>
      <c r="BK53" s="18">
        <f>Marketplace_customer!BJ53/Marketplace_customer!BJ$2</f>
        <v>0</v>
      </c>
      <c r="BL53" s="18">
        <f>Marketplace_customer!BK53/Marketplace_customer!BK$2</f>
        <v>0</v>
      </c>
      <c r="BM53" s="18">
        <f>Marketplace_customer!BL53/Marketplace_customer!BL$2</f>
        <v>0</v>
      </c>
      <c r="BN53" s="18">
        <f>Marketplace_customer!BM53/Marketplace_customer!BM$2</f>
        <v>0</v>
      </c>
      <c r="BO53" s="18">
        <f>Marketplace_customer!BN53/Marketplace_customer!BN$2</f>
        <v>0</v>
      </c>
      <c r="BP53" s="18">
        <f>Marketplace_customer!BO53/Marketplace_customer!BO$2</f>
        <v>0</v>
      </c>
      <c r="BQ53" s="18">
        <f>Marketplace_customer!BP53/Marketplace_customer!BP$2</f>
        <v>0</v>
      </c>
      <c r="BR53" s="18">
        <f>Marketplace_customer!BQ53/Marketplace_customer!BQ$2</f>
        <v>0</v>
      </c>
      <c r="BS53" s="18">
        <f>Marketplace_customer!BR53/Marketplace_customer!BR$2</f>
        <v>0</v>
      </c>
      <c r="BT53" s="18">
        <f>Marketplace_customer!BS53/Marketplace_customer!BS$2</f>
        <v>0</v>
      </c>
      <c r="BU53" s="18">
        <f>Marketplace_customer!BT53/Marketplace_customer!BT$2</f>
        <v>0</v>
      </c>
      <c r="BV53" s="18">
        <f>Marketplace_customer!BU53/Marketplace_customer!BU$2</f>
        <v>0</v>
      </c>
      <c r="BW53" s="19"/>
      <c r="BX53" s="20">
        <f t="shared" ca="1" si="80"/>
        <v>0</v>
      </c>
      <c r="BY53" s="20">
        <f t="shared" ca="1" si="81"/>
        <v>0</v>
      </c>
      <c r="BZ53" s="20">
        <f t="shared" ca="1" si="82"/>
        <v>0</v>
      </c>
      <c r="CA53" s="20">
        <f t="shared" ca="1" si="83"/>
        <v>0</v>
      </c>
      <c r="CB53" s="20">
        <f t="shared" ca="1" si="84"/>
        <v>0</v>
      </c>
      <c r="CC53" s="20">
        <f t="shared" ca="1" si="85"/>
        <v>0</v>
      </c>
      <c r="CD53" s="20">
        <f t="shared" ca="1" si="86"/>
        <v>0</v>
      </c>
      <c r="CE53" s="20">
        <f t="shared" ca="1" si="87"/>
        <v>0</v>
      </c>
      <c r="CF53" s="20">
        <f t="shared" ca="1" si="88"/>
        <v>0</v>
      </c>
      <c r="CG53" s="20">
        <f t="shared" ca="1" si="89"/>
        <v>0</v>
      </c>
      <c r="CH53" s="20">
        <f t="shared" ca="1" si="90"/>
        <v>0</v>
      </c>
      <c r="CI53" s="20">
        <f t="shared" ca="1" si="91"/>
        <v>0</v>
      </c>
      <c r="CJ53" s="20">
        <f t="shared" ca="1" si="92"/>
        <v>794741049.38975275</v>
      </c>
      <c r="CK53" s="20">
        <f t="shared" ca="1" si="93"/>
        <v>0</v>
      </c>
      <c r="CL53" s="20">
        <f t="shared" ca="1" si="94"/>
        <v>0</v>
      </c>
      <c r="CM53" s="20">
        <f t="shared" ca="1" si="95"/>
        <v>0</v>
      </c>
      <c r="CN53" s="20">
        <f t="shared" ca="1" si="96"/>
        <v>0</v>
      </c>
      <c r="CO53" s="20">
        <f t="shared" ca="1" si="97"/>
        <v>0</v>
      </c>
      <c r="CP53" s="20">
        <f t="shared" ca="1" si="98"/>
        <v>0</v>
      </c>
      <c r="CQ53" s="20">
        <f t="shared" ca="1" si="99"/>
        <v>0</v>
      </c>
      <c r="CR53" s="20">
        <f t="shared" ca="1" si="100"/>
        <v>0</v>
      </c>
      <c r="CS53" s="20">
        <f t="shared" ca="1" si="101"/>
        <v>0</v>
      </c>
      <c r="CT53" s="20">
        <f t="shared" ca="1" si="102"/>
        <v>0</v>
      </c>
      <c r="CU53" s="20">
        <f t="shared" ca="1" si="103"/>
        <v>0</v>
      </c>
      <c r="CV53" s="20">
        <f t="shared" ca="1" si="104"/>
        <v>0</v>
      </c>
      <c r="CW53" s="20">
        <f t="shared" ca="1" si="105"/>
        <v>0</v>
      </c>
      <c r="CX53" s="20">
        <f t="shared" ca="1" si="106"/>
        <v>0</v>
      </c>
      <c r="CY53" s="20">
        <f t="shared" ca="1" si="107"/>
        <v>0</v>
      </c>
      <c r="CZ53" s="20">
        <f t="shared" ca="1" si="108"/>
        <v>0</v>
      </c>
      <c r="DA53" s="20">
        <f t="shared" ca="1" si="109"/>
        <v>0</v>
      </c>
      <c r="DB53" s="20">
        <f t="shared" ca="1" si="110"/>
        <v>1078226001.0277472</v>
      </c>
      <c r="DC53" s="20">
        <f t="shared" ca="1" si="111"/>
        <v>0</v>
      </c>
      <c r="DD53" s="20">
        <f t="shared" ca="1" si="112"/>
        <v>0</v>
      </c>
      <c r="DE53" s="20">
        <f t="shared" ca="1" si="113"/>
        <v>0</v>
      </c>
      <c r="DF53" s="20">
        <f t="shared" ca="1" si="114"/>
        <v>0</v>
      </c>
      <c r="DG53" s="20">
        <f t="shared" ca="1" si="115"/>
        <v>0</v>
      </c>
      <c r="DH53" s="20">
        <f t="shared" ca="1" si="116"/>
        <v>0</v>
      </c>
      <c r="DI53" s="20">
        <f t="shared" ca="1" si="117"/>
        <v>0</v>
      </c>
      <c r="DJ53" s="20">
        <f t="shared" ca="1" si="118"/>
        <v>0</v>
      </c>
      <c r="DK53" s="20">
        <f t="shared" ca="1" si="119"/>
        <v>0</v>
      </c>
      <c r="DL53" s="20">
        <f t="shared" ca="1" si="120"/>
        <v>0</v>
      </c>
      <c r="DM53" s="20">
        <f t="shared" ca="1" si="121"/>
        <v>0</v>
      </c>
      <c r="DN53" s="20">
        <f t="shared" ca="1" si="122"/>
        <v>0</v>
      </c>
      <c r="DO53" s="20">
        <f t="shared" ca="1" si="123"/>
        <v>0</v>
      </c>
      <c r="DP53" s="20">
        <f t="shared" ca="1" si="124"/>
        <v>0</v>
      </c>
      <c r="DQ53" s="20">
        <f t="shared" ca="1" si="125"/>
        <v>0</v>
      </c>
      <c r="DR53" s="20">
        <f t="shared" ca="1" si="126"/>
        <v>0</v>
      </c>
      <c r="DS53" s="20">
        <f t="shared" ca="1" si="127"/>
        <v>0</v>
      </c>
      <c r="DT53" s="20">
        <f t="shared" ca="1" si="128"/>
        <v>0</v>
      </c>
      <c r="DU53" s="20">
        <f t="shared" ca="1" si="129"/>
        <v>0</v>
      </c>
      <c r="DV53" s="20">
        <f t="shared" ca="1" si="130"/>
        <v>0</v>
      </c>
      <c r="DW53" s="20">
        <f t="shared" ca="1" si="131"/>
        <v>0</v>
      </c>
      <c r="DX53" s="20">
        <f t="shared" ca="1" si="132"/>
        <v>0</v>
      </c>
      <c r="DY53" s="20">
        <f t="shared" ca="1" si="133"/>
        <v>0</v>
      </c>
      <c r="DZ53" s="20">
        <f t="shared" ca="1" si="134"/>
        <v>0</v>
      </c>
      <c r="EA53" s="20">
        <f t="shared" ca="1" si="135"/>
        <v>0</v>
      </c>
      <c r="EB53" s="20">
        <f t="shared" ca="1" si="136"/>
        <v>0</v>
      </c>
      <c r="EC53" s="20">
        <f t="shared" ca="1" si="137"/>
        <v>0</v>
      </c>
      <c r="ED53" s="20">
        <f t="shared" ca="1" si="138"/>
        <v>0</v>
      </c>
      <c r="EE53" s="20">
        <f t="shared" ca="1" si="139"/>
        <v>0</v>
      </c>
      <c r="EF53" s="20">
        <f t="shared" ca="1" si="140"/>
        <v>0</v>
      </c>
      <c r="EG53" s="20">
        <f t="shared" ca="1" si="141"/>
        <v>0</v>
      </c>
      <c r="EH53" s="20">
        <f t="shared" ca="1" si="142"/>
        <v>0</v>
      </c>
      <c r="EI53" s="20">
        <f t="shared" ca="1" si="143"/>
        <v>0</v>
      </c>
      <c r="EJ53" s="20">
        <f t="shared" ca="1" si="144"/>
        <v>0</v>
      </c>
      <c r="EK53" s="20">
        <f t="shared" ca="1" si="145"/>
        <v>0</v>
      </c>
      <c r="EL53" s="20">
        <f t="shared" ca="1" si="146"/>
        <v>0</v>
      </c>
      <c r="EM53" s="20">
        <f t="shared" ca="1" si="147"/>
        <v>0</v>
      </c>
      <c r="EN53" s="20">
        <f t="shared" ca="1" si="148"/>
        <v>0</v>
      </c>
      <c r="EO53" s="20">
        <f t="shared" ca="1" si="149"/>
        <v>0</v>
      </c>
      <c r="EP53" s="20">
        <f t="shared" ca="1" si="150"/>
        <v>0</v>
      </c>
      <c r="EQ53" s="17" t="s">
        <v>135</v>
      </c>
      <c r="ER53" s="19">
        <v>631967740687.32605</v>
      </c>
      <c r="ES53" s="20">
        <f t="shared" si="79"/>
        <v>27.172104186574263</v>
      </c>
    </row>
    <row r="54" spans="1:149" ht="15">
      <c r="A54" s="21" t="s">
        <v>209</v>
      </c>
      <c r="B54" s="14">
        <f ca="1">IFERROR(__xludf.dummyfunction("QUERY('Countries markets attractivenes'!A:C, ""SELECT C WHERE A = '""&amp;A54&amp;""'"",0)"),27.3554046273532)</f>
        <v>27.355404627353199</v>
      </c>
      <c r="C54" s="14">
        <f t="shared" ca="1" si="151"/>
        <v>759103999999.98254</v>
      </c>
      <c r="D54" s="18">
        <f>Marketplace_customer!C54/Marketplace_customer!C$2</f>
        <v>0</v>
      </c>
      <c r="E54" s="18">
        <f>Marketplace_customer!D54/Marketplace_customer!D$2</f>
        <v>0</v>
      </c>
      <c r="F54" s="18">
        <f>Marketplace_customer!E54/Marketplace_customer!E$2</f>
        <v>0</v>
      </c>
      <c r="G54" s="18">
        <f>Marketplace_customer!F54/Marketplace_customer!F$2</f>
        <v>0</v>
      </c>
      <c r="H54" s="18">
        <f>Marketplace_customer!G54/Marketplace_customer!G$2</f>
        <v>0</v>
      </c>
      <c r="I54" s="18">
        <f>Marketplace_customer!H54/Marketplace_customer!H$2</f>
        <v>0</v>
      </c>
      <c r="J54" s="18">
        <f>Marketplace_customer!I54/Marketplace_customer!I$2</f>
        <v>0</v>
      </c>
      <c r="K54" s="18">
        <f>Marketplace_customer!J54/Marketplace_customer!J$2</f>
        <v>0</v>
      </c>
      <c r="L54" s="18">
        <f>Marketplace_customer!K54/Marketplace_customer!K$2</f>
        <v>1.4726261762189905E-3</v>
      </c>
      <c r="M54" s="18">
        <f>Marketplace_customer!L54/Marketplace_customer!L$2</f>
        <v>0</v>
      </c>
      <c r="N54" s="18">
        <f>Marketplace_customer!M54/Marketplace_customer!M$2</f>
        <v>0</v>
      </c>
      <c r="O54" s="18">
        <f>Marketplace_customer!N54/Marketplace_customer!N$2</f>
        <v>0</v>
      </c>
      <c r="P54" s="18">
        <f>Marketplace_customer!O54/Marketplace_customer!O$2</f>
        <v>1.047872340425532E-3</v>
      </c>
      <c r="Q54" s="18">
        <f>Marketplace_customer!P54/Marketplace_customer!P$2</f>
        <v>0</v>
      </c>
      <c r="R54" s="18">
        <f>Marketplace_customer!Q54/Marketplace_customer!Q$2</f>
        <v>0</v>
      </c>
      <c r="S54" s="18">
        <f>Marketplace_customer!R54/Marketplace_customer!R$2</f>
        <v>0</v>
      </c>
      <c r="T54" s="18">
        <f>Marketplace_customer!S54/Marketplace_customer!S$2</f>
        <v>0</v>
      </c>
      <c r="U54" s="18">
        <f>Marketplace_customer!T54/Marketplace_customer!T$2</f>
        <v>0</v>
      </c>
      <c r="V54" s="18">
        <f>Marketplace_customer!U54/Marketplace_customer!U$2</f>
        <v>0</v>
      </c>
      <c r="W54" s="18">
        <f>Marketplace_customer!V54/Marketplace_customer!V$2</f>
        <v>0</v>
      </c>
      <c r="X54" s="18">
        <f>Marketplace_customer!W54/Marketplace_customer!W$2</f>
        <v>0</v>
      </c>
      <c r="Y54" s="18">
        <f>Marketplace_customer!X54/Marketplace_customer!X$2</f>
        <v>0</v>
      </c>
      <c r="Z54" s="18">
        <f>Marketplace_customer!Y54/Marketplace_customer!Y$2</f>
        <v>0.63829787234042545</v>
      </c>
      <c r="AA54" s="18">
        <f>Marketplace_customer!Z54/Marketplace_customer!Z$2</f>
        <v>0</v>
      </c>
      <c r="AB54" s="18">
        <f>Marketplace_customer!AA54/Marketplace_customer!AA$2</f>
        <v>0</v>
      </c>
      <c r="AC54" s="18">
        <f>Marketplace_customer!AB54/Marketplace_customer!AB$2</f>
        <v>0</v>
      </c>
      <c r="AD54" s="18">
        <f>Marketplace_customer!AC54/Marketplace_customer!AC$2</f>
        <v>0</v>
      </c>
      <c r="AE54" s="18">
        <f>Marketplace_customer!AD54/Marketplace_customer!AD$2</f>
        <v>0</v>
      </c>
      <c r="AF54" s="18">
        <f>Marketplace_customer!AE54/Marketplace_customer!AE$2</f>
        <v>0</v>
      </c>
      <c r="AG54" s="18">
        <f>Marketplace_customer!AF54/Marketplace_customer!AF$2</f>
        <v>0</v>
      </c>
      <c r="AH54" s="18">
        <f>Marketplace_customer!AG54/Marketplace_customer!AG$2</f>
        <v>0</v>
      </c>
      <c r="AI54" s="18">
        <f>Marketplace_customer!AH54/Marketplace_customer!AH$2</f>
        <v>0</v>
      </c>
      <c r="AJ54" s="18">
        <f>Marketplace_customer!AI54/Marketplace_customer!AI$2</f>
        <v>0</v>
      </c>
      <c r="AK54" s="18">
        <f>Marketplace_customer!AJ54/Marketplace_customer!AJ$2</f>
        <v>0</v>
      </c>
      <c r="AL54" s="18">
        <f>Marketplace_customer!AK54/Marketplace_customer!AK$2</f>
        <v>0</v>
      </c>
      <c r="AM54" s="18">
        <f>Marketplace_customer!AL54/Marketplace_customer!AL$2</f>
        <v>0</v>
      </c>
      <c r="AN54" s="18">
        <f>Marketplace_customer!AM54/Marketplace_customer!AM$2</f>
        <v>0</v>
      </c>
      <c r="AO54" s="18">
        <f>Marketplace_customer!AN54/Marketplace_customer!AN$2</f>
        <v>0</v>
      </c>
      <c r="AP54" s="18">
        <f>Marketplace_customer!AO54/Marketplace_customer!AO$2</f>
        <v>0</v>
      </c>
      <c r="AQ54" s="18">
        <f>Marketplace_customer!AP54/Marketplace_customer!AP$2</f>
        <v>0</v>
      </c>
      <c r="AR54" s="18">
        <f>Marketplace_customer!AQ54/Marketplace_customer!AQ$2</f>
        <v>0</v>
      </c>
      <c r="AS54" s="18">
        <f>Marketplace_customer!AR54/Marketplace_customer!AR$2</f>
        <v>0</v>
      </c>
      <c r="AT54" s="18">
        <f>Marketplace_customer!AS54/Marketplace_customer!AS$2</f>
        <v>0</v>
      </c>
      <c r="AU54" s="18">
        <f>Marketplace_customer!AT54/Marketplace_customer!AT$2</f>
        <v>0</v>
      </c>
      <c r="AV54" s="18">
        <f>Marketplace_customer!AU54/Marketplace_customer!AU$2</f>
        <v>0</v>
      </c>
      <c r="AW54" s="18">
        <f>Marketplace_customer!AV54/Marketplace_customer!AV$2</f>
        <v>0</v>
      </c>
      <c r="AX54" s="18">
        <f>Marketplace_customer!AW54/Marketplace_customer!AW$2</f>
        <v>0</v>
      </c>
      <c r="AY54" s="18">
        <f>Marketplace_customer!AX54/Marketplace_customer!AX$2</f>
        <v>0</v>
      </c>
      <c r="AZ54" s="18">
        <f>Marketplace_customer!AY54/Marketplace_customer!AY$2</f>
        <v>0</v>
      </c>
      <c r="BA54" s="18">
        <f>Marketplace_customer!AZ54/Marketplace_customer!AZ$2</f>
        <v>0</v>
      </c>
      <c r="BB54" s="18">
        <f>Marketplace_customer!BA54/Marketplace_customer!BA$2</f>
        <v>0</v>
      </c>
      <c r="BC54" s="18">
        <f>Marketplace_customer!BB54/Marketplace_customer!BB$2</f>
        <v>0</v>
      </c>
      <c r="BD54" s="18">
        <f>Marketplace_customer!BC54/Marketplace_customer!BC$2</f>
        <v>0</v>
      </c>
      <c r="BE54" s="18">
        <f>Marketplace_customer!BD54/Marketplace_customer!BD$2</f>
        <v>0</v>
      </c>
      <c r="BF54" s="18">
        <f>Marketplace_customer!BE54/Marketplace_customer!BE$2</f>
        <v>0</v>
      </c>
      <c r="BG54" s="18">
        <f>Marketplace_customer!BF54/Marketplace_customer!BF$2</f>
        <v>0</v>
      </c>
      <c r="BH54" s="18">
        <f>Marketplace_customer!BG54/Marketplace_customer!BG$2</f>
        <v>0</v>
      </c>
      <c r="BI54" s="18">
        <f>Marketplace_customer!BH54/Marketplace_customer!BH$2</f>
        <v>0</v>
      </c>
      <c r="BJ54" s="18">
        <f>Marketplace_customer!BI54/Marketplace_customer!BI$2</f>
        <v>0</v>
      </c>
      <c r="BK54" s="18">
        <f>Marketplace_customer!BJ54/Marketplace_customer!BJ$2</f>
        <v>0.12882341282949064</v>
      </c>
      <c r="BL54" s="18">
        <f>Marketplace_customer!BK54/Marketplace_customer!BK$2</f>
        <v>0</v>
      </c>
      <c r="BM54" s="18">
        <f>Marketplace_customer!BL54/Marketplace_customer!BL$2</f>
        <v>0.33898305084745761</v>
      </c>
      <c r="BN54" s="18">
        <f>Marketplace_customer!BM54/Marketplace_customer!BM$2</f>
        <v>0</v>
      </c>
      <c r="BO54" s="18">
        <f>Marketplace_customer!BN54/Marketplace_customer!BN$2</f>
        <v>0</v>
      </c>
      <c r="BP54" s="18">
        <f>Marketplace_customer!BO54/Marketplace_customer!BO$2</f>
        <v>0</v>
      </c>
      <c r="BQ54" s="18">
        <f>Marketplace_customer!BP54/Marketplace_customer!BP$2</f>
        <v>0</v>
      </c>
      <c r="BR54" s="18">
        <f>Marketplace_customer!BQ54/Marketplace_customer!BQ$2</f>
        <v>0</v>
      </c>
      <c r="BS54" s="18">
        <f>Marketplace_customer!BR54/Marketplace_customer!BR$2</f>
        <v>0</v>
      </c>
      <c r="BT54" s="18">
        <f>Marketplace_customer!BS54/Marketplace_customer!BS$2</f>
        <v>0</v>
      </c>
      <c r="BU54" s="18">
        <f>Marketplace_customer!BT54/Marketplace_customer!BT$2</f>
        <v>0</v>
      </c>
      <c r="BV54" s="18">
        <f>Marketplace_customer!BU54/Marketplace_customer!BU$2</f>
        <v>0</v>
      </c>
      <c r="BW54" s="19"/>
      <c r="BX54" s="20">
        <f t="shared" ca="1" si="80"/>
        <v>0</v>
      </c>
      <c r="BY54" s="20">
        <f t="shared" ca="1" si="81"/>
        <v>0</v>
      </c>
      <c r="BZ54" s="20">
        <f t="shared" ca="1" si="82"/>
        <v>0</v>
      </c>
      <c r="CA54" s="20">
        <f t="shared" ca="1" si="83"/>
        <v>0</v>
      </c>
      <c r="CB54" s="20">
        <f t="shared" ca="1" si="84"/>
        <v>0</v>
      </c>
      <c r="CC54" s="20">
        <f t="shared" ca="1" si="85"/>
        <v>0</v>
      </c>
      <c r="CD54" s="20">
        <f t="shared" ca="1" si="86"/>
        <v>0</v>
      </c>
      <c r="CE54" s="20">
        <f t="shared" ca="1" si="87"/>
        <v>0</v>
      </c>
      <c r="CF54" s="20">
        <f t="shared" ca="1" si="88"/>
        <v>1117876420.8725147</v>
      </c>
      <c r="CG54" s="20">
        <f t="shared" ca="1" si="89"/>
        <v>0</v>
      </c>
      <c r="CH54" s="20">
        <f t="shared" ca="1" si="90"/>
        <v>0</v>
      </c>
      <c r="CI54" s="20">
        <f t="shared" ca="1" si="91"/>
        <v>0</v>
      </c>
      <c r="CJ54" s="20">
        <f t="shared" ca="1" si="92"/>
        <v>795444085.10636473</v>
      </c>
      <c r="CK54" s="20">
        <f t="shared" ca="1" si="93"/>
        <v>0</v>
      </c>
      <c r="CL54" s="20">
        <f t="shared" ca="1" si="94"/>
        <v>0</v>
      </c>
      <c r="CM54" s="20">
        <f t="shared" ca="1" si="95"/>
        <v>0</v>
      </c>
      <c r="CN54" s="20">
        <f t="shared" ca="1" si="96"/>
        <v>0</v>
      </c>
      <c r="CO54" s="20">
        <f t="shared" ca="1" si="97"/>
        <v>0</v>
      </c>
      <c r="CP54" s="20">
        <f t="shared" ca="1" si="98"/>
        <v>0</v>
      </c>
      <c r="CQ54" s="20">
        <f t="shared" ca="1" si="99"/>
        <v>0</v>
      </c>
      <c r="CR54" s="20">
        <f t="shared" ca="1" si="100"/>
        <v>0</v>
      </c>
      <c r="CS54" s="20">
        <f t="shared" ca="1" si="101"/>
        <v>0</v>
      </c>
      <c r="CT54" s="20">
        <f t="shared" ca="1" si="102"/>
        <v>484534468085.09515</v>
      </c>
      <c r="CU54" s="20">
        <f t="shared" ca="1" si="103"/>
        <v>0</v>
      </c>
      <c r="CV54" s="20">
        <f t="shared" ca="1" si="104"/>
        <v>0</v>
      </c>
      <c r="CW54" s="20">
        <f t="shared" ca="1" si="105"/>
        <v>0</v>
      </c>
      <c r="CX54" s="20">
        <f t="shared" ca="1" si="106"/>
        <v>0</v>
      </c>
      <c r="CY54" s="20">
        <f t="shared" ca="1" si="107"/>
        <v>0</v>
      </c>
      <c r="CZ54" s="20">
        <f t="shared" ca="1" si="108"/>
        <v>0</v>
      </c>
      <c r="DA54" s="20">
        <f t="shared" ca="1" si="109"/>
        <v>0</v>
      </c>
      <c r="DB54" s="20">
        <f t="shared" ca="1" si="110"/>
        <v>0</v>
      </c>
      <c r="DC54" s="20">
        <f t="shared" ca="1" si="111"/>
        <v>0</v>
      </c>
      <c r="DD54" s="20">
        <f t="shared" ca="1" si="112"/>
        <v>0</v>
      </c>
      <c r="DE54" s="20">
        <f t="shared" ca="1" si="113"/>
        <v>0</v>
      </c>
      <c r="DF54" s="20">
        <f t="shared" ca="1" si="114"/>
        <v>0</v>
      </c>
      <c r="DG54" s="20">
        <f t="shared" ca="1" si="115"/>
        <v>0</v>
      </c>
      <c r="DH54" s="20">
        <f t="shared" ca="1" si="116"/>
        <v>0</v>
      </c>
      <c r="DI54" s="20">
        <f t="shared" ca="1" si="117"/>
        <v>0</v>
      </c>
      <c r="DJ54" s="20">
        <f t="shared" ca="1" si="118"/>
        <v>0</v>
      </c>
      <c r="DK54" s="20">
        <f t="shared" ca="1" si="119"/>
        <v>0</v>
      </c>
      <c r="DL54" s="20">
        <f t="shared" ca="1" si="120"/>
        <v>0</v>
      </c>
      <c r="DM54" s="20">
        <f t="shared" ca="1" si="121"/>
        <v>0</v>
      </c>
      <c r="DN54" s="20">
        <f t="shared" ca="1" si="122"/>
        <v>0</v>
      </c>
      <c r="DO54" s="20">
        <f t="shared" ca="1" si="123"/>
        <v>0</v>
      </c>
      <c r="DP54" s="20">
        <f t="shared" ca="1" si="124"/>
        <v>0</v>
      </c>
      <c r="DQ54" s="20">
        <f t="shared" ca="1" si="125"/>
        <v>0</v>
      </c>
      <c r="DR54" s="20">
        <f t="shared" ca="1" si="126"/>
        <v>0</v>
      </c>
      <c r="DS54" s="20">
        <f t="shared" ca="1" si="127"/>
        <v>0</v>
      </c>
      <c r="DT54" s="20">
        <f t="shared" ca="1" si="128"/>
        <v>0</v>
      </c>
      <c r="DU54" s="20">
        <f t="shared" ca="1" si="129"/>
        <v>0</v>
      </c>
      <c r="DV54" s="20">
        <f t="shared" ca="1" si="130"/>
        <v>0</v>
      </c>
      <c r="DW54" s="20">
        <f t="shared" ca="1" si="131"/>
        <v>0</v>
      </c>
      <c r="DX54" s="20">
        <f t="shared" ca="1" si="132"/>
        <v>0</v>
      </c>
      <c r="DY54" s="20">
        <f t="shared" ca="1" si="133"/>
        <v>0</v>
      </c>
      <c r="DZ54" s="20">
        <f t="shared" ca="1" si="134"/>
        <v>0</v>
      </c>
      <c r="EA54" s="20">
        <f t="shared" ca="1" si="135"/>
        <v>0</v>
      </c>
      <c r="EB54" s="20">
        <f t="shared" ca="1" si="136"/>
        <v>0</v>
      </c>
      <c r="EC54" s="20">
        <f t="shared" ca="1" si="137"/>
        <v>0</v>
      </c>
      <c r="ED54" s="20">
        <f t="shared" ca="1" si="138"/>
        <v>0</v>
      </c>
      <c r="EE54" s="20">
        <f t="shared" ca="1" si="139"/>
        <v>97790367972.515411</v>
      </c>
      <c r="EF54" s="20">
        <f t="shared" ca="1" si="140"/>
        <v>0</v>
      </c>
      <c r="EG54" s="20">
        <f t="shared" ca="1" si="141"/>
        <v>257323389830.50253</v>
      </c>
      <c r="EH54" s="20">
        <f t="shared" ca="1" si="142"/>
        <v>0</v>
      </c>
      <c r="EI54" s="20">
        <f t="shared" ca="1" si="143"/>
        <v>0</v>
      </c>
      <c r="EJ54" s="20">
        <f t="shared" ca="1" si="144"/>
        <v>0</v>
      </c>
      <c r="EK54" s="20">
        <f t="shared" ca="1" si="145"/>
        <v>0</v>
      </c>
      <c r="EL54" s="20">
        <f t="shared" ca="1" si="146"/>
        <v>0</v>
      </c>
      <c r="EM54" s="20">
        <f t="shared" ca="1" si="147"/>
        <v>0</v>
      </c>
      <c r="EN54" s="20">
        <f t="shared" ca="1" si="148"/>
        <v>0</v>
      </c>
      <c r="EO54" s="20">
        <f t="shared" ca="1" si="149"/>
        <v>0</v>
      </c>
      <c r="EP54" s="20">
        <f t="shared" ca="1" si="150"/>
        <v>0</v>
      </c>
      <c r="EQ54" s="17" t="s">
        <v>136</v>
      </c>
      <c r="ER54" s="19">
        <v>3331572574728.3101</v>
      </c>
      <c r="ES54" s="20">
        <f t="shared" si="79"/>
        <v>28.834465553111638</v>
      </c>
    </row>
    <row r="55" spans="1:149" ht="15">
      <c r="A55" s="21" t="s">
        <v>210</v>
      </c>
      <c r="B55" s="14">
        <f ca="1">IFERROR(__xludf.dummyfunction("QUERY('Countries markets attractivenes'!A:C, ""SELECT C WHERE A = '""&amp;A55&amp;""'"",0)"),26.7931930278003)</f>
        <v>26.793193027800299</v>
      </c>
      <c r="C55" s="14">
        <f t="shared" ca="1" si="151"/>
        <v>432649179610.34125</v>
      </c>
      <c r="D55" s="18">
        <f>Marketplace_customer!C55/Marketplace_customer!C$2</f>
        <v>0</v>
      </c>
      <c r="E55" s="18">
        <f>Marketplace_customer!D55/Marketplace_customer!D$2</f>
        <v>0</v>
      </c>
      <c r="F55" s="18">
        <f>Marketplace_customer!E55/Marketplace_customer!E$2</f>
        <v>0</v>
      </c>
      <c r="G55" s="18">
        <f>Marketplace_customer!F55/Marketplace_customer!F$2</f>
        <v>0</v>
      </c>
      <c r="H55" s="18">
        <f>Marketplace_customer!G55/Marketplace_customer!G$2</f>
        <v>0</v>
      </c>
      <c r="I55" s="18">
        <f>Marketplace_customer!H55/Marketplace_customer!H$2</f>
        <v>0</v>
      </c>
      <c r="J55" s="18">
        <f>Marketplace_customer!I55/Marketplace_customer!I$2</f>
        <v>0</v>
      </c>
      <c r="K55" s="18">
        <f>Marketplace_customer!J55/Marketplace_customer!J$2</f>
        <v>0</v>
      </c>
      <c r="L55" s="18">
        <f>Marketplace_customer!K55/Marketplace_customer!K$2</f>
        <v>0</v>
      </c>
      <c r="M55" s="18">
        <f>Marketplace_customer!L55/Marketplace_customer!L$2</f>
        <v>0</v>
      </c>
      <c r="N55" s="18">
        <f>Marketplace_customer!M55/Marketplace_customer!M$2</f>
        <v>0</v>
      </c>
      <c r="O55" s="18">
        <f>Marketplace_customer!N55/Marketplace_customer!N$2</f>
        <v>0</v>
      </c>
      <c r="P55" s="18">
        <f>Marketplace_customer!O55/Marketplace_customer!O$2</f>
        <v>2.0212765957446808E-3</v>
      </c>
      <c r="Q55" s="18">
        <f>Marketplace_customer!P55/Marketplace_customer!P$2</f>
        <v>0</v>
      </c>
      <c r="R55" s="18">
        <f>Marketplace_customer!Q55/Marketplace_customer!Q$2</f>
        <v>0</v>
      </c>
      <c r="S55" s="18">
        <f>Marketplace_customer!R55/Marketplace_customer!R$2</f>
        <v>0</v>
      </c>
      <c r="T55" s="18">
        <f>Marketplace_customer!S55/Marketplace_customer!S$2</f>
        <v>0</v>
      </c>
      <c r="U55" s="18">
        <f>Marketplace_customer!T55/Marketplace_customer!T$2</f>
        <v>0</v>
      </c>
      <c r="V55" s="18">
        <f>Marketplace_customer!U55/Marketplace_customer!U$2</f>
        <v>0</v>
      </c>
      <c r="W55" s="18">
        <f>Marketplace_customer!V55/Marketplace_customer!V$2</f>
        <v>0</v>
      </c>
      <c r="X55" s="18">
        <f>Marketplace_customer!W55/Marketplace_customer!W$2</f>
        <v>0</v>
      </c>
      <c r="Y55" s="18">
        <f>Marketplace_customer!X55/Marketplace_customer!X$2</f>
        <v>0</v>
      </c>
      <c r="Z55" s="18">
        <f>Marketplace_customer!Y55/Marketplace_customer!Y$2</f>
        <v>0</v>
      </c>
      <c r="AA55" s="18">
        <f>Marketplace_customer!Z55/Marketplace_customer!Z$2</f>
        <v>0</v>
      </c>
      <c r="AB55" s="18">
        <f>Marketplace_customer!AA55/Marketplace_customer!AA$2</f>
        <v>0</v>
      </c>
      <c r="AC55" s="18">
        <f>Marketplace_customer!AB55/Marketplace_customer!AB$2</f>
        <v>0</v>
      </c>
      <c r="AD55" s="18">
        <f>Marketplace_customer!AC55/Marketplace_customer!AC$2</f>
        <v>0</v>
      </c>
      <c r="AE55" s="18">
        <f>Marketplace_customer!AD55/Marketplace_customer!AD$2</f>
        <v>0</v>
      </c>
      <c r="AF55" s="18">
        <f>Marketplace_customer!AE55/Marketplace_customer!AE$2</f>
        <v>0</v>
      </c>
      <c r="AG55" s="18">
        <f>Marketplace_customer!AF55/Marketplace_customer!AF$2</f>
        <v>0</v>
      </c>
      <c r="AH55" s="18">
        <f>Marketplace_customer!AG55/Marketplace_customer!AG$2</f>
        <v>0</v>
      </c>
      <c r="AI55" s="18">
        <f>Marketplace_customer!AH55/Marketplace_customer!AH$2</f>
        <v>0</v>
      </c>
      <c r="AJ55" s="18">
        <f>Marketplace_customer!AI55/Marketplace_customer!AI$2</f>
        <v>0</v>
      </c>
      <c r="AK55" s="18">
        <f>Marketplace_customer!AJ55/Marketplace_customer!AJ$2</f>
        <v>0</v>
      </c>
      <c r="AL55" s="18">
        <f>Marketplace_customer!AK55/Marketplace_customer!AK$2</f>
        <v>0</v>
      </c>
      <c r="AM55" s="18">
        <f>Marketplace_customer!AL55/Marketplace_customer!AL$2</f>
        <v>0</v>
      </c>
      <c r="AN55" s="18">
        <f>Marketplace_customer!AM55/Marketplace_customer!AM$2</f>
        <v>0</v>
      </c>
      <c r="AO55" s="18">
        <f>Marketplace_customer!AN55/Marketplace_customer!AN$2</f>
        <v>0</v>
      </c>
      <c r="AP55" s="18">
        <f>Marketplace_customer!AO55/Marketplace_customer!AO$2</f>
        <v>0</v>
      </c>
      <c r="AQ55" s="18">
        <f>Marketplace_customer!AP55/Marketplace_customer!AP$2</f>
        <v>0</v>
      </c>
      <c r="AR55" s="18">
        <f>Marketplace_customer!AQ55/Marketplace_customer!AQ$2</f>
        <v>0</v>
      </c>
      <c r="AS55" s="18">
        <f>Marketplace_customer!AR55/Marketplace_customer!AR$2</f>
        <v>0</v>
      </c>
      <c r="AT55" s="18">
        <f>Marketplace_customer!AS55/Marketplace_customer!AS$2</f>
        <v>0</v>
      </c>
      <c r="AU55" s="18">
        <f>Marketplace_customer!AT55/Marketplace_customer!AT$2</f>
        <v>0</v>
      </c>
      <c r="AV55" s="18">
        <f>Marketplace_customer!AU55/Marketplace_customer!AU$2</f>
        <v>0</v>
      </c>
      <c r="AW55" s="18">
        <f>Marketplace_customer!AV55/Marketplace_customer!AV$2</f>
        <v>0</v>
      </c>
      <c r="AX55" s="18">
        <f>Marketplace_customer!AW55/Marketplace_customer!AW$2</f>
        <v>0</v>
      </c>
      <c r="AY55" s="18">
        <f>Marketplace_customer!AX55/Marketplace_customer!AX$2</f>
        <v>0</v>
      </c>
      <c r="AZ55" s="18">
        <f>Marketplace_customer!AY55/Marketplace_customer!AY$2</f>
        <v>0</v>
      </c>
      <c r="BA55" s="18">
        <f>Marketplace_customer!AZ55/Marketplace_customer!AZ$2</f>
        <v>0</v>
      </c>
      <c r="BB55" s="18">
        <f>Marketplace_customer!BA55/Marketplace_customer!BA$2</f>
        <v>0</v>
      </c>
      <c r="BC55" s="18">
        <f>Marketplace_customer!BB55/Marketplace_customer!BB$2</f>
        <v>0</v>
      </c>
      <c r="BD55" s="18">
        <f>Marketplace_customer!BC55/Marketplace_customer!BC$2</f>
        <v>0</v>
      </c>
      <c r="BE55" s="18">
        <f>Marketplace_customer!BD55/Marketplace_customer!BD$2</f>
        <v>0</v>
      </c>
      <c r="BF55" s="18">
        <f>Marketplace_customer!BE55/Marketplace_customer!BE$2</f>
        <v>0</v>
      </c>
      <c r="BG55" s="18">
        <f>Marketplace_customer!BF55/Marketplace_customer!BF$2</f>
        <v>0</v>
      </c>
      <c r="BH55" s="18">
        <f>Marketplace_customer!BG55/Marketplace_customer!BG$2</f>
        <v>0</v>
      </c>
      <c r="BI55" s="18">
        <f>Marketplace_customer!BH55/Marketplace_customer!BH$2</f>
        <v>0</v>
      </c>
      <c r="BJ55" s="18">
        <f>Marketplace_customer!BI55/Marketplace_customer!BI$2</f>
        <v>0</v>
      </c>
      <c r="BK55" s="18">
        <f>Marketplace_customer!BJ55/Marketplace_customer!BJ$2</f>
        <v>0.1555790447248464</v>
      </c>
      <c r="BL55" s="18">
        <f>Marketplace_customer!BK55/Marketplace_customer!BK$2</f>
        <v>0</v>
      </c>
      <c r="BM55" s="18">
        <f>Marketplace_customer!BL55/Marketplace_customer!BL$2</f>
        <v>0</v>
      </c>
      <c r="BN55" s="18">
        <f>Marketplace_customer!BM55/Marketplace_customer!BM$2</f>
        <v>0</v>
      </c>
      <c r="BO55" s="18">
        <f>Marketplace_customer!BN55/Marketplace_customer!BN$2</f>
        <v>0</v>
      </c>
      <c r="BP55" s="18">
        <f>Marketplace_customer!BO55/Marketplace_customer!BO$2</f>
        <v>0</v>
      </c>
      <c r="BQ55" s="18">
        <f>Marketplace_customer!BP55/Marketplace_customer!BP$2</f>
        <v>0</v>
      </c>
      <c r="BR55" s="18">
        <f>Marketplace_customer!BQ55/Marketplace_customer!BQ$2</f>
        <v>0</v>
      </c>
      <c r="BS55" s="18">
        <f>Marketplace_customer!BR55/Marketplace_customer!BR$2</f>
        <v>0</v>
      </c>
      <c r="BT55" s="18">
        <f>Marketplace_customer!BS55/Marketplace_customer!BS$2</f>
        <v>0</v>
      </c>
      <c r="BU55" s="18">
        <f>Marketplace_customer!BT55/Marketplace_customer!BT$2</f>
        <v>0</v>
      </c>
      <c r="BV55" s="18">
        <f>Marketplace_customer!BU55/Marketplace_customer!BU$2</f>
        <v>0</v>
      </c>
      <c r="BW55" s="19"/>
      <c r="BX55" s="20">
        <f t="shared" ca="1" si="80"/>
        <v>0</v>
      </c>
      <c r="BY55" s="20">
        <f t="shared" ca="1" si="81"/>
        <v>0</v>
      </c>
      <c r="BZ55" s="20">
        <f t="shared" ca="1" si="82"/>
        <v>0</v>
      </c>
      <c r="CA55" s="20">
        <f t="shared" ca="1" si="83"/>
        <v>0</v>
      </c>
      <c r="CB55" s="20">
        <f t="shared" ca="1" si="84"/>
        <v>0</v>
      </c>
      <c r="CC55" s="20">
        <f t="shared" ca="1" si="85"/>
        <v>0</v>
      </c>
      <c r="CD55" s="20">
        <f t="shared" ca="1" si="86"/>
        <v>0</v>
      </c>
      <c r="CE55" s="20">
        <f t="shared" ca="1" si="87"/>
        <v>0</v>
      </c>
      <c r="CF55" s="20">
        <f t="shared" ca="1" si="88"/>
        <v>0</v>
      </c>
      <c r="CG55" s="20">
        <f t="shared" ca="1" si="89"/>
        <v>0</v>
      </c>
      <c r="CH55" s="20">
        <f t="shared" ca="1" si="90"/>
        <v>0</v>
      </c>
      <c r="CI55" s="20">
        <f t="shared" ca="1" si="91"/>
        <v>0</v>
      </c>
      <c r="CJ55" s="20">
        <f t="shared" ca="1" si="92"/>
        <v>874503660.91451955</v>
      </c>
      <c r="CK55" s="20">
        <f t="shared" ca="1" si="93"/>
        <v>0</v>
      </c>
      <c r="CL55" s="20">
        <f t="shared" ca="1" si="94"/>
        <v>0</v>
      </c>
      <c r="CM55" s="20">
        <f t="shared" ca="1" si="95"/>
        <v>0</v>
      </c>
      <c r="CN55" s="20">
        <f t="shared" ca="1" si="96"/>
        <v>0</v>
      </c>
      <c r="CO55" s="20">
        <f t="shared" ca="1" si="97"/>
        <v>0</v>
      </c>
      <c r="CP55" s="20">
        <f t="shared" ca="1" si="98"/>
        <v>0</v>
      </c>
      <c r="CQ55" s="20">
        <f t="shared" ca="1" si="99"/>
        <v>0</v>
      </c>
      <c r="CR55" s="20">
        <f t="shared" ca="1" si="100"/>
        <v>0</v>
      </c>
      <c r="CS55" s="20">
        <f t="shared" ca="1" si="101"/>
        <v>0</v>
      </c>
      <c r="CT55" s="20">
        <f t="shared" ca="1" si="102"/>
        <v>0</v>
      </c>
      <c r="CU55" s="20">
        <f t="shared" ca="1" si="103"/>
        <v>0</v>
      </c>
      <c r="CV55" s="20">
        <f t="shared" ca="1" si="104"/>
        <v>0</v>
      </c>
      <c r="CW55" s="20">
        <f t="shared" ca="1" si="105"/>
        <v>0</v>
      </c>
      <c r="CX55" s="20">
        <f t="shared" ca="1" si="106"/>
        <v>0</v>
      </c>
      <c r="CY55" s="20">
        <f t="shared" ca="1" si="107"/>
        <v>0</v>
      </c>
      <c r="CZ55" s="20">
        <f t="shared" ca="1" si="108"/>
        <v>0</v>
      </c>
      <c r="DA55" s="20">
        <f t="shared" ca="1" si="109"/>
        <v>0</v>
      </c>
      <c r="DB55" s="20">
        <f t="shared" ca="1" si="110"/>
        <v>0</v>
      </c>
      <c r="DC55" s="20">
        <f t="shared" ca="1" si="111"/>
        <v>0</v>
      </c>
      <c r="DD55" s="20">
        <f t="shared" ca="1" si="112"/>
        <v>0</v>
      </c>
      <c r="DE55" s="20">
        <f t="shared" ca="1" si="113"/>
        <v>0</v>
      </c>
      <c r="DF55" s="20">
        <f t="shared" ca="1" si="114"/>
        <v>0</v>
      </c>
      <c r="DG55" s="20">
        <f t="shared" ca="1" si="115"/>
        <v>0</v>
      </c>
      <c r="DH55" s="20">
        <f t="shared" ca="1" si="116"/>
        <v>0</v>
      </c>
      <c r="DI55" s="20">
        <f t="shared" ca="1" si="117"/>
        <v>0</v>
      </c>
      <c r="DJ55" s="20">
        <f t="shared" ca="1" si="118"/>
        <v>0</v>
      </c>
      <c r="DK55" s="20">
        <f t="shared" ca="1" si="119"/>
        <v>0</v>
      </c>
      <c r="DL55" s="20">
        <f t="shared" ca="1" si="120"/>
        <v>0</v>
      </c>
      <c r="DM55" s="20">
        <f t="shared" ca="1" si="121"/>
        <v>0</v>
      </c>
      <c r="DN55" s="20">
        <f t="shared" ca="1" si="122"/>
        <v>0</v>
      </c>
      <c r="DO55" s="20">
        <f t="shared" ca="1" si="123"/>
        <v>0</v>
      </c>
      <c r="DP55" s="20">
        <f t="shared" ca="1" si="124"/>
        <v>0</v>
      </c>
      <c r="DQ55" s="20">
        <f t="shared" ca="1" si="125"/>
        <v>0</v>
      </c>
      <c r="DR55" s="20">
        <f t="shared" ca="1" si="126"/>
        <v>0</v>
      </c>
      <c r="DS55" s="20">
        <f t="shared" ca="1" si="127"/>
        <v>0</v>
      </c>
      <c r="DT55" s="20">
        <f t="shared" ca="1" si="128"/>
        <v>0</v>
      </c>
      <c r="DU55" s="20">
        <f t="shared" ca="1" si="129"/>
        <v>0</v>
      </c>
      <c r="DV55" s="20">
        <f t="shared" ca="1" si="130"/>
        <v>0</v>
      </c>
      <c r="DW55" s="20">
        <f t="shared" ca="1" si="131"/>
        <v>0</v>
      </c>
      <c r="DX55" s="20">
        <f t="shared" ca="1" si="132"/>
        <v>0</v>
      </c>
      <c r="DY55" s="20">
        <f t="shared" ca="1" si="133"/>
        <v>0</v>
      </c>
      <c r="DZ55" s="20">
        <f t="shared" ca="1" si="134"/>
        <v>0</v>
      </c>
      <c r="EA55" s="20">
        <f t="shared" ca="1" si="135"/>
        <v>0</v>
      </c>
      <c r="EB55" s="20">
        <f t="shared" ca="1" si="136"/>
        <v>0</v>
      </c>
      <c r="EC55" s="20">
        <f t="shared" ca="1" si="137"/>
        <v>0</v>
      </c>
      <c r="ED55" s="20">
        <f t="shared" ca="1" si="138"/>
        <v>0</v>
      </c>
      <c r="EE55" s="20">
        <f t="shared" ca="1" si="139"/>
        <v>67311146064.765388</v>
      </c>
      <c r="EF55" s="20">
        <f t="shared" ca="1" si="140"/>
        <v>0</v>
      </c>
      <c r="EG55" s="20">
        <f t="shared" ca="1" si="141"/>
        <v>0</v>
      </c>
      <c r="EH55" s="20">
        <f t="shared" ca="1" si="142"/>
        <v>0</v>
      </c>
      <c r="EI55" s="20">
        <f t="shared" ca="1" si="143"/>
        <v>0</v>
      </c>
      <c r="EJ55" s="20">
        <f t="shared" ca="1" si="144"/>
        <v>0</v>
      </c>
      <c r="EK55" s="20">
        <f t="shared" ca="1" si="145"/>
        <v>0</v>
      </c>
      <c r="EL55" s="20">
        <f t="shared" ca="1" si="146"/>
        <v>0</v>
      </c>
      <c r="EM55" s="20">
        <f t="shared" ca="1" si="147"/>
        <v>0</v>
      </c>
      <c r="EN55" s="20">
        <f t="shared" ca="1" si="148"/>
        <v>0</v>
      </c>
      <c r="EO55" s="20">
        <f t="shared" ca="1" si="149"/>
        <v>0</v>
      </c>
      <c r="EP55" s="20">
        <f t="shared" ca="1" si="150"/>
        <v>0</v>
      </c>
      <c r="EQ55" s="17" t="s">
        <v>137</v>
      </c>
      <c r="ER55" s="19">
        <v>604976696387.75098</v>
      </c>
      <c r="ES55" s="20">
        <f t="shared" si="79"/>
        <v>27.128455775868048</v>
      </c>
    </row>
    <row r="56" spans="1:149" ht="15">
      <c r="A56" s="21" t="s">
        <v>211</v>
      </c>
      <c r="B56" s="14">
        <f ca="1">IFERROR(__xludf.dummyfunction("QUERY('Countries markets attractivenes'!A:C, ""SELECT C WHERE A = '""&amp;A56&amp;""'"",0)"),23.7588800429125)</f>
        <v>23.758880042912502</v>
      </c>
      <c r="C56" s="14">
        <f t="shared" ca="1" si="151"/>
        <v>20813757908.579216</v>
      </c>
      <c r="D56" s="18">
        <f>Marketplace_customer!C56/Marketplace_customer!C$2</f>
        <v>0</v>
      </c>
      <c r="E56" s="18">
        <f>Marketplace_customer!D56/Marketplace_customer!D$2</f>
        <v>0</v>
      </c>
      <c r="F56" s="18">
        <f>Marketplace_customer!E56/Marketplace_customer!E$2</f>
        <v>0</v>
      </c>
      <c r="G56" s="18">
        <f>Marketplace_customer!F56/Marketplace_customer!F$2</f>
        <v>0</v>
      </c>
      <c r="H56" s="18">
        <f>Marketplace_customer!G56/Marketplace_customer!G$2</f>
        <v>0</v>
      </c>
      <c r="I56" s="18">
        <f>Marketplace_customer!H56/Marketplace_customer!H$2</f>
        <v>0</v>
      </c>
      <c r="J56" s="18">
        <f>Marketplace_customer!I56/Marketplace_customer!I$2</f>
        <v>0</v>
      </c>
      <c r="K56" s="18">
        <f>Marketplace_customer!J56/Marketplace_customer!J$2</f>
        <v>0</v>
      </c>
      <c r="L56" s="18">
        <f>Marketplace_customer!K56/Marketplace_customer!K$2</f>
        <v>0</v>
      </c>
      <c r="M56" s="18">
        <f>Marketplace_customer!L56/Marketplace_customer!L$2</f>
        <v>0</v>
      </c>
      <c r="N56" s="18">
        <f>Marketplace_customer!M56/Marketplace_customer!M$2</f>
        <v>0</v>
      </c>
      <c r="O56" s="18">
        <f>Marketplace_customer!N56/Marketplace_customer!N$2</f>
        <v>0</v>
      </c>
      <c r="P56" s="18">
        <f>Marketplace_customer!O56/Marketplace_customer!O$2</f>
        <v>4.904255319148936E-4</v>
      </c>
      <c r="Q56" s="18">
        <f>Marketplace_customer!P56/Marketplace_customer!P$2</f>
        <v>0</v>
      </c>
      <c r="R56" s="18">
        <f>Marketplace_customer!Q56/Marketplace_customer!Q$2</f>
        <v>0</v>
      </c>
      <c r="S56" s="18">
        <f>Marketplace_customer!R56/Marketplace_customer!R$2</f>
        <v>0</v>
      </c>
      <c r="T56" s="18">
        <f>Marketplace_customer!S56/Marketplace_customer!S$2</f>
        <v>0</v>
      </c>
      <c r="U56" s="18">
        <f>Marketplace_customer!T56/Marketplace_customer!T$2</f>
        <v>0</v>
      </c>
      <c r="V56" s="18">
        <f>Marketplace_customer!U56/Marketplace_customer!U$2</f>
        <v>0</v>
      </c>
      <c r="W56" s="18">
        <f>Marketplace_customer!V56/Marketplace_customer!V$2</f>
        <v>0</v>
      </c>
      <c r="X56" s="18">
        <f>Marketplace_customer!W56/Marketplace_customer!W$2</f>
        <v>0</v>
      </c>
      <c r="Y56" s="18">
        <f>Marketplace_customer!X56/Marketplace_customer!X$2</f>
        <v>0</v>
      </c>
      <c r="Z56" s="18">
        <f>Marketplace_customer!Y56/Marketplace_customer!Y$2</f>
        <v>0</v>
      </c>
      <c r="AA56" s="18">
        <f>Marketplace_customer!Z56/Marketplace_customer!Z$2</f>
        <v>0</v>
      </c>
      <c r="AB56" s="18">
        <f>Marketplace_customer!AA56/Marketplace_customer!AA$2</f>
        <v>0</v>
      </c>
      <c r="AC56" s="18">
        <f>Marketplace_customer!AB56/Marketplace_customer!AB$2</f>
        <v>0</v>
      </c>
      <c r="AD56" s="18">
        <f>Marketplace_customer!AC56/Marketplace_customer!AC$2</f>
        <v>0</v>
      </c>
      <c r="AE56" s="18">
        <f>Marketplace_customer!AD56/Marketplace_customer!AD$2</f>
        <v>0</v>
      </c>
      <c r="AF56" s="18">
        <f>Marketplace_customer!AE56/Marketplace_customer!AE$2</f>
        <v>0</v>
      </c>
      <c r="AG56" s="18">
        <f>Marketplace_customer!AF56/Marketplace_customer!AF$2</f>
        <v>0</v>
      </c>
      <c r="AH56" s="18">
        <f>Marketplace_customer!AG56/Marketplace_customer!AG$2</f>
        <v>0</v>
      </c>
      <c r="AI56" s="18">
        <f>Marketplace_customer!AH56/Marketplace_customer!AH$2</f>
        <v>0</v>
      </c>
      <c r="AJ56" s="18">
        <f>Marketplace_customer!AI56/Marketplace_customer!AI$2</f>
        <v>0</v>
      </c>
      <c r="AK56" s="18">
        <f>Marketplace_customer!AJ56/Marketplace_customer!AJ$2</f>
        <v>0</v>
      </c>
      <c r="AL56" s="18">
        <f>Marketplace_customer!AK56/Marketplace_customer!AK$2</f>
        <v>0</v>
      </c>
      <c r="AM56" s="18">
        <f>Marketplace_customer!AL56/Marketplace_customer!AL$2</f>
        <v>0</v>
      </c>
      <c r="AN56" s="18">
        <f>Marketplace_customer!AM56/Marketplace_customer!AM$2</f>
        <v>0</v>
      </c>
      <c r="AO56" s="18">
        <f>Marketplace_customer!AN56/Marketplace_customer!AN$2</f>
        <v>0</v>
      </c>
      <c r="AP56" s="18">
        <f>Marketplace_customer!AO56/Marketplace_customer!AO$2</f>
        <v>0</v>
      </c>
      <c r="AQ56" s="18">
        <f>Marketplace_customer!AP56/Marketplace_customer!AP$2</f>
        <v>0</v>
      </c>
      <c r="AR56" s="18">
        <f>Marketplace_customer!AQ56/Marketplace_customer!AQ$2</f>
        <v>0</v>
      </c>
      <c r="AS56" s="18">
        <f>Marketplace_customer!AR56/Marketplace_customer!AR$2</f>
        <v>0</v>
      </c>
      <c r="AT56" s="18">
        <f>Marketplace_customer!AS56/Marketplace_customer!AS$2</f>
        <v>0</v>
      </c>
      <c r="AU56" s="18">
        <f>Marketplace_customer!AT56/Marketplace_customer!AT$2</f>
        <v>0</v>
      </c>
      <c r="AV56" s="18">
        <f>Marketplace_customer!AU56/Marketplace_customer!AU$2</f>
        <v>0</v>
      </c>
      <c r="AW56" s="18">
        <f>Marketplace_customer!AV56/Marketplace_customer!AV$2</f>
        <v>0</v>
      </c>
      <c r="AX56" s="18">
        <f>Marketplace_customer!AW56/Marketplace_customer!AW$2</f>
        <v>0</v>
      </c>
      <c r="AY56" s="18">
        <f>Marketplace_customer!AX56/Marketplace_customer!AX$2</f>
        <v>0</v>
      </c>
      <c r="AZ56" s="18">
        <f>Marketplace_customer!AY56/Marketplace_customer!AY$2</f>
        <v>0</v>
      </c>
      <c r="BA56" s="18">
        <f>Marketplace_customer!AZ56/Marketplace_customer!AZ$2</f>
        <v>0</v>
      </c>
      <c r="BB56" s="18">
        <f>Marketplace_customer!BA56/Marketplace_customer!BA$2</f>
        <v>0</v>
      </c>
      <c r="BC56" s="18">
        <f>Marketplace_customer!BB56/Marketplace_customer!BB$2</f>
        <v>0</v>
      </c>
      <c r="BD56" s="18">
        <f>Marketplace_customer!BC56/Marketplace_customer!BC$2</f>
        <v>0</v>
      </c>
      <c r="BE56" s="18">
        <f>Marketplace_customer!BD56/Marketplace_customer!BD$2</f>
        <v>0</v>
      </c>
      <c r="BF56" s="18">
        <f>Marketplace_customer!BE56/Marketplace_customer!BE$2</f>
        <v>0</v>
      </c>
      <c r="BG56" s="18">
        <f>Marketplace_customer!BF56/Marketplace_customer!BF$2</f>
        <v>0</v>
      </c>
      <c r="BH56" s="18">
        <f>Marketplace_customer!BG56/Marketplace_customer!BG$2</f>
        <v>0</v>
      </c>
      <c r="BI56" s="18">
        <f>Marketplace_customer!BH56/Marketplace_customer!BH$2</f>
        <v>0</v>
      </c>
      <c r="BJ56" s="18">
        <f>Marketplace_customer!BI56/Marketplace_customer!BI$2</f>
        <v>0</v>
      </c>
      <c r="BK56" s="18">
        <f>Marketplace_customer!BJ56/Marketplace_customer!BJ$2</f>
        <v>0</v>
      </c>
      <c r="BL56" s="18">
        <f>Marketplace_customer!BK56/Marketplace_customer!BK$2</f>
        <v>0</v>
      </c>
      <c r="BM56" s="18">
        <f>Marketplace_customer!BL56/Marketplace_customer!BL$2</f>
        <v>0</v>
      </c>
      <c r="BN56" s="18">
        <f>Marketplace_customer!BM56/Marketplace_customer!BM$2</f>
        <v>0</v>
      </c>
      <c r="BO56" s="18">
        <f>Marketplace_customer!BN56/Marketplace_customer!BN$2</f>
        <v>0</v>
      </c>
      <c r="BP56" s="18">
        <f>Marketplace_customer!BO56/Marketplace_customer!BO$2</f>
        <v>0</v>
      </c>
      <c r="BQ56" s="18">
        <f>Marketplace_customer!BP56/Marketplace_customer!BP$2</f>
        <v>0</v>
      </c>
      <c r="BR56" s="18">
        <f>Marketplace_customer!BQ56/Marketplace_customer!BQ$2</f>
        <v>0</v>
      </c>
      <c r="BS56" s="18">
        <f>Marketplace_customer!BR56/Marketplace_customer!BR$2</f>
        <v>0</v>
      </c>
      <c r="BT56" s="18">
        <f>Marketplace_customer!BS56/Marketplace_customer!BS$2</f>
        <v>0</v>
      </c>
      <c r="BU56" s="18">
        <f>Marketplace_customer!BT56/Marketplace_customer!BT$2</f>
        <v>0</v>
      </c>
      <c r="BV56" s="18">
        <f>Marketplace_customer!BU56/Marketplace_customer!BU$2</f>
        <v>0</v>
      </c>
      <c r="BW56" s="19"/>
      <c r="BX56" s="20">
        <f t="shared" ca="1" si="80"/>
        <v>0</v>
      </c>
      <c r="BY56" s="20">
        <f t="shared" ca="1" si="81"/>
        <v>0</v>
      </c>
      <c r="BZ56" s="20">
        <f t="shared" ca="1" si="82"/>
        <v>0</v>
      </c>
      <c r="CA56" s="20">
        <f t="shared" ca="1" si="83"/>
        <v>0</v>
      </c>
      <c r="CB56" s="20">
        <f t="shared" ca="1" si="84"/>
        <v>0</v>
      </c>
      <c r="CC56" s="20">
        <f t="shared" ca="1" si="85"/>
        <v>0</v>
      </c>
      <c r="CD56" s="20">
        <f t="shared" ca="1" si="86"/>
        <v>0</v>
      </c>
      <c r="CE56" s="20">
        <f t="shared" ca="1" si="87"/>
        <v>0</v>
      </c>
      <c r="CF56" s="20">
        <f t="shared" ca="1" si="88"/>
        <v>0</v>
      </c>
      <c r="CG56" s="20">
        <f t="shared" ca="1" si="89"/>
        <v>0</v>
      </c>
      <c r="CH56" s="20">
        <f t="shared" ca="1" si="90"/>
        <v>0</v>
      </c>
      <c r="CI56" s="20">
        <f t="shared" ca="1" si="91"/>
        <v>0</v>
      </c>
      <c r="CJ56" s="20">
        <f t="shared" ca="1" si="92"/>
        <v>10207598.293462785</v>
      </c>
      <c r="CK56" s="20">
        <f t="shared" ca="1" si="93"/>
        <v>0</v>
      </c>
      <c r="CL56" s="20">
        <f t="shared" ca="1" si="94"/>
        <v>0</v>
      </c>
      <c r="CM56" s="20">
        <f t="shared" ca="1" si="95"/>
        <v>0</v>
      </c>
      <c r="CN56" s="20">
        <f t="shared" ca="1" si="96"/>
        <v>0</v>
      </c>
      <c r="CO56" s="20">
        <f t="shared" ca="1" si="97"/>
        <v>0</v>
      </c>
      <c r="CP56" s="20">
        <f t="shared" ca="1" si="98"/>
        <v>0</v>
      </c>
      <c r="CQ56" s="20">
        <f t="shared" ca="1" si="99"/>
        <v>0</v>
      </c>
      <c r="CR56" s="20">
        <f t="shared" ca="1" si="100"/>
        <v>0</v>
      </c>
      <c r="CS56" s="20">
        <f t="shared" ca="1" si="101"/>
        <v>0</v>
      </c>
      <c r="CT56" s="20">
        <f t="shared" ca="1" si="102"/>
        <v>0</v>
      </c>
      <c r="CU56" s="20">
        <f t="shared" ca="1" si="103"/>
        <v>0</v>
      </c>
      <c r="CV56" s="20">
        <f t="shared" ca="1" si="104"/>
        <v>0</v>
      </c>
      <c r="CW56" s="20">
        <f t="shared" ca="1" si="105"/>
        <v>0</v>
      </c>
      <c r="CX56" s="20">
        <f t="shared" ca="1" si="106"/>
        <v>0</v>
      </c>
      <c r="CY56" s="20">
        <f t="shared" ca="1" si="107"/>
        <v>0</v>
      </c>
      <c r="CZ56" s="20">
        <f t="shared" ca="1" si="108"/>
        <v>0</v>
      </c>
      <c r="DA56" s="20">
        <f t="shared" ca="1" si="109"/>
        <v>0</v>
      </c>
      <c r="DB56" s="20">
        <f t="shared" ca="1" si="110"/>
        <v>0</v>
      </c>
      <c r="DC56" s="20">
        <f t="shared" ca="1" si="111"/>
        <v>0</v>
      </c>
      <c r="DD56" s="20">
        <f t="shared" ca="1" si="112"/>
        <v>0</v>
      </c>
      <c r="DE56" s="20">
        <f t="shared" ca="1" si="113"/>
        <v>0</v>
      </c>
      <c r="DF56" s="20">
        <f t="shared" ca="1" si="114"/>
        <v>0</v>
      </c>
      <c r="DG56" s="20">
        <f t="shared" ca="1" si="115"/>
        <v>0</v>
      </c>
      <c r="DH56" s="20">
        <f t="shared" ca="1" si="116"/>
        <v>0</v>
      </c>
      <c r="DI56" s="20">
        <f t="shared" ca="1" si="117"/>
        <v>0</v>
      </c>
      <c r="DJ56" s="20">
        <f t="shared" ca="1" si="118"/>
        <v>0</v>
      </c>
      <c r="DK56" s="20">
        <f t="shared" ca="1" si="119"/>
        <v>0</v>
      </c>
      <c r="DL56" s="20">
        <f t="shared" ca="1" si="120"/>
        <v>0</v>
      </c>
      <c r="DM56" s="20">
        <f t="shared" ca="1" si="121"/>
        <v>0</v>
      </c>
      <c r="DN56" s="20">
        <f t="shared" ca="1" si="122"/>
        <v>0</v>
      </c>
      <c r="DO56" s="20">
        <f t="shared" ca="1" si="123"/>
        <v>0</v>
      </c>
      <c r="DP56" s="20">
        <f t="shared" ca="1" si="124"/>
        <v>0</v>
      </c>
      <c r="DQ56" s="20">
        <f t="shared" ca="1" si="125"/>
        <v>0</v>
      </c>
      <c r="DR56" s="20">
        <f t="shared" ca="1" si="126"/>
        <v>0</v>
      </c>
      <c r="DS56" s="20">
        <f t="shared" ca="1" si="127"/>
        <v>0</v>
      </c>
      <c r="DT56" s="20">
        <f t="shared" ca="1" si="128"/>
        <v>0</v>
      </c>
      <c r="DU56" s="20">
        <f t="shared" ca="1" si="129"/>
        <v>0</v>
      </c>
      <c r="DV56" s="20">
        <f t="shared" ca="1" si="130"/>
        <v>0</v>
      </c>
      <c r="DW56" s="20">
        <f t="shared" ca="1" si="131"/>
        <v>0</v>
      </c>
      <c r="DX56" s="20">
        <f t="shared" ca="1" si="132"/>
        <v>0</v>
      </c>
      <c r="DY56" s="20">
        <f t="shared" ca="1" si="133"/>
        <v>0</v>
      </c>
      <c r="DZ56" s="20">
        <f t="shared" ca="1" si="134"/>
        <v>0</v>
      </c>
      <c r="EA56" s="20">
        <f t="shared" ca="1" si="135"/>
        <v>0</v>
      </c>
      <c r="EB56" s="20">
        <f t="shared" ca="1" si="136"/>
        <v>0</v>
      </c>
      <c r="EC56" s="20">
        <f t="shared" ca="1" si="137"/>
        <v>0</v>
      </c>
      <c r="ED56" s="20">
        <f t="shared" ca="1" si="138"/>
        <v>0</v>
      </c>
      <c r="EE56" s="20">
        <f t="shared" ca="1" si="139"/>
        <v>0</v>
      </c>
      <c r="EF56" s="20">
        <f t="shared" ca="1" si="140"/>
        <v>0</v>
      </c>
      <c r="EG56" s="20">
        <f t="shared" ca="1" si="141"/>
        <v>0</v>
      </c>
      <c r="EH56" s="20">
        <f t="shared" ca="1" si="142"/>
        <v>0</v>
      </c>
      <c r="EI56" s="20">
        <f t="shared" ca="1" si="143"/>
        <v>0</v>
      </c>
      <c r="EJ56" s="20">
        <f t="shared" ca="1" si="144"/>
        <v>0</v>
      </c>
      <c r="EK56" s="20">
        <f t="shared" ca="1" si="145"/>
        <v>0</v>
      </c>
      <c r="EL56" s="20">
        <f t="shared" ca="1" si="146"/>
        <v>0</v>
      </c>
      <c r="EM56" s="20">
        <f t="shared" ca="1" si="147"/>
        <v>0</v>
      </c>
      <c r="EN56" s="20">
        <f t="shared" ca="1" si="148"/>
        <v>0</v>
      </c>
      <c r="EO56" s="20">
        <f t="shared" ca="1" si="149"/>
        <v>0</v>
      </c>
      <c r="EP56" s="20">
        <f t="shared" ca="1" si="150"/>
        <v>0</v>
      </c>
      <c r="EQ56" s="17" t="s">
        <v>138</v>
      </c>
      <c r="ER56" s="19">
        <v>238467361789.57001</v>
      </c>
      <c r="ES56" s="20">
        <f t="shared" si="79"/>
        <v>26.197498290067813</v>
      </c>
    </row>
    <row r="57" spans="1:149" ht="15">
      <c r="A57" s="21" t="s">
        <v>212</v>
      </c>
      <c r="B57" s="14">
        <f ca="1">IFERROR(__xludf.dummyfunction("QUERY('Countries markets attractivenes'!A:C, ""SELECT C WHERE A = '""&amp;A57&amp;""'"",0)"),27.6462315118319)</f>
        <v>27.6462315118319</v>
      </c>
      <c r="C57" s="14">
        <f t="shared" ca="1" si="151"/>
        <v>1015326662715.2473</v>
      </c>
      <c r="D57" s="18">
        <f>Marketplace_customer!C57/Marketplace_customer!C$2</f>
        <v>0</v>
      </c>
      <c r="E57" s="18">
        <f>Marketplace_customer!D57/Marketplace_customer!D$2</f>
        <v>0</v>
      </c>
      <c r="F57" s="18">
        <f>Marketplace_customer!E57/Marketplace_customer!E$2</f>
        <v>0</v>
      </c>
      <c r="G57" s="18">
        <f>Marketplace_customer!F57/Marketplace_customer!F$2</f>
        <v>0</v>
      </c>
      <c r="H57" s="18">
        <f>Marketplace_customer!G57/Marketplace_customer!G$2</f>
        <v>0</v>
      </c>
      <c r="I57" s="18">
        <f>Marketplace_customer!H57/Marketplace_customer!H$2</f>
        <v>0</v>
      </c>
      <c r="J57" s="18">
        <f>Marketplace_customer!I57/Marketplace_customer!I$2</f>
        <v>0</v>
      </c>
      <c r="K57" s="18">
        <f>Marketplace_customer!J57/Marketplace_customer!J$2</f>
        <v>0</v>
      </c>
      <c r="L57" s="18">
        <f>Marketplace_customer!K57/Marketplace_customer!K$2</f>
        <v>0</v>
      </c>
      <c r="M57" s="18">
        <f>Marketplace_customer!L57/Marketplace_customer!L$2</f>
        <v>0</v>
      </c>
      <c r="N57" s="18">
        <f>Marketplace_customer!M57/Marketplace_customer!M$2</f>
        <v>0</v>
      </c>
      <c r="O57" s="18">
        <f>Marketplace_customer!N57/Marketplace_customer!N$2</f>
        <v>0</v>
      </c>
      <c r="P57" s="18">
        <f>Marketplace_customer!O57/Marketplace_customer!O$2</f>
        <v>2.3404255319148938E-3</v>
      </c>
      <c r="Q57" s="18">
        <f>Marketplace_customer!P57/Marketplace_customer!P$2</f>
        <v>0</v>
      </c>
      <c r="R57" s="18">
        <f>Marketplace_customer!Q57/Marketplace_customer!Q$2</f>
        <v>0</v>
      </c>
      <c r="S57" s="18">
        <f>Marketplace_customer!R57/Marketplace_customer!R$2</f>
        <v>0</v>
      </c>
      <c r="T57" s="18">
        <f>Marketplace_customer!S57/Marketplace_customer!S$2</f>
        <v>0</v>
      </c>
      <c r="U57" s="18">
        <f>Marketplace_customer!T57/Marketplace_customer!T$2</f>
        <v>0</v>
      </c>
      <c r="V57" s="18">
        <f>Marketplace_customer!U57/Marketplace_customer!U$2</f>
        <v>0</v>
      </c>
      <c r="W57" s="18">
        <f>Marketplace_customer!V57/Marketplace_customer!V$2</f>
        <v>0</v>
      </c>
      <c r="X57" s="18">
        <f>Marketplace_customer!W57/Marketplace_customer!W$2</f>
        <v>0</v>
      </c>
      <c r="Y57" s="18">
        <f>Marketplace_customer!X57/Marketplace_customer!X$2</f>
        <v>0</v>
      </c>
      <c r="Z57" s="18">
        <f>Marketplace_customer!Y57/Marketplace_customer!Y$2</f>
        <v>0</v>
      </c>
      <c r="AA57" s="18">
        <f>Marketplace_customer!Z57/Marketplace_customer!Z$2</f>
        <v>0</v>
      </c>
      <c r="AB57" s="18">
        <f>Marketplace_customer!AA57/Marketplace_customer!AA$2</f>
        <v>0</v>
      </c>
      <c r="AC57" s="18">
        <f>Marketplace_customer!AB57/Marketplace_customer!AB$2</f>
        <v>0</v>
      </c>
      <c r="AD57" s="18">
        <f>Marketplace_customer!AC57/Marketplace_customer!AC$2</f>
        <v>2.5220125786163524E-3</v>
      </c>
      <c r="AE57" s="18">
        <f>Marketplace_customer!AD57/Marketplace_customer!AD$2</f>
        <v>0</v>
      </c>
      <c r="AF57" s="18">
        <f>Marketplace_customer!AE57/Marketplace_customer!AE$2</f>
        <v>1.2414733969986357E-3</v>
      </c>
      <c r="AG57" s="18">
        <f>Marketplace_customer!AF57/Marketplace_customer!AF$2</f>
        <v>0</v>
      </c>
      <c r="AH57" s="18">
        <f>Marketplace_customer!AG57/Marketplace_customer!AG$2</f>
        <v>2.0876288659793817E-3</v>
      </c>
      <c r="AI57" s="18">
        <f>Marketplace_customer!AH57/Marketplace_customer!AH$2</f>
        <v>0</v>
      </c>
      <c r="AJ57" s="18">
        <f>Marketplace_customer!AI57/Marketplace_customer!AI$2</f>
        <v>0</v>
      </c>
      <c r="AK57" s="18">
        <f>Marketplace_customer!AJ57/Marketplace_customer!AJ$2</f>
        <v>0</v>
      </c>
      <c r="AL57" s="18">
        <f>Marketplace_customer!AK57/Marketplace_customer!AK$2</f>
        <v>0</v>
      </c>
      <c r="AM57" s="18">
        <f>Marketplace_customer!AL57/Marketplace_customer!AL$2</f>
        <v>0</v>
      </c>
      <c r="AN57" s="18">
        <f>Marketplace_customer!AM57/Marketplace_customer!AM$2</f>
        <v>0</v>
      </c>
      <c r="AO57" s="18">
        <f>Marketplace_customer!AN57/Marketplace_customer!AN$2</f>
        <v>0.99089989888776542</v>
      </c>
      <c r="AP57" s="18">
        <f>Marketplace_customer!AO57/Marketplace_customer!AO$2</f>
        <v>0</v>
      </c>
      <c r="AQ57" s="18">
        <f>Marketplace_customer!AP57/Marketplace_customer!AP$2</f>
        <v>0</v>
      </c>
      <c r="AR57" s="18">
        <f>Marketplace_customer!AQ57/Marketplace_customer!AQ$2</f>
        <v>0</v>
      </c>
      <c r="AS57" s="18">
        <f>Marketplace_customer!AR57/Marketplace_customer!AR$2</f>
        <v>0</v>
      </c>
      <c r="AT57" s="18">
        <f>Marketplace_customer!AS57/Marketplace_customer!AS$2</f>
        <v>0</v>
      </c>
      <c r="AU57" s="18">
        <f>Marketplace_customer!AT57/Marketplace_customer!AT$2</f>
        <v>0</v>
      </c>
      <c r="AV57" s="18">
        <f>Marketplace_customer!AU57/Marketplace_customer!AU$2</f>
        <v>0</v>
      </c>
      <c r="AW57" s="18">
        <f>Marketplace_customer!AV57/Marketplace_customer!AV$2</f>
        <v>0</v>
      </c>
      <c r="AX57" s="18">
        <f>Marketplace_customer!AW57/Marketplace_customer!AW$2</f>
        <v>0</v>
      </c>
      <c r="AY57" s="18">
        <f>Marketplace_customer!AX57/Marketplace_customer!AX$2</f>
        <v>0</v>
      </c>
      <c r="AZ57" s="18">
        <f>Marketplace_customer!AY57/Marketplace_customer!AY$2</f>
        <v>0</v>
      </c>
      <c r="BA57" s="18">
        <f>Marketplace_customer!AZ57/Marketplace_customer!AZ$2</f>
        <v>0</v>
      </c>
      <c r="BB57" s="18">
        <f>Marketplace_customer!BA57/Marketplace_customer!BA$2</f>
        <v>0</v>
      </c>
      <c r="BC57" s="18">
        <f>Marketplace_customer!BB57/Marketplace_customer!BB$2</f>
        <v>0</v>
      </c>
      <c r="BD57" s="18">
        <f>Marketplace_customer!BC57/Marketplace_customer!BC$2</f>
        <v>0</v>
      </c>
      <c r="BE57" s="18">
        <f>Marketplace_customer!BD57/Marketplace_customer!BD$2</f>
        <v>0</v>
      </c>
      <c r="BF57" s="18">
        <f>Marketplace_customer!BE57/Marketplace_customer!BE$2</f>
        <v>0</v>
      </c>
      <c r="BG57" s="18">
        <f>Marketplace_customer!BF57/Marketplace_customer!BF$2</f>
        <v>0</v>
      </c>
      <c r="BH57" s="18">
        <f>Marketplace_customer!BG57/Marketplace_customer!BG$2</f>
        <v>0</v>
      </c>
      <c r="BI57" s="18">
        <f>Marketplace_customer!BH57/Marketplace_customer!BH$2</f>
        <v>0</v>
      </c>
      <c r="BJ57" s="18">
        <f>Marketplace_customer!BI57/Marketplace_customer!BI$2</f>
        <v>0</v>
      </c>
      <c r="BK57" s="18">
        <f>Marketplace_customer!BJ57/Marketplace_customer!BJ$2</f>
        <v>0</v>
      </c>
      <c r="BL57" s="18">
        <f>Marketplace_customer!BK57/Marketplace_customer!BK$2</f>
        <v>0</v>
      </c>
      <c r="BM57" s="18">
        <f>Marketplace_customer!BL57/Marketplace_customer!BL$2</f>
        <v>0</v>
      </c>
      <c r="BN57" s="18">
        <f>Marketplace_customer!BM57/Marketplace_customer!BM$2</f>
        <v>0</v>
      </c>
      <c r="BO57" s="18">
        <f>Marketplace_customer!BN57/Marketplace_customer!BN$2</f>
        <v>0</v>
      </c>
      <c r="BP57" s="18">
        <f>Marketplace_customer!BO57/Marketplace_customer!BO$2</f>
        <v>0</v>
      </c>
      <c r="BQ57" s="18">
        <f>Marketplace_customer!BP57/Marketplace_customer!BP$2</f>
        <v>0</v>
      </c>
      <c r="BR57" s="18">
        <f>Marketplace_customer!BQ57/Marketplace_customer!BQ$2</f>
        <v>0.97900552486187842</v>
      </c>
      <c r="BS57" s="18">
        <f>Marketplace_customer!BR57/Marketplace_customer!BR$2</f>
        <v>0</v>
      </c>
      <c r="BT57" s="18">
        <f>Marketplace_customer!BS57/Marketplace_customer!BS$2</f>
        <v>0</v>
      </c>
      <c r="BU57" s="18">
        <f>Marketplace_customer!BT57/Marketplace_customer!BT$2</f>
        <v>0</v>
      </c>
      <c r="BV57" s="18">
        <f>Marketplace_customer!BU57/Marketplace_customer!BU$2</f>
        <v>0</v>
      </c>
      <c r="BW57" s="19"/>
      <c r="BX57" s="20">
        <f t="shared" ca="1" si="80"/>
        <v>0</v>
      </c>
      <c r="BY57" s="20">
        <f t="shared" ca="1" si="81"/>
        <v>0</v>
      </c>
      <c r="BZ57" s="20">
        <f t="shared" ca="1" si="82"/>
        <v>0</v>
      </c>
      <c r="CA57" s="20">
        <f t="shared" ca="1" si="83"/>
        <v>0</v>
      </c>
      <c r="CB57" s="20">
        <f t="shared" ca="1" si="84"/>
        <v>0</v>
      </c>
      <c r="CC57" s="20">
        <f t="shared" ca="1" si="85"/>
        <v>0</v>
      </c>
      <c r="CD57" s="20">
        <f t="shared" ca="1" si="86"/>
        <v>0</v>
      </c>
      <c r="CE57" s="20">
        <f t="shared" ca="1" si="87"/>
        <v>0</v>
      </c>
      <c r="CF57" s="20">
        <f t="shared" ca="1" si="88"/>
        <v>0</v>
      </c>
      <c r="CG57" s="20">
        <f t="shared" ca="1" si="89"/>
        <v>0</v>
      </c>
      <c r="CH57" s="20">
        <f t="shared" ca="1" si="90"/>
        <v>0</v>
      </c>
      <c r="CI57" s="20">
        <f t="shared" ca="1" si="91"/>
        <v>0</v>
      </c>
      <c r="CJ57" s="20">
        <f t="shared" ca="1" si="92"/>
        <v>2376296444.6527066</v>
      </c>
      <c r="CK57" s="20">
        <f t="shared" ca="1" si="93"/>
        <v>0</v>
      </c>
      <c r="CL57" s="20">
        <f t="shared" ca="1" si="94"/>
        <v>0</v>
      </c>
      <c r="CM57" s="20">
        <f t="shared" ca="1" si="95"/>
        <v>0</v>
      </c>
      <c r="CN57" s="20">
        <f t="shared" ca="1" si="96"/>
        <v>0</v>
      </c>
      <c r="CO57" s="20">
        <f t="shared" ca="1" si="97"/>
        <v>0</v>
      </c>
      <c r="CP57" s="20">
        <f t="shared" ca="1" si="98"/>
        <v>0</v>
      </c>
      <c r="CQ57" s="20">
        <f t="shared" ca="1" si="99"/>
        <v>0</v>
      </c>
      <c r="CR57" s="20">
        <f t="shared" ca="1" si="100"/>
        <v>0</v>
      </c>
      <c r="CS57" s="20">
        <f t="shared" ca="1" si="101"/>
        <v>0</v>
      </c>
      <c r="CT57" s="20">
        <f t="shared" ca="1" si="102"/>
        <v>0</v>
      </c>
      <c r="CU57" s="20">
        <f t="shared" ca="1" si="103"/>
        <v>0</v>
      </c>
      <c r="CV57" s="20">
        <f t="shared" ca="1" si="104"/>
        <v>0</v>
      </c>
      <c r="CW57" s="20">
        <f t="shared" ca="1" si="105"/>
        <v>0</v>
      </c>
      <c r="CX57" s="20">
        <f t="shared" ca="1" si="106"/>
        <v>2560666614.7724166</v>
      </c>
      <c r="CY57" s="20">
        <f t="shared" ca="1" si="107"/>
        <v>0</v>
      </c>
      <c r="CZ57" s="20">
        <f t="shared" ca="1" si="108"/>
        <v>1260501041.0243862</v>
      </c>
      <c r="DA57" s="20">
        <f t="shared" ca="1" si="109"/>
        <v>0</v>
      </c>
      <c r="DB57" s="20">
        <f t="shared" ca="1" si="110"/>
        <v>2119625249.482862</v>
      </c>
      <c r="DC57" s="20">
        <f t="shared" ca="1" si="111"/>
        <v>0</v>
      </c>
      <c r="DD57" s="20">
        <f t="shared" ca="1" si="112"/>
        <v>0</v>
      </c>
      <c r="DE57" s="20">
        <f t="shared" ca="1" si="113"/>
        <v>0</v>
      </c>
      <c r="DF57" s="20">
        <f t="shared" ca="1" si="114"/>
        <v>0</v>
      </c>
      <c r="DG57" s="20">
        <f t="shared" ca="1" si="115"/>
        <v>0</v>
      </c>
      <c r="DH57" s="20">
        <f t="shared" ca="1" si="116"/>
        <v>0</v>
      </c>
      <c r="DI57" s="20">
        <f t="shared" ca="1" si="117"/>
        <v>1006087087422.5908</v>
      </c>
      <c r="DJ57" s="20">
        <f t="shared" ca="1" si="118"/>
        <v>0</v>
      </c>
      <c r="DK57" s="20">
        <f t="shared" ca="1" si="119"/>
        <v>0</v>
      </c>
      <c r="DL57" s="20">
        <f t="shared" ca="1" si="120"/>
        <v>0</v>
      </c>
      <c r="DM57" s="20">
        <f t="shared" ca="1" si="121"/>
        <v>0</v>
      </c>
      <c r="DN57" s="20">
        <f t="shared" ca="1" si="122"/>
        <v>0</v>
      </c>
      <c r="DO57" s="20">
        <f t="shared" ca="1" si="123"/>
        <v>0</v>
      </c>
      <c r="DP57" s="20">
        <f t="shared" ca="1" si="124"/>
        <v>0</v>
      </c>
      <c r="DQ57" s="20">
        <f t="shared" ca="1" si="125"/>
        <v>0</v>
      </c>
      <c r="DR57" s="20">
        <f t="shared" ca="1" si="126"/>
        <v>0</v>
      </c>
      <c r="DS57" s="20">
        <f t="shared" ca="1" si="127"/>
        <v>0</v>
      </c>
      <c r="DT57" s="20">
        <f t="shared" ca="1" si="128"/>
        <v>0</v>
      </c>
      <c r="DU57" s="20">
        <f t="shared" ca="1" si="129"/>
        <v>0</v>
      </c>
      <c r="DV57" s="20">
        <f t="shared" ca="1" si="130"/>
        <v>0</v>
      </c>
      <c r="DW57" s="20">
        <f t="shared" ca="1" si="131"/>
        <v>0</v>
      </c>
      <c r="DX57" s="20">
        <f t="shared" ca="1" si="132"/>
        <v>0</v>
      </c>
      <c r="DY57" s="20">
        <f t="shared" ca="1" si="133"/>
        <v>0</v>
      </c>
      <c r="DZ57" s="20">
        <f t="shared" ca="1" si="134"/>
        <v>0</v>
      </c>
      <c r="EA57" s="20">
        <f t="shared" ca="1" si="135"/>
        <v>0</v>
      </c>
      <c r="EB57" s="20">
        <f t="shared" ca="1" si="136"/>
        <v>0</v>
      </c>
      <c r="EC57" s="20">
        <f t="shared" ca="1" si="137"/>
        <v>0</v>
      </c>
      <c r="ED57" s="20">
        <f t="shared" ca="1" si="138"/>
        <v>0</v>
      </c>
      <c r="EE57" s="20">
        <f t="shared" ca="1" si="139"/>
        <v>0</v>
      </c>
      <c r="EF57" s="20">
        <f t="shared" ca="1" si="140"/>
        <v>0</v>
      </c>
      <c r="EG57" s="20">
        <f t="shared" ca="1" si="141"/>
        <v>0</v>
      </c>
      <c r="EH57" s="20">
        <f t="shared" ca="1" si="142"/>
        <v>0</v>
      </c>
      <c r="EI57" s="20">
        <f t="shared" ca="1" si="143"/>
        <v>0</v>
      </c>
      <c r="EJ57" s="20">
        <f t="shared" ca="1" si="144"/>
        <v>0</v>
      </c>
      <c r="EK57" s="20">
        <f t="shared" ca="1" si="145"/>
        <v>0</v>
      </c>
      <c r="EL57" s="20">
        <f t="shared" ca="1" si="146"/>
        <v>994010412337.80005</v>
      </c>
      <c r="EM57" s="20">
        <f t="shared" ca="1" si="147"/>
        <v>0</v>
      </c>
      <c r="EN57" s="20">
        <f t="shared" ca="1" si="148"/>
        <v>0</v>
      </c>
      <c r="EO57" s="20">
        <f t="shared" ca="1" si="149"/>
        <v>0</v>
      </c>
      <c r="EP57" s="20">
        <f t="shared" ca="1" si="150"/>
        <v>0</v>
      </c>
      <c r="EQ57" s="17" t="s">
        <v>139</v>
      </c>
      <c r="ER57" s="19">
        <v>1740134903378.1001</v>
      </c>
      <c r="ES57" s="20">
        <f t="shared" si="79"/>
        <v>28.184983756826707</v>
      </c>
    </row>
    <row r="58" spans="1:149" ht="15">
      <c r="A58" s="21" t="s">
        <v>213</v>
      </c>
      <c r="B58" s="14">
        <f>LN(C58)</f>
        <v>24.705374449941246</v>
      </c>
      <c r="C58" s="14">
        <v>53630000000</v>
      </c>
      <c r="D58" s="18">
        <f>Marketplace_customer!C58/Marketplace_customer!C$2</f>
        <v>0</v>
      </c>
      <c r="E58" s="18">
        <f>Marketplace_customer!D58/Marketplace_customer!D$2</f>
        <v>0</v>
      </c>
      <c r="F58" s="18">
        <f>Marketplace_customer!E58/Marketplace_customer!E$2</f>
        <v>0</v>
      </c>
      <c r="G58" s="18">
        <f>Marketplace_customer!F58/Marketplace_customer!F$2</f>
        <v>0</v>
      </c>
      <c r="H58" s="18">
        <f>Marketplace_customer!G58/Marketplace_customer!G$2</f>
        <v>0</v>
      </c>
      <c r="I58" s="18">
        <f>Marketplace_customer!H58/Marketplace_customer!H$2</f>
        <v>0</v>
      </c>
      <c r="J58" s="18">
        <f>Marketplace_customer!I58/Marketplace_customer!I$2</f>
        <v>0</v>
      </c>
      <c r="K58" s="18">
        <f>Marketplace_customer!J58/Marketplace_customer!J$2</f>
        <v>0</v>
      </c>
      <c r="L58" s="18">
        <f>Marketplace_customer!K58/Marketplace_customer!K$2</f>
        <v>0</v>
      </c>
      <c r="M58" s="18">
        <f>Marketplace_customer!L58/Marketplace_customer!L$2</f>
        <v>0</v>
      </c>
      <c r="N58" s="18">
        <f>Marketplace_customer!M58/Marketplace_customer!M$2</f>
        <v>0</v>
      </c>
      <c r="O58" s="18">
        <f>Marketplace_customer!N58/Marketplace_customer!N$2</f>
        <v>0</v>
      </c>
      <c r="P58" s="18">
        <f>Marketplace_customer!O58/Marketplace_customer!O$2</f>
        <v>0</v>
      </c>
      <c r="Q58" s="18">
        <f>Marketplace_customer!P58/Marketplace_customer!P$2</f>
        <v>0</v>
      </c>
      <c r="R58" s="18">
        <f>Marketplace_customer!Q58/Marketplace_customer!Q$2</f>
        <v>0</v>
      </c>
      <c r="S58" s="18">
        <f>Marketplace_customer!R58/Marketplace_customer!R$2</f>
        <v>0</v>
      </c>
      <c r="T58" s="18">
        <f>Marketplace_customer!S58/Marketplace_customer!S$2</f>
        <v>0</v>
      </c>
      <c r="U58" s="18">
        <f>Marketplace_customer!T58/Marketplace_customer!T$2</f>
        <v>0</v>
      </c>
      <c r="V58" s="18">
        <f>Marketplace_customer!U58/Marketplace_customer!U$2</f>
        <v>0</v>
      </c>
      <c r="W58" s="18">
        <f>Marketplace_customer!V58/Marketplace_customer!V$2</f>
        <v>0</v>
      </c>
      <c r="X58" s="18">
        <f>Marketplace_customer!W58/Marketplace_customer!W$2</f>
        <v>0</v>
      </c>
      <c r="Y58" s="18">
        <f>Marketplace_customer!X58/Marketplace_customer!X$2</f>
        <v>0</v>
      </c>
      <c r="Z58" s="18">
        <f>Marketplace_customer!Y58/Marketplace_customer!Y$2</f>
        <v>0</v>
      </c>
      <c r="AA58" s="18">
        <f>Marketplace_customer!Z58/Marketplace_customer!Z$2</f>
        <v>0</v>
      </c>
      <c r="AB58" s="18">
        <f>Marketplace_customer!AA58/Marketplace_customer!AA$2</f>
        <v>0</v>
      </c>
      <c r="AC58" s="18">
        <f>Marketplace_customer!AB58/Marketplace_customer!AB$2</f>
        <v>0</v>
      </c>
      <c r="AD58" s="18">
        <f>Marketplace_customer!AC58/Marketplace_customer!AC$2</f>
        <v>0</v>
      </c>
      <c r="AE58" s="18">
        <f>Marketplace_customer!AD58/Marketplace_customer!AD$2</f>
        <v>0</v>
      </c>
      <c r="AF58" s="18">
        <f>Marketplace_customer!AE58/Marketplace_customer!AE$2</f>
        <v>0</v>
      </c>
      <c r="AG58" s="18">
        <f>Marketplace_customer!AF58/Marketplace_customer!AF$2</f>
        <v>0</v>
      </c>
      <c r="AH58" s="18">
        <f>Marketplace_customer!AG58/Marketplace_customer!AG$2</f>
        <v>0</v>
      </c>
      <c r="AI58" s="18">
        <f>Marketplace_customer!AH58/Marketplace_customer!AH$2</f>
        <v>0</v>
      </c>
      <c r="AJ58" s="18">
        <f>Marketplace_customer!AI58/Marketplace_customer!AI$2</f>
        <v>0</v>
      </c>
      <c r="AK58" s="18">
        <f>Marketplace_customer!AJ58/Marketplace_customer!AJ$2</f>
        <v>0</v>
      </c>
      <c r="AL58" s="18">
        <f>Marketplace_customer!AK58/Marketplace_customer!AK$2</f>
        <v>0</v>
      </c>
      <c r="AM58" s="18">
        <f>Marketplace_customer!AL58/Marketplace_customer!AL$2</f>
        <v>0</v>
      </c>
      <c r="AN58" s="18">
        <f>Marketplace_customer!AM58/Marketplace_customer!AM$2</f>
        <v>0</v>
      </c>
      <c r="AO58" s="18">
        <f>Marketplace_customer!AN58/Marketplace_customer!AN$2</f>
        <v>0</v>
      </c>
      <c r="AP58" s="18">
        <f>Marketplace_customer!AO58/Marketplace_customer!AO$2</f>
        <v>0</v>
      </c>
      <c r="AQ58" s="18">
        <f>Marketplace_customer!AP58/Marketplace_customer!AP$2</f>
        <v>0</v>
      </c>
      <c r="AR58" s="18">
        <f>Marketplace_customer!AQ58/Marketplace_customer!AQ$2</f>
        <v>0</v>
      </c>
      <c r="AS58" s="18">
        <f>Marketplace_customer!AR58/Marketplace_customer!AR$2</f>
        <v>0</v>
      </c>
      <c r="AT58" s="18">
        <f>Marketplace_customer!AS58/Marketplace_customer!AS$2</f>
        <v>0</v>
      </c>
      <c r="AU58" s="18">
        <f>Marketplace_customer!AT58/Marketplace_customer!AT$2</f>
        <v>0</v>
      </c>
      <c r="AV58" s="18">
        <f>Marketplace_customer!AU58/Marketplace_customer!AU$2</f>
        <v>0</v>
      </c>
      <c r="AW58" s="18">
        <f>Marketplace_customer!AV58/Marketplace_customer!AV$2</f>
        <v>0</v>
      </c>
      <c r="AX58" s="18">
        <f>Marketplace_customer!AW58/Marketplace_customer!AW$2</f>
        <v>0</v>
      </c>
      <c r="AY58" s="18">
        <f>Marketplace_customer!AX58/Marketplace_customer!AX$2</f>
        <v>0</v>
      </c>
      <c r="AZ58" s="18">
        <f>Marketplace_customer!AY58/Marketplace_customer!AY$2</f>
        <v>2.6508938482694637E-2</v>
      </c>
      <c r="BA58" s="18">
        <f>Marketplace_customer!AZ58/Marketplace_customer!AZ$2</f>
        <v>0</v>
      </c>
      <c r="BB58" s="18">
        <f>Marketplace_customer!BA58/Marketplace_customer!BA$2</f>
        <v>0</v>
      </c>
      <c r="BC58" s="18">
        <f>Marketplace_customer!BB58/Marketplace_customer!BB$2</f>
        <v>0</v>
      </c>
      <c r="BD58" s="18">
        <f>Marketplace_customer!BC58/Marketplace_customer!BC$2</f>
        <v>0</v>
      </c>
      <c r="BE58" s="18">
        <f>Marketplace_customer!BD58/Marketplace_customer!BD$2</f>
        <v>0</v>
      </c>
      <c r="BF58" s="18">
        <f>Marketplace_customer!BE58/Marketplace_customer!BE$2</f>
        <v>0</v>
      </c>
      <c r="BG58" s="18">
        <f>Marketplace_customer!BF58/Marketplace_customer!BF$2</f>
        <v>0</v>
      </c>
      <c r="BH58" s="18">
        <f>Marketplace_customer!BG58/Marketplace_customer!BG$2</f>
        <v>0</v>
      </c>
      <c r="BI58" s="18">
        <f>Marketplace_customer!BH58/Marketplace_customer!BH$2</f>
        <v>0</v>
      </c>
      <c r="BJ58" s="18">
        <f>Marketplace_customer!BI58/Marketplace_customer!BI$2</f>
        <v>0</v>
      </c>
      <c r="BK58" s="18">
        <f>Marketplace_customer!BJ58/Marketplace_customer!BJ$2</f>
        <v>0</v>
      </c>
      <c r="BL58" s="18">
        <f>Marketplace_customer!BK58/Marketplace_customer!BK$2</f>
        <v>0</v>
      </c>
      <c r="BM58" s="18">
        <f>Marketplace_customer!BL58/Marketplace_customer!BL$2</f>
        <v>0</v>
      </c>
      <c r="BN58" s="18">
        <f>Marketplace_customer!BM58/Marketplace_customer!BM$2</f>
        <v>0</v>
      </c>
      <c r="BO58" s="18">
        <f>Marketplace_customer!BN58/Marketplace_customer!BN$2</f>
        <v>0</v>
      </c>
      <c r="BP58" s="18">
        <f>Marketplace_customer!BO58/Marketplace_customer!BO$2</f>
        <v>0</v>
      </c>
      <c r="BQ58" s="18">
        <f>Marketplace_customer!BP58/Marketplace_customer!BP$2</f>
        <v>0</v>
      </c>
      <c r="BR58" s="18">
        <f>Marketplace_customer!BQ58/Marketplace_customer!BQ$2</f>
        <v>0</v>
      </c>
      <c r="BS58" s="18">
        <f>Marketplace_customer!BR58/Marketplace_customer!BR$2</f>
        <v>0</v>
      </c>
      <c r="BT58" s="18">
        <f>Marketplace_customer!BS58/Marketplace_customer!BS$2</f>
        <v>0</v>
      </c>
      <c r="BU58" s="18">
        <f>Marketplace_customer!BT58/Marketplace_customer!BT$2</f>
        <v>0</v>
      </c>
      <c r="BV58" s="18">
        <f>Marketplace_customer!BU58/Marketplace_customer!BU$2</f>
        <v>0</v>
      </c>
      <c r="BW58" s="19"/>
      <c r="BX58" s="20">
        <f t="shared" si="80"/>
        <v>0</v>
      </c>
      <c r="BY58" s="20">
        <f t="shared" si="81"/>
        <v>0</v>
      </c>
      <c r="BZ58" s="20">
        <f t="shared" si="82"/>
        <v>0</v>
      </c>
      <c r="CA58" s="20">
        <f t="shared" si="83"/>
        <v>0</v>
      </c>
      <c r="CB58" s="20">
        <f t="shared" si="84"/>
        <v>0</v>
      </c>
      <c r="CC58" s="20">
        <f t="shared" si="85"/>
        <v>0</v>
      </c>
      <c r="CD58" s="20">
        <f t="shared" si="86"/>
        <v>0</v>
      </c>
      <c r="CE58" s="20">
        <f t="shared" si="87"/>
        <v>0</v>
      </c>
      <c r="CF58" s="20">
        <f t="shared" si="88"/>
        <v>0</v>
      </c>
      <c r="CG58" s="20">
        <f t="shared" si="89"/>
        <v>0</v>
      </c>
      <c r="CH58" s="20">
        <f t="shared" si="90"/>
        <v>0</v>
      </c>
      <c r="CI58" s="20">
        <f t="shared" si="91"/>
        <v>0</v>
      </c>
      <c r="CJ58" s="20">
        <f t="shared" si="92"/>
        <v>0</v>
      </c>
      <c r="CK58" s="20">
        <f t="shared" si="93"/>
        <v>0</v>
      </c>
      <c r="CL58" s="20">
        <f t="shared" si="94"/>
        <v>0</v>
      </c>
      <c r="CM58" s="20">
        <f t="shared" si="95"/>
        <v>0</v>
      </c>
      <c r="CN58" s="20">
        <f t="shared" si="96"/>
        <v>0</v>
      </c>
      <c r="CO58" s="20">
        <f t="shared" si="97"/>
        <v>0</v>
      </c>
      <c r="CP58" s="20">
        <f t="shared" si="98"/>
        <v>0</v>
      </c>
      <c r="CQ58" s="20">
        <f t="shared" si="99"/>
        <v>0</v>
      </c>
      <c r="CR58" s="20">
        <f t="shared" si="100"/>
        <v>0</v>
      </c>
      <c r="CS58" s="20">
        <f t="shared" si="101"/>
        <v>0</v>
      </c>
      <c r="CT58" s="20">
        <f t="shared" si="102"/>
        <v>0</v>
      </c>
      <c r="CU58" s="20">
        <f t="shared" si="103"/>
        <v>0</v>
      </c>
      <c r="CV58" s="20">
        <f t="shared" si="104"/>
        <v>0</v>
      </c>
      <c r="CW58" s="20">
        <f t="shared" si="105"/>
        <v>0</v>
      </c>
      <c r="CX58" s="20">
        <f t="shared" si="106"/>
        <v>0</v>
      </c>
      <c r="CY58" s="20">
        <f t="shared" si="107"/>
        <v>0</v>
      </c>
      <c r="CZ58" s="20">
        <f t="shared" si="108"/>
        <v>0</v>
      </c>
      <c r="DA58" s="20">
        <f t="shared" si="109"/>
        <v>0</v>
      </c>
      <c r="DB58" s="20">
        <f t="shared" si="110"/>
        <v>0</v>
      </c>
      <c r="DC58" s="20">
        <f t="shared" si="111"/>
        <v>0</v>
      </c>
      <c r="DD58" s="20">
        <f t="shared" si="112"/>
        <v>0</v>
      </c>
      <c r="DE58" s="20">
        <f t="shared" si="113"/>
        <v>0</v>
      </c>
      <c r="DF58" s="20">
        <f t="shared" si="114"/>
        <v>0</v>
      </c>
      <c r="DG58" s="20">
        <f t="shared" si="115"/>
        <v>0</v>
      </c>
      <c r="DH58" s="20">
        <f t="shared" si="116"/>
        <v>0</v>
      </c>
      <c r="DI58" s="20">
        <f t="shared" si="117"/>
        <v>0</v>
      </c>
      <c r="DJ58" s="20">
        <f t="shared" si="118"/>
        <v>0</v>
      </c>
      <c r="DK58" s="20">
        <f t="shared" si="119"/>
        <v>0</v>
      </c>
      <c r="DL58" s="20">
        <f t="shared" si="120"/>
        <v>0</v>
      </c>
      <c r="DM58" s="20">
        <f t="shared" si="121"/>
        <v>0</v>
      </c>
      <c r="DN58" s="20">
        <f t="shared" si="122"/>
        <v>0</v>
      </c>
      <c r="DO58" s="20">
        <f t="shared" si="123"/>
        <v>0</v>
      </c>
      <c r="DP58" s="20">
        <f t="shared" si="124"/>
        <v>0</v>
      </c>
      <c r="DQ58" s="20">
        <f t="shared" si="125"/>
        <v>0</v>
      </c>
      <c r="DR58" s="20">
        <f t="shared" si="126"/>
        <v>0</v>
      </c>
      <c r="DS58" s="20">
        <f t="shared" si="127"/>
        <v>0</v>
      </c>
      <c r="DT58" s="20">
        <f t="shared" si="128"/>
        <v>1421674370.8269134</v>
      </c>
      <c r="DU58" s="20">
        <f t="shared" si="129"/>
        <v>0</v>
      </c>
      <c r="DV58" s="20">
        <f t="shared" si="130"/>
        <v>0</v>
      </c>
      <c r="DW58" s="20">
        <f t="shared" si="131"/>
        <v>0</v>
      </c>
      <c r="DX58" s="20">
        <f t="shared" si="132"/>
        <v>0</v>
      </c>
      <c r="DY58" s="20">
        <f t="shared" si="133"/>
        <v>0</v>
      </c>
      <c r="DZ58" s="20">
        <f t="shared" si="134"/>
        <v>0</v>
      </c>
      <c r="EA58" s="20">
        <f t="shared" si="135"/>
        <v>0</v>
      </c>
      <c r="EB58" s="20">
        <f t="shared" si="136"/>
        <v>0</v>
      </c>
      <c r="EC58" s="20">
        <f t="shared" si="137"/>
        <v>0</v>
      </c>
      <c r="ED58" s="20">
        <f t="shared" si="138"/>
        <v>0</v>
      </c>
      <c r="EE58" s="20">
        <f t="shared" si="139"/>
        <v>0</v>
      </c>
      <c r="EF58" s="20">
        <f t="shared" si="140"/>
        <v>0</v>
      </c>
      <c r="EG58" s="20">
        <f t="shared" si="141"/>
        <v>0</v>
      </c>
      <c r="EH58" s="20">
        <f t="shared" si="142"/>
        <v>0</v>
      </c>
      <c r="EI58" s="20">
        <f t="shared" si="143"/>
        <v>0</v>
      </c>
      <c r="EJ58" s="20">
        <f t="shared" si="144"/>
        <v>0</v>
      </c>
      <c r="EK58" s="20">
        <f t="shared" si="145"/>
        <v>0</v>
      </c>
      <c r="EL58" s="20">
        <f t="shared" si="146"/>
        <v>0</v>
      </c>
      <c r="EM58" s="20">
        <f t="shared" si="147"/>
        <v>0</v>
      </c>
      <c r="EN58" s="20">
        <f t="shared" si="148"/>
        <v>0</v>
      </c>
      <c r="EO58" s="20">
        <f t="shared" si="149"/>
        <v>0</v>
      </c>
      <c r="EP58" s="20">
        <f t="shared" si="150"/>
        <v>0</v>
      </c>
      <c r="EQ58" s="17" t="s">
        <v>140</v>
      </c>
      <c r="ER58" s="19">
        <v>368399661374.263</v>
      </c>
      <c r="ES58" s="20">
        <f t="shared" si="79"/>
        <v>26.632434222147616</v>
      </c>
    </row>
    <row r="59" spans="1:149" ht="15">
      <c r="A59" s="21" t="s">
        <v>214</v>
      </c>
      <c r="B59" s="14">
        <f ca="1">IFERROR(__xludf.dummyfunction("QUERY('Countries markets attractivenes'!A:C, ""SELECT C WHERE A = '""&amp;A59&amp;""'"",0)"),26.6391071600068)</f>
        <v>26.639107160006802</v>
      </c>
      <c r="C59" s="14">
        <f ca="1">EXP(1)^B59</f>
        <v>370866189764.81934</v>
      </c>
      <c r="D59" s="18">
        <f>Marketplace_customer!C59/Marketplace_customer!C$2</f>
        <v>0</v>
      </c>
      <c r="E59" s="18">
        <f>Marketplace_customer!D59/Marketplace_customer!D$2</f>
        <v>0.65384615384615385</v>
      </c>
      <c r="F59" s="18">
        <f>Marketplace_customer!E59/Marketplace_customer!E$2</f>
        <v>0</v>
      </c>
      <c r="G59" s="18">
        <f>Marketplace_customer!F59/Marketplace_customer!F$2</f>
        <v>0</v>
      </c>
      <c r="H59" s="18">
        <f>Marketplace_customer!G59/Marketplace_customer!G$2</f>
        <v>0</v>
      </c>
      <c r="I59" s="18">
        <f>Marketplace_customer!H59/Marketplace_customer!H$2</f>
        <v>0</v>
      </c>
      <c r="J59" s="18">
        <f>Marketplace_customer!I59/Marketplace_customer!I$2</f>
        <v>0</v>
      </c>
      <c r="K59" s="18">
        <f>Marketplace_customer!J59/Marketplace_customer!J$2</f>
        <v>0</v>
      </c>
      <c r="L59" s="18">
        <f>Marketplace_customer!K59/Marketplace_customer!K$2</f>
        <v>0</v>
      </c>
      <c r="M59" s="18">
        <f>Marketplace_customer!L59/Marketplace_customer!L$2</f>
        <v>0</v>
      </c>
      <c r="N59" s="18">
        <f>Marketplace_customer!M59/Marketplace_customer!M$2</f>
        <v>0</v>
      </c>
      <c r="O59" s="18">
        <f>Marketplace_customer!N59/Marketplace_customer!N$2</f>
        <v>0</v>
      </c>
      <c r="P59" s="18">
        <f>Marketplace_customer!O59/Marketplace_customer!O$2</f>
        <v>2.553191489361702E-3</v>
      </c>
      <c r="Q59" s="18">
        <f>Marketplace_customer!P59/Marketplace_customer!P$2</f>
        <v>0</v>
      </c>
      <c r="R59" s="18">
        <f>Marketplace_customer!Q59/Marketplace_customer!Q$2</f>
        <v>0</v>
      </c>
      <c r="S59" s="18">
        <f>Marketplace_customer!R59/Marketplace_customer!R$2</f>
        <v>0</v>
      </c>
      <c r="T59" s="18">
        <f>Marketplace_customer!S59/Marketplace_customer!S$2</f>
        <v>0</v>
      </c>
      <c r="U59" s="18">
        <f>Marketplace_customer!T59/Marketplace_customer!T$2</f>
        <v>0</v>
      </c>
      <c r="V59" s="18">
        <f>Marketplace_customer!U59/Marketplace_customer!U$2</f>
        <v>0</v>
      </c>
      <c r="W59" s="18">
        <f>Marketplace_customer!V59/Marketplace_customer!V$2</f>
        <v>0</v>
      </c>
      <c r="X59" s="18">
        <f>Marketplace_customer!W59/Marketplace_customer!W$2</f>
        <v>0</v>
      </c>
      <c r="Y59" s="18">
        <f>Marketplace_customer!X59/Marketplace_customer!X$2</f>
        <v>0</v>
      </c>
      <c r="Z59" s="18">
        <f>Marketplace_customer!Y59/Marketplace_customer!Y$2</f>
        <v>0</v>
      </c>
      <c r="AA59" s="18">
        <f>Marketplace_customer!Z59/Marketplace_customer!Z$2</f>
        <v>0</v>
      </c>
      <c r="AB59" s="18">
        <f>Marketplace_customer!AA59/Marketplace_customer!AA$2</f>
        <v>0</v>
      </c>
      <c r="AC59" s="18">
        <f>Marketplace_customer!AB59/Marketplace_customer!AB$2</f>
        <v>0</v>
      </c>
      <c r="AD59" s="18">
        <f>Marketplace_customer!AC59/Marketplace_customer!AC$2</f>
        <v>0</v>
      </c>
      <c r="AE59" s="18">
        <f>Marketplace_customer!AD59/Marketplace_customer!AD$2</f>
        <v>0</v>
      </c>
      <c r="AF59" s="18">
        <f>Marketplace_customer!AE59/Marketplace_customer!AE$2</f>
        <v>0</v>
      </c>
      <c r="AG59" s="18">
        <f>Marketplace_customer!AF59/Marketplace_customer!AF$2</f>
        <v>0</v>
      </c>
      <c r="AH59" s="18">
        <f>Marketplace_customer!AG59/Marketplace_customer!AG$2</f>
        <v>0</v>
      </c>
      <c r="AI59" s="18">
        <f>Marketplace_customer!AH59/Marketplace_customer!AH$2</f>
        <v>0</v>
      </c>
      <c r="AJ59" s="18">
        <f>Marketplace_customer!AI59/Marketplace_customer!AI$2</f>
        <v>0</v>
      </c>
      <c r="AK59" s="18">
        <f>Marketplace_customer!AJ59/Marketplace_customer!AJ$2</f>
        <v>0</v>
      </c>
      <c r="AL59" s="18">
        <f>Marketplace_customer!AK59/Marketplace_customer!AK$2</f>
        <v>0</v>
      </c>
      <c r="AM59" s="18">
        <f>Marketplace_customer!AL59/Marketplace_customer!AL$2</f>
        <v>0</v>
      </c>
      <c r="AN59" s="18">
        <f>Marketplace_customer!AM59/Marketplace_customer!AM$2</f>
        <v>0</v>
      </c>
      <c r="AO59" s="18">
        <f>Marketplace_customer!AN59/Marketplace_customer!AN$2</f>
        <v>0</v>
      </c>
      <c r="AP59" s="18">
        <f>Marketplace_customer!AO59/Marketplace_customer!AO$2</f>
        <v>0</v>
      </c>
      <c r="AQ59" s="18">
        <f>Marketplace_customer!AP59/Marketplace_customer!AP$2</f>
        <v>0</v>
      </c>
      <c r="AR59" s="18">
        <f>Marketplace_customer!AQ59/Marketplace_customer!AQ$2</f>
        <v>0</v>
      </c>
      <c r="AS59" s="18">
        <f>Marketplace_customer!AR59/Marketplace_customer!AR$2</f>
        <v>0</v>
      </c>
      <c r="AT59" s="18">
        <f>Marketplace_customer!AS59/Marketplace_customer!AS$2</f>
        <v>0</v>
      </c>
      <c r="AU59" s="18">
        <f>Marketplace_customer!AT59/Marketplace_customer!AT$2</f>
        <v>0</v>
      </c>
      <c r="AV59" s="18">
        <f>Marketplace_customer!AU59/Marketplace_customer!AU$2</f>
        <v>0</v>
      </c>
      <c r="AW59" s="18">
        <f>Marketplace_customer!AV59/Marketplace_customer!AV$2</f>
        <v>0</v>
      </c>
      <c r="AX59" s="18">
        <f>Marketplace_customer!AW59/Marketplace_customer!AW$2</f>
        <v>0</v>
      </c>
      <c r="AY59" s="18">
        <f>Marketplace_customer!AX59/Marketplace_customer!AX$2</f>
        <v>0</v>
      </c>
      <c r="AZ59" s="18">
        <f>Marketplace_customer!AY59/Marketplace_customer!AY$2</f>
        <v>0</v>
      </c>
      <c r="BA59" s="18">
        <f>Marketplace_customer!AZ59/Marketplace_customer!AZ$2</f>
        <v>0</v>
      </c>
      <c r="BB59" s="18">
        <f>Marketplace_customer!BA59/Marketplace_customer!BA$2</f>
        <v>0</v>
      </c>
      <c r="BC59" s="18">
        <f>Marketplace_customer!BB59/Marketplace_customer!BB$2</f>
        <v>0.26</v>
      </c>
      <c r="BD59" s="18">
        <f>Marketplace_customer!BC59/Marketplace_customer!BC$2</f>
        <v>0</v>
      </c>
      <c r="BE59" s="18">
        <f>Marketplace_customer!BD59/Marketplace_customer!BD$2</f>
        <v>0</v>
      </c>
      <c r="BF59" s="18">
        <f>Marketplace_customer!BE59/Marketplace_customer!BE$2</f>
        <v>0</v>
      </c>
      <c r="BG59" s="18">
        <f>Marketplace_customer!BF59/Marketplace_customer!BF$2</f>
        <v>0</v>
      </c>
      <c r="BH59" s="18">
        <f>Marketplace_customer!BG59/Marketplace_customer!BG$2</f>
        <v>0</v>
      </c>
      <c r="BI59" s="18">
        <f>Marketplace_customer!BH59/Marketplace_customer!BH$2</f>
        <v>0</v>
      </c>
      <c r="BJ59" s="18">
        <f>Marketplace_customer!BI59/Marketplace_customer!BI$2</f>
        <v>0</v>
      </c>
      <c r="BK59" s="18">
        <f>Marketplace_customer!BJ59/Marketplace_customer!BJ$2</f>
        <v>0</v>
      </c>
      <c r="BL59" s="18">
        <f>Marketplace_customer!BK59/Marketplace_customer!BK$2</f>
        <v>0</v>
      </c>
      <c r="BM59" s="18">
        <f>Marketplace_customer!BL59/Marketplace_customer!BL$2</f>
        <v>0</v>
      </c>
      <c r="BN59" s="18">
        <f>Marketplace_customer!BM59/Marketplace_customer!BM$2</f>
        <v>0</v>
      </c>
      <c r="BO59" s="18">
        <f>Marketplace_customer!BN59/Marketplace_customer!BN$2</f>
        <v>0</v>
      </c>
      <c r="BP59" s="18">
        <f>Marketplace_customer!BO59/Marketplace_customer!BO$2</f>
        <v>0</v>
      </c>
      <c r="BQ59" s="18">
        <f>Marketplace_customer!BP59/Marketplace_customer!BP$2</f>
        <v>0</v>
      </c>
      <c r="BR59" s="18">
        <f>Marketplace_customer!BQ59/Marketplace_customer!BQ$2</f>
        <v>0</v>
      </c>
      <c r="BS59" s="18">
        <f>Marketplace_customer!BR59/Marketplace_customer!BR$2</f>
        <v>0</v>
      </c>
      <c r="BT59" s="18">
        <f>Marketplace_customer!BS59/Marketplace_customer!BS$2</f>
        <v>0</v>
      </c>
      <c r="BU59" s="18">
        <f>Marketplace_customer!BT59/Marketplace_customer!BT$2</f>
        <v>0</v>
      </c>
      <c r="BV59" s="18">
        <f>Marketplace_customer!BU59/Marketplace_customer!BU$2</f>
        <v>0</v>
      </c>
      <c r="BW59" s="19"/>
      <c r="BX59" s="20">
        <f t="shared" ca="1" si="80"/>
        <v>0</v>
      </c>
      <c r="BY59" s="20">
        <f t="shared" ca="1" si="81"/>
        <v>242489431769.30496</v>
      </c>
      <c r="BZ59" s="20">
        <f t="shared" ca="1" si="82"/>
        <v>0</v>
      </c>
      <c r="CA59" s="20">
        <f t="shared" ca="1" si="83"/>
        <v>0</v>
      </c>
      <c r="CB59" s="20">
        <f t="shared" ca="1" si="84"/>
        <v>0</v>
      </c>
      <c r="CC59" s="20">
        <f t="shared" ca="1" si="85"/>
        <v>0</v>
      </c>
      <c r="CD59" s="20">
        <f t="shared" ca="1" si="86"/>
        <v>0</v>
      </c>
      <c r="CE59" s="20">
        <f t="shared" ca="1" si="87"/>
        <v>0</v>
      </c>
      <c r="CF59" s="20">
        <f t="shared" ca="1" si="88"/>
        <v>0</v>
      </c>
      <c r="CG59" s="20">
        <f t="shared" ca="1" si="89"/>
        <v>0</v>
      </c>
      <c r="CH59" s="20">
        <f t="shared" ca="1" si="90"/>
        <v>0</v>
      </c>
      <c r="CI59" s="20">
        <f t="shared" ca="1" si="91"/>
        <v>0</v>
      </c>
      <c r="CJ59" s="20">
        <f t="shared" ca="1" si="92"/>
        <v>946892399.39953864</v>
      </c>
      <c r="CK59" s="20">
        <f t="shared" ca="1" si="93"/>
        <v>0</v>
      </c>
      <c r="CL59" s="20">
        <f t="shared" ca="1" si="94"/>
        <v>0</v>
      </c>
      <c r="CM59" s="20">
        <f t="shared" ca="1" si="95"/>
        <v>0</v>
      </c>
      <c r="CN59" s="20">
        <f t="shared" ca="1" si="96"/>
        <v>0</v>
      </c>
      <c r="CO59" s="20">
        <f t="shared" ca="1" si="97"/>
        <v>0</v>
      </c>
      <c r="CP59" s="20">
        <f t="shared" ca="1" si="98"/>
        <v>0</v>
      </c>
      <c r="CQ59" s="20">
        <f t="shared" ca="1" si="99"/>
        <v>0</v>
      </c>
      <c r="CR59" s="20">
        <f t="shared" ca="1" si="100"/>
        <v>0</v>
      </c>
      <c r="CS59" s="20">
        <f t="shared" ca="1" si="101"/>
        <v>0</v>
      </c>
      <c r="CT59" s="20">
        <f t="shared" ca="1" si="102"/>
        <v>0</v>
      </c>
      <c r="CU59" s="20">
        <f t="shared" ca="1" si="103"/>
        <v>0</v>
      </c>
      <c r="CV59" s="20">
        <f t="shared" ca="1" si="104"/>
        <v>0</v>
      </c>
      <c r="CW59" s="20">
        <f t="shared" ca="1" si="105"/>
        <v>0</v>
      </c>
      <c r="CX59" s="20">
        <f t="shared" ca="1" si="106"/>
        <v>0</v>
      </c>
      <c r="CY59" s="20">
        <f t="shared" ca="1" si="107"/>
        <v>0</v>
      </c>
      <c r="CZ59" s="20">
        <f t="shared" ca="1" si="108"/>
        <v>0</v>
      </c>
      <c r="DA59" s="20">
        <f t="shared" ca="1" si="109"/>
        <v>0</v>
      </c>
      <c r="DB59" s="20">
        <f t="shared" ca="1" si="110"/>
        <v>0</v>
      </c>
      <c r="DC59" s="20">
        <f t="shared" ca="1" si="111"/>
        <v>0</v>
      </c>
      <c r="DD59" s="20">
        <f t="shared" ca="1" si="112"/>
        <v>0</v>
      </c>
      <c r="DE59" s="20">
        <f t="shared" ca="1" si="113"/>
        <v>0</v>
      </c>
      <c r="DF59" s="20">
        <f t="shared" ca="1" si="114"/>
        <v>0</v>
      </c>
      <c r="DG59" s="20">
        <f t="shared" ca="1" si="115"/>
        <v>0</v>
      </c>
      <c r="DH59" s="20">
        <f t="shared" ca="1" si="116"/>
        <v>0</v>
      </c>
      <c r="DI59" s="20">
        <f t="shared" ca="1" si="117"/>
        <v>0</v>
      </c>
      <c r="DJ59" s="20">
        <f t="shared" ca="1" si="118"/>
        <v>0</v>
      </c>
      <c r="DK59" s="20">
        <f t="shared" ca="1" si="119"/>
        <v>0</v>
      </c>
      <c r="DL59" s="20">
        <f t="shared" ca="1" si="120"/>
        <v>0</v>
      </c>
      <c r="DM59" s="20">
        <f t="shared" ca="1" si="121"/>
        <v>0</v>
      </c>
      <c r="DN59" s="20">
        <f t="shared" ca="1" si="122"/>
        <v>0</v>
      </c>
      <c r="DO59" s="20">
        <f t="shared" ca="1" si="123"/>
        <v>0</v>
      </c>
      <c r="DP59" s="20">
        <f t="shared" ca="1" si="124"/>
        <v>0</v>
      </c>
      <c r="DQ59" s="20">
        <f t="shared" ca="1" si="125"/>
        <v>0</v>
      </c>
      <c r="DR59" s="20">
        <f t="shared" ca="1" si="126"/>
        <v>0</v>
      </c>
      <c r="DS59" s="20">
        <f t="shared" ca="1" si="127"/>
        <v>0</v>
      </c>
      <c r="DT59" s="20">
        <f t="shared" ca="1" si="128"/>
        <v>0</v>
      </c>
      <c r="DU59" s="20">
        <f t="shared" ca="1" si="129"/>
        <v>0</v>
      </c>
      <c r="DV59" s="20">
        <f t="shared" ca="1" si="130"/>
        <v>0</v>
      </c>
      <c r="DW59" s="20">
        <f t="shared" ca="1" si="131"/>
        <v>96425209338.853027</v>
      </c>
      <c r="DX59" s="20">
        <f t="shared" ca="1" si="132"/>
        <v>0</v>
      </c>
      <c r="DY59" s="20">
        <f t="shared" ca="1" si="133"/>
        <v>0</v>
      </c>
      <c r="DZ59" s="20">
        <f t="shared" ca="1" si="134"/>
        <v>0</v>
      </c>
      <c r="EA59" s="20">
        <f t="shared" ca="1" si="135"/>
        <v>0</v>
      </c>
      <c r="EB59" s="20">
        <f t="shared" ca="1" si="136"/>
        <v>0</v>
      </c>
      <c r="EC59" s="20">
        <f t="shared" ca="1" si="137"/>
        <v>0</v>
      </c>
      <c r="ED59" s="20">
        <f t="shared" ca="1" si="138"/>
        <v>0</v>
      </c>
      <c r="EE59" s="20">
        <f t="shared" ca="1" si="139"/>
        <v>0</v>
      </c>
      <c r="EF59" s="20">
        <f t="shared" ca="1" si="140"/>
        <v>0</v>
      </c>
      <c r="EG59" s="20">
        <f t="shared" ca="1" si="141"/>
        <v>0</v>
      </c>
      <c r="EH59" s="20">
        <f t="shared" ca="1" si="142"/>
        <v>0</v>
      </c>
      <c r="EI59" s="20">
        <f t="shared" ca="1" si="143"/>
        <v>0</v>
      </c>
      <c r="EJ59" s="20">
        <f t="shared" ca="1" si="144"/>
        <v>0</v>
      </c>
      <c r="EK59" s="20">
        <f t="shared" ca="1" si="145"/>
        <v>0</v>
      </c>
      <c r="EL59" s="20">
        <f t="shared" ca="1" si="146"/>
        <v>0</v>
      </c>
      <c r="EM59" s="20">
        <f t="shared" ca="1" si="147"/>
        <v>0</v>
      </c>
      <c r="EN59" s="20">
        <f t="shared" ca="1" si="148"/>
        <v>0</v>
      </c>
      <c r="EO59" s="20">
        <f t="shared" ca="1" si="149"/>
        <v>0</v>
      </c>
      <c r="EP59" s="20">
        <f t="shared" ca="1" si="150"/>
        <v>0</v>
      </c>
      <c r="EQ59" s="17" t="s">
        <v>141</v>
      </c>
      <c r="ER59" s="19">
        <v>3842316732702.25</v>
      </c>
      <c r="ES59" s="20">
        <f t="shared" si="79"/>
        <v>28.977096616414247</v>
      </c>
    </row>
    <row r="60" spans="1:149" ht="15">
      <c r="A60" s="21" t="s">
        <v>215</v>
      </c>
      <c r="B60" s="14">
        <f ca="1">IFERROR(__xludf.dummyfunction("QUERY('Countries markets attractivenes'!A:C, ""SELECT C WHERE A = '""&amp;A60&amp;""'"",0)"),28.6895458235312)</f>
        <v>28.689545823531201</v>
      </c>
      <c r="C60" s="14">
        <f ca="1">EXP(1)^B60</f>
        <v>2882115887622.8867</v>
      </c>
      <c r="D60" s="18">
        <f>Marketplace_customer!C60/Marketplace_customer!C$2</f>
        <v>0</v>
      </c>
      <c r="E60" s="18">
        <f>Marketplace_customer!D60/Marketplace_customer!D$2</f>
        <v>0</v>
      </c>
      <c r="F60" s="18">
        <f>Marketplace_customer!E60/Marketplace_customer!E$2</f>
        <v>0</v>
      </c>
      <c r="G60" s="18">
        <f>Marketplace_customer!F60/Marketplace_customer!F$2</f>
        <v>0</v>
      </c>
      <c r="H60" s="18">
        <f>Marketplace_customer!G60/Marketplace_customer!G$2</f>
        <v>0</v>
      </c>
      <c r="I60" s="18">
        <f>Marketplace_customer!H60/Marketplace_customer!H$2</f>
        <v>0</v>
      </c>
      <c r="J60" s="18">
        <f>Marketplace_customer!I60/Marketplace_customer!I$2</f>
        <v>0</v>
      </c>
      <c r="K60" s="18">
        <f>Marketplace_customer!J60/Marketplace_customer!J$2</f>
        <v>0</v>
      </c>
      <c r="L60" s="18">
        <f>Marketplace_customer!K60/Marketplace_customer!K$2</f>
        <v>0</v>
      </c>
      <c r="M60" s="18">
        <f>Marketplace_customer!L60/Marketplace_customer!L$2</f>
        <v>0</v>
      </c>
      <c r="N60" s="18">
        <f>Marketplace_customer!M60/Marketplace_customer!M$2</f>
        <v>0</v>
      </c>
      <c r="O60" s="18">
        <f>Marketplace_customer!N60/Marketplace_customer!N$2</f>
        <v>0.95940170940170943</v>
      </c>
      <c r="P60" s="18">
        <f>Marketplace_customer!O60/Marketplace_customer!O$2</f>
        <v>7.4468085106382982E-3</v>
      </c>
      <c r="Q60" s="18">
        <f>Marketplace_customer!P60/Marketplace_customer!P$2</f>
        <v>0</v>
      </c>
      <c r="R60" s="18">
        <f>Marketplace_customer!Q60/Marketplace_customer!Q$2</f>
        <v>0.97244094488188981</v>
      </c>
      <c r="S60" s="18">
        <f>Marketplace_customer!R60/Marketplace_customer!R$2</f>
        <v>0</v>
      </c>
      <c r="T60" s="18">
        <f>Marketplace_customer!S60/Marketplace_customer!S$2</f>
        <v>0</v>
      </c>
      <c r="U60" s="18">
        <f>Marketplace_customer!T60/Marketplace_customer!T$2</f>
        <v>0</v>
      </c>
      <c r="V60" s="18">
        <f>Marketplace_customer!U60/Marketplace_customer!U$2</f>
        <v>0</v>
      </c>
      <c r="W60" s="18">
        <f>Marketplace_customer!V60/Marketplace_customer!V$2</f>
        <v>0</v>
      </c>
      <c r="X60" s="18">
        <f>Marketplace_customer!W60/Marketplace_customer!W$2</f>
        <v>0</v>
      </c>
      <c r="Y60" s="18">
        <f>Marketplace_customer!X60/Marketplace_customer!X$2</f>
        <v>0</v>
      </c>
      <c r="Z60" s="18">
        <f>Marketplace_customer!Y60/Marketplace_customer!Y$2</f>
        <v>0</v>
      </c>
      <c r="AA60" s="18">
        <f>Marketplace_customer!Z60/Marketplace_customer!Z$2</f>
        <v>0</v>
      </c>
      <c r="AB60" s="18">
        <f>Marketplace_customer!AA60/Marketplace_customer!AA$2</f>
        <v>3.1645569620253164E-3</v>
      </c>
      <c r="AC60" s="18">
        <f>Marketplace_customer!AB60/Marketplace_customer!AB$2</f>
        <v>0</v>
      </c>
      <c r="AD60" s="18">
        <f>Marketplace_customer!AC60/Marketplace_customer!AC$2</f>
        <v>4.987421383647799E-3</v>
      </c>
      <c r="AE60" s="18">
        <f>Marketplace_customer!AD60/Marketplace_customer!AD$2</f>
        <v>0</v>
      </c>
      <c r="AF60" s="18">
        <f>Marketplace_customer!AE60/Marketplace_customer!AE$2</f>
        <v>0.95497953615279674</v>
      </c>
      <c r="AG60" s="18">
        <f>Marketplace_customer!AF60/Marketplace_customer!AF$2</f>
        <v>0</v>
      </c>
      <c r="AH60" s="18">
        <f>Marketplace_customer!AG60/Marketplace_customer!AG$2</f>
        <v>0.15618556701030928</v>
      </c>
      <c r="AI60" s="18">
        <f>Marketplace_customer!AH60/Marketplace_customer!AH$2</f>
        <v>0</v>
      </c>
      <c r="AJ60" s="18">
        <f>Marketplace_customer!AI60/Marketplace_customer!AI$2</f>
        <v>0</v>
      </c>
      <c r="AK60" s="18">
        <f>Marketplace_customer!AJ60/Marketplace_customer!AJ$2</f>
        <v>0</v>
      </c>
      <c r="AL60" s="18">
        <f>Marketplace_customer!AK60/Marketplace_customer!AK$2</f>
        <v>0</v>
      </c>
      <c r="AM60" s="18">
        <f>Marketplace_customer!AL60/Marketplace_customer!AL$2</f>
        <v>0</v>
      </c>
      <c r="AN60" s="18">
        <f>Marketplace_customer!AM60/Marketplace_customer!AM$2</f>
        <v>0</v>
      </c>
      <c r="AO60" s="18">
        <f>Marketplace_customer!AN60/Marketplace_customer!AN$2</f>
        <v>0</v>
      </c>
      <c r="AP60" s="18">
        <f>Marketplace_customer!AO60/Marketplace_customer!AO$2</f>
        <v>0</v>
      </c>
      <c r="AQ60" s="18">
        <f>Marketplace_customer!AP60/Marketplace_customer!AP$2</f>
        <v>0</v>
      </c>
      <c r="AR60" s="18">
        <f>Marketplace_customer!AQ60/Marketplace_customer!AQ$2</f>
        <v>0</v>
      </c>
      <c r="AS60" s="18">
        <f>Marketplace_customer!AR60/Marketplace_customer!AR$2</f>
        <v>0</v>
      </c>
      <c r="AT60" s="18">
        <f>Marketplace_customer!AS60/Marketplace_customer!AS$2</f>
        <v>0</v>
      </c>
      <c r="AU60" s="18">
        <f>Marketplace_customer!AT60/Marketplace_customer!AT$2</f>
        <v>0</v>
      </c>
      <c r="AV60" s="18">
        <f>Marketplace_customer!AU60/Marketplace_customer!AU$2</f>
        <v>0</v>
      </c>
      <c r="AW60" s="18">
        <f>Marketplace_customer!AV60/Marketplace_customer!AV$2</f>
        <v>0</v>
      </c>
      <c r="AX60" s="18">
        <f>Marketplace_customer!AW60/Marketplace_customer!AW$2</f>
        <v>0</v>
      </c>
      <c r="AY60" s="18">
        <f>Marketplace_customer!AX60/Marketplace_customer!AX$2</f>
        <v>0</v>
      </c>
      <c r="AZ60" s="18">
        <f>Marketplace_customer!AY60/Marketplace_customer!AY$2</f>
        <v>0</v>
      </c>
      <c r="BA60" s="18">
        <f>Marketplace_customer!AZ60/Marketplace_customer!AZ$2</f>
        <v>0</v>
      </c>
      <c r="BB60" s="18">
        <f>Marketplace_customer!BA60/Marketplace_customer!BA$2</f>
        <v>0</v>
      </c>
      <c r="BC60" s="18">
        <f>Marketplace_customer!BB60/Marketplace_customer!BB$2</f>
        <v>0</v>
      </c>
      <c r="BD60" s="18">
        <f>Marketplace_customer!BC60/Marketplace_customer!BC$2</f>
        <v>0</v>
      </c>
      <c r="BE60" s="18">
        <f>Marketplace_customer!BD60/Marketplace_customer!BD$2</f>
        <v>0</v>
      </c>
      <c r="BF60" s="18">
        <f>Marketplace_customer!BE60/Marketplace_customer!BE$2</f>
        <v>0</v>
      </c>
      <c r="BG60" s="18">
        <f>Marketplace_customer!BF60/Marketplace_customer!BF$2</f>
        <v>0</v>
      </c>
      <c r="BH60" s="18">
        <f>Marketplace_customer!BG60/Marketplace_customer!BG$2</f>
        <v>0</v>
      </c>
      <c r="BI60" s="18">
        <f>Marketplace_customer!BH60/Marketplace_customer!BH$2</f>
        <v>0</v>
      </c>
      <c r="BJ60" s="18">
        <f>Marketplace_customer!BI60/Marketplace_customer!BI$2</f>
        <v>0</v>
      </c>
      <c r="BK60" s="18">
        <f>Marketplace_customer!BJ60/Marketplace_customer!BJ$2</f>
        <v>0</v>
      </c>
      <c r="BL60" s="18">
        <f>Marketplace_customer!BK60/Marketplace_customer!BK$2</f>
        <v>0</v>
      </c>
      <c r="BM60" s="18">
        <f>Marketplace_customer!BL60/Marketplace_customer!BL$2</f>
        <v>0</v>
      </c>
      <c r="BN60" s="18">
        <f>Marketplace_customer!BM60/Marketplace_customer!BM$2</f>
        <v>0</v>
      </c>
      <c r="BO60" s="18">
        <f>Marketplace_customer!BN60/Marketplace_customer!BN$2</f>
        <v>0</v>
      </c>
      <c r="BP60" s="18">
        <f>Marketplace_customer!BO60/Marketplace_customer!BO$2</f>
        <v>0</v>
      </c>
      <c r="BQ60" s="18">
        <f>Marketplace_customer!BP60/Marketplace_customer!BP$2</f>
        <v>0</v>
      </c>
      <c r="BR60" s="18">
        <f>Marketplace_customer!BQ60/Marketplace_customer!BQ$2</f>
        <v>0</v>
      </c>
      <c r="BS60" s="18">
        <f>Marketplace_customer!BR60/Marketplace_customer!BR$2</f>
        <v>4.7619047619047615E-3</v>
      </c>
      <c r="BT60" s="18">
        <f>Marketplace_customer!BS60/Marketplace_customer!BS$2</f>
        <v>0</v>
      </c>
      <c r="BU60" s="18">
        <f>Marketplace_customer!BT60/Marketplace_customer!BT$2</f>
        <v>0</v>
      </c>
      <c r="BV60" s="18">
        <f>Marketplace_customer!BU60/Marketplace_customer!BU$2</f>
        <v>0</v>
      </c>
      <c r="BW60" s="19"/>
      <c r="BX60" s="20">
        <f t="shared" ca="1" si="80"/>
        <v>0</v>
      </c>
      <c r="BY60" s="20">
        <f t="shared" ca="1" si="81"/>
        <v>0</v>
      </c>
      <c r="BZ60" s="20">
        <f t="shared" ca="1" si="82"/>
        <v>0</v>
      </c>
      <c r="CA60" s="20">
        <f t="shared" ca="1" si="83"/>
        <v>0</v>
      </c>
      <c r="CB60" s="20">
        <f t="shared" ca="1" si="84"/>
        <v>0</v>
      </c>
      <c r="CC60" s="20">
        <f t="shared" ca="1" si="85"/>
        <v>0</v>
      </c>
      <c r="CD60" s="20">
        <f t="shared" ca="1" si="86"/>
        <v>0</v>
      </c>
      <c r="CE60" s="20">
        <f t="shared" ca="1" si="87"/>
        <v>0</v>
      </c>
      <c r="CF60" s="20">
        <f t="shared" ca="1" si="88"/>
        <v>0</v>
      </c>
      <c r="CG60" s="20">
        <f t="shared" ca="1" si="89"/>
        <v>0</v>
      </c>
      <c r="CH60" s="20">
        <f t="shared" ca="1" si="90"/>
        <v>0</v>
      </c>
      <c r="CI60" s="20">
        <f t="shared" ca="1" si="91"/>
        <v>2765106909279.2227</v>
      </c>
      <c r="CJ60" s="20">
        <f t="shared" ca="1" si="92"/>
        <v>21462565120.595966</v>
      </c>
      <c r="CK60" s="20">
        <f t="shared" ca="1" si="93"/>
        <v>0</v>
      </c>
      <c r="CL60" s="20">
        <f t="shared" ca="1" si="94"/>
        <v>2802687497019.1064</v>
      </c>
      <c r="CM60" s="20">
        <f t="shared" ca="1" si="95"/>
        <v>0</v>
      </c>
      <c r="CN60" s="20">
        <f t="shared" ca="1" si="96"/>
        <v>0</v>
      </c>
      <c r="CO60" s="20">
        <f t="shared" ca="1" si="97"/>
        <v>0</v>
      </c>
      <c r="CP60" s="20">
        <f t="shared" ca="1" si="98"/>
        <v>0</v>
      </c>
      <c r="CQ60" s="20">
        <f t="shared" ca="1" si="99"/>
        <v>0</v>
      </c>
      <c r="CR60" s="20">
        <f t="shared" ca="1" si="100"/>
        <v>0</v>
      </c>
      <c r="CS60" s="20">
        <f t="shared" ca="1" si="101"/>
        <v>0</v>
      </c>
      <c r="CT60" s="20">
        <f t="shared" ca="1" si="102"/>
        <v>0</v>
      </c>
      <c r="CU60" s="20">
        <f t="shared" ca="1" si="103"/>
        <v>0</v>
      </c>
      <c r="CV60" s="20">
        <f t="shared" ca="1" si="104"/>
        <v>9120619897.540781</v>
      </c>
      <c r="CW60" s="20">
        <f t="shared" ca="1" si="105"/>
        <v>0</v>
      </c>
      <c r="CX60" s="20">
        <f t="shared" ca="1" si="106"/>
        <v>14374326408.081442</v>
      </c>
      <c r="CY60" s="20">
        <f t="shared" ca="1" si="107"/>
        <v>0</v>
      </c>
      <c r="CZ60" s="20">
        <f t="shared" ca="1" si="108"/>
        <v>2752361693500.7104</v>
      </c>
      <c r="DA60" s="20">
        <f t="shared" ca="1" si="109"/>
        <v>0</v>
      </c>
      <c r="DB60" s="20">
        <f t="shared" ca="1" si="110"/>
        <v>450144904097.80139</v>
      </c>
      <c r="DC60" s="20">
        <f t="shared" ca="1" si="111"/>
        <v>0</v>
      </c>
      <c r="DD60" s="20">
        <f t="shared" ca="1" si="112"/>
        <v>0</v>
      </c>
      <c r="DE60" s="20">
        <f t="shared" ca="1" si="113"/>
        <v>0</v>
      </c>
      <c r="DF60" s="20">
        <f t="shared" ca="1" si="114"/>
        <v>0</v>
      </c>
      <c r="DG60" s="20">
        <f t="shared" ca="1" si="115"/>
        <v>0</v>
      </c>
      <c r="DH60" s="20">
        <f t="shared" ca="1" si="116"/>
        <v>0</v>
      </c>
      <c r="DI60" s="20">
        <f t="shared" ca="1" si="117"/>
        <v>0</v>
      </c>
      <c r="DJ60" s="20">
        <f t="shared" ca="1" si="118"/>
        <v>0</v>
      </c>
      <c r="DK60" s="20">
        <f t="shared" ca="1" si="119"/>
        <v>0</v>
      </c>
      <c r="DL60" s="20">
        <f t="shared" ca="1" si="120"/>
        <v>0</v>
      </c>
      <c r="DM60" s="20">
        <f t="shared" ca="1" si="121"/>
        <v>0</v>
      </c>
      <c r="DN60" s="20">
        <f t="shared" ca="1" si="122"/>
        <v>0</v>
      </c>
      <c r="DO60" s="20">
        <f t="shared" ca="1" si="123"/>
        <v>0</v>
      </c>
      <c r="DP60" s="20">
        <f t="shared" ca="1" si="124"/>
        <v>0</v>
      </c>
      <c r="DQ60" s="20">
        <f t="shared" ca="1" si="125"/>
        <v>0</v>
      </c>
      <c r="DR60" s="20">
        <f t="shared" ca="1" si="126"/>
        <v>0</v>
      </c>
      <c r="DS60" s="20">
        <f t="shared" ca="1" si="127"/>
        <v>0</v>
      </c>
      <c r="DT60" s="20">
        <f t="shared" ca="1" si="128"/>
        <v>0</v>
      </c>
      <c r="DU60" s="20">
        <f t="shared" ca="1" si="129"/>
        <v>0</v>
      </c>
      <c r="DV60" s="20">
        <f t="shared" ca="1" si="130"/>
        <v>0</v>
      </c>
      <c r="DW60" s="20">
        <f t="shared" ca="1" si="131"/>
        <v>0</v>
      </c>
      <c r="DX60" s="20">
        <f t="shared" ca="1" si="132"/>
        <v>0</v>
      </c>
      <c r="DY60" s="20">
        <f t="shared" ca="1" si="133"/>
        <v>0</v>
      </c>
      <c r="DZ60" s="20">
        <f t="shared" ca="1" si="134"/>
        <v>0</v>
      </c>
      <c r="EA60" s="20">
        <f t="shared" ca="1" si="135"/>
        <v>0</v>
      </c>
      <c r="EB60" s="20">
        <f t="shared" ca="1" si="136"/>
        <v>0</v>
      </c>
      <c r="EC60" s="20">
        <f t="shared" ca="1" si="137"/>
        <v>0</v>
      </c>
      <c r="ED60" s="20">
        <f t="shared" ca="1" si="138"/>
        <v>0</v>
      </c>
      <c r="EE60" s="20">
        <f t="shared" ca="1" si="139"/>
        <v>0</v>
      </c>
      <c r="EF60" s="20">
        <f t="shared" ca="1" si="140"/>
        <v>0</v>
      </c>
      <c r="EG60" s="20">
        <f t="shared" ca="1" si="141"/>
        <v>0</v>
      </c>
      <c r="EH60" s="20">
        <f t="shared" ca="1" si="142"/>
        <v>0</v>
      </c>
      <c r="EI60" s="20">
        <f t="shared" ca="1" si="143"/>
        <v>0</v>
      </c>
      <c r="EJ60" s="20">
        <f t="shared" ca="1" si="144"/>
        <v>0</v>
      </c>
      <c r="EK60" s="20">
        <f t="shared" ca="1" si="145"/>
        <v>0</v>
      </c>
      <c r="EL60" s="20">
        <f t="shared" ca="1" si="146"/>
        <v>0</v>
      </c>
      <c r="EM60" s="20">
        <f t="shared" ca="1" si="147"/>
        <v>13724361369.632793</v>
      </c>
      <c r="EN60" s="20">
        <f t="shared" ca="1" si="148"/>
        <v>0</v>
      </c>
      <c r="EO60" s="20">
        <f t="shared" ca="1" si="149"/>
        <v>0</v>
      </c>
      <c r="EP60" s="20">
        <f t="shared" ca="1" si="150"/>
        <v>0</v>
      </c>
      <c r="EQ60" s="17" t="s">
        <v>142</v>
      </c>
      <c r="ER60" s="19">
        <v>241633243990.97299</v>
      </c>
      <c r="ES60" s="20">
        <f t="shared" si="79"/>
        <v>26.21068689284154</v>
      </c>
    </row>
    <row r="61" spans="1:149" ht="15">
      <c r="A61" s="21" t="s">
        <v>216</v>
      </c>
      <c r="B61" s="14">
        <f ca="1">IFERROR(__xludf.dummyfunction("QUERY('Countries markets attractivenes'!A:C, ""SELECT C WHERE A = '""&amp;A61&amp;""'"",0)"),30.5883793857696)</f>
        <v>30.588379385769599</v>
      </c>
      <c r="C61" s="14">
        <f ca="1">EXP(1)^B61</f>
        <v>19247058999999.441</v>
      </c>
      <c r="D61" s="18">
        <f>Marketplace_customer!C61/Marketplace_customer!C$2</f>
        <v>0</v>
      </c>
      <c r="E61" s="18">
        <f>Marketplace_customer!D61/Marketplace_customer!D$2</f>
        <v>0</v>
      </c>
      <c r="F61" s="18">
        <f>Marketplace_customer!E61/Marketplace_customer!E$2</f>
        <v>0</v>
      </c>
      <c r="G61" s="18">
        <f>Marketplace_customer!F61/Marketplace_customer!F$2</f>
        <v>0</v>
      </c>
      <c r="H61" s="18">
        <f>Marketplace_customer!G61/Marketplace_customer!G$2</f>
        <v>1.3215767634854771E-2</v>
      </c>
      <c r="I61" s="18">
        <f>Marketplace_customer!H61/Marketplace_customer!H$2</f>
        <v>0</v>
      </c>
      <c r="J61" s="18">
        <f>Marketplace_customer!I61/Marketplace_customer!I$2</f>
        <v>6.9007263922518155E-3</v>
      </c>
      <c r="K61" s="18">
        <f>Marketplace_customer!J61/Marketplace_customer!J$2</f>
        <v>0</v>
      </c>
      <c r="L61" s="18">
        <f>Marketplace_customer!K61/Marketplace_customer!K$2</f>
        <v>0</v>
      </c>
      <c r="M61" s="18">
        <f>Marketplace_customer!L61/Marketplace_customer!L$2</f>
        <v>0</v>
      </c>
      <c r="N61" s="18">
        <f>Marketplace_customer!M61/Marketplace_customer!M$2</f>
        <v>0</v>
      </c>
      <c r="O61" s="18">
        <f>Marketplace_customer!N61/Marketplace_customer!N$2</f>
        <v>0</v>
      </c>
      <c r="P61" s="18">
        <f>Marketplace_customer!O61/Marketplace_customer!O$2</f>
        <v>0.78255319148936175</v>
      </c>
      <c r="Q61" s="18">
        <f>Marketplace_customer!P61/Marketplace_customer!P$2</f>
        <v>0</v>
      </c>
      <c r="R61" s="18">
        <f>Marketplace_customer!Q61/Marketplace_customer!Q$2</f>
        <v>1.5944881889763781E-2</v>
      </c>
      <c r="S61" s="18">
        <f>Marketplace_customer!R61/Marketplace_customer!R$2</f>
        <v>0</v>
      </c>
      <c r="T61" s="18">
        <f>Marketplace_customer!S61/Marketplace_customer!S$2</f>
        <v>0</v>
      </c>
      <c r="U61" s="18">
        <f>Marketplace_customer!T61/Marketplace_customer!T$2</f>
        <v>0</v>
      </c>
      <c r="V61" s="18">
        <f>Marketplace_customer!U61/Marketplace_customer!U$2</f>
        <v>6.6666666666666662E-3</v>
      </c>
      <c r="W61" s="18">
        <f>Marketplace_customer!V61/Marketplace_customer!V$2</f>
        <v>0</v>
      </c>
      <c r="X61" s="18">
        <f>Marketplace_customer!W61/Marketplace_customer!W$2</f>
        <v>0</v>
      </c>
      <c r="Y61" s="18">
        <f>Marketplace_customer!X61/Marketplace_customer!X$2</f>
        <v>0</v>
      </c>
      <c r="Z61" s="18">
        <f>Marketplace_customer!Y61/Marketplace_customer!Y$2</f>
        <v>0</v>
      </c>
      <c r="AA61" s="18">
        <f>Marketplace_customer!Z61/Marketplace_customer!Z$2</f>
        <v>0</v>
      </c>
      <c r="AB61" s="18">
        <f>Marketplace_customer!AA61/Marketplace_customer!AA$2</f>
        <v>0.94620253164556956</v>
      </c>
      <c r="AC61" s="18">
        <f>Marketplace_customer!AB61/Marketplace_customer!AB$2</f>
        <v>1.0526315789473684E-2</v>
      </c>
      <c r="AD61" s="18">
        <f>Marketplace_customer!AC61/Marketplace_customer!AC$2</f>
        <v>0.86415094339622645</v>
      </c>
      <c r="AE61" s="18">
        <f>Marketplace_customer!AD61/Marketplace_customer!AD$2</f>
        <v>0</v>
      </c>
      <c r="AF61" s="18">
        <f>Marketplace_customer!AE61/Marketplace_customer!AE$2</f>
        <v>5.3206002728512962E-3</v>
      </c>
      <c r="AG61" s="18">
        <f>Marketplace_customer!AF61/Marketplace_customer!AF$2</f>
        <v>5.7777777777777775E-3</v>
      </c>
      <c r="AH61" s="18">
        <f>Marketplace_customer!AG61/Marketplace_customer!AG$2</f>
        <v>0.58556701030927827</v>
      </c>
      <c r="AI61" s="18">
        <f>Marketplace_customer!AH61/Marketplace_customer!AH$2</f>
        <v>0</v>
      </c>
      <c r="AJ61" s="18">
        <f>Marketplace_customer!AI61/Marketplace_customer!AI$2</f>
        <v>0</v>
      </c>
      <c r="AK61" s="18">
        <f>Marketplace_customer!AJ61/Marketplace_customer!AJ$2</f>
        <v>0</v>
      </c>
      <c r="AL61" s="18">
        <f>Marketplace_customer!AK61/Marketplace_customer!AK$2</f>
        <v>0</v>
      </c>
      <c r="AM61" s="18">
        <f>Marketplace_customer!AL61/Marketplace_customer!AL$2</f>
        <v>0</v>
      </c>
      <c r="AN61" s="18">
        <f>Marketplace_customer!AM61/Marketplace_customer!AM$2</f>
        <v>0</v>
      </c>
      <c r="AO61" s="18">
        <f>Marketplace_customer!AN61/Marketplace_customer!AN$2</f>
        <v>0</v>
      </c>
      <c r="AP61" s="18">
        <f>Marketplace_customer!AO61/Marketplace_customer!AO$2</f>
        <v>0</v>
      </c>
      <c r="AQ61" s="18">
        <f>Marketplace_customer!AP61/Marketplace_customer!AP$2</f>
        <v>0</v>
      </c>
      <c r="AR61" s="18">
        <f>Marketplace_customer!AQ61/Marketplace_customer!AQ$2</f>
        <v>1.4592274678111588E-2</v>
      </c>
      <c r="AS61" s="18">
        <f>Marketplace_customer!AR61/Marketplace_customer!AR$2</f>
        <v>0</v>
      </c>
      <c r="AT61" s="18">
        <f>Marketplace_customer!AS61/Marketplace_customer!AS$2</f>
        <v>0.97244094488188981</v>
      </c>
      <c r="AU61" s="18">
        <f>Marketplace_customer!AT61/Marketplace_customer!AT$2</f>
        <v>0</v>
      </c>
      <c r="AV61" s="18">
        <f>Marketplace_customer!AU61/Marketplace_customer!AU$2</f>
        <v>0</v>
      </c>
      <c r="AW61" s="18">
        <f>Marketplace_customer!AV61/Marketplace_customer!AV$2</f>
        <v>0</v>
      </c>
      <c r="AX61" s="18">
        <f>Marketplace_customer!AW61/Marketplace_customer!AW$2</f>
        <v>0</v>
      </c>
      <c r="AY61" s="18">
        <f>Marketplace_customer!AX61/Marketplace_customer!AX$2</f>
        <v>0</v>
      </c>
      <c r="AZ61" s="18">
        <f>Marketplace_customer!AY61/Marketplace_customer!AY$2</f>
        <v>0</v>
      </c>
      <c r="BA61" s="18">
        <f>Marketplace_customer!AZ61/Marketplace_customer!AZ$2</f>
        <v>0</v>
      </c>
      <c r="BB61" s="18">
        <f>Marketplace_customer!BA61/Marketplace_customer!BA$2</f>
        <v>0</v>
      </c>
      <c r="BC61" s="18">
        <f>Marketplace_customer!BB61/Marketplace_customer!BB$2</f>
        <v>0</v>
      </c>
      <c r="BD61" s="18">
        <f>Marketplace_customer!BC61/Marketplace_customer!BC$2</f>
        <v>0</v>
      </c>
      <c r="BE61" s="18">
        <f>Marketplace_customer!BD61/Marketplace_customer!BD$2</f>
        <v>0</v>
      </c>
      <c r="BF61" s="18">
        <f>Marketplace_customer!BE61/Marketplace_customer!BE$2</f>
        <v>0</v>
      </c>
      <c r="BG61" s="18">
        <f>Marketplace_customer!BF61/Marketplace_customer!BF$2</f>
        <v>0</v>
      </c>
      <c r="BH61" s="18">
        <f>Marketplace_customer!BG61/Marketplace_customer!BG$2</f>
        <v>0</v>
      </c>
      <c r="BI61" s="18">
        <f>Marketplace_customer!BH61/Marketplace_customer!BH$2</f>
        <v>0</v>
      </c>
      <c r="BJ61" s="18">
        <f>Marketplace_customer!BI61/Marketplace_customer!BI$2</f>
        <v>0</v>
      </c>
      <c r="BK61" s="18">
        <f>Marketplace_customer!BJ61/Marketplace_customer!BJ$2</f>
        <v>0</v>
      </c>
      <c r="BL61" s="18">
        <f>Marketplace_customer!BK61/Marketplace_customer!BK$2</f>
        <v>0</v>
      </c>
      <c r="BM61" s="18">
        <f>Marketplace_customer!BL61/Marketplace_customer!BL$2</f>
        <v>0</v>
      </c>
      <c r="BN61" s="18">
        <f>Marketplace_customer!BM61/Marketplace_customer!BM$2</f>
        <v>0.93609958506224067</v>
      </c>
      <c r="BO61" s="18">
        <f>Marketplace_customer!BN61/Marketplace_customer!BN$2</f>
        <v>0</v>
      </c>
      <c r="BP61" s="18">
        <f>Marketplace_customer!BO61/Marketplace_customer!BO$2</f>
        <v>0</v>
      </c>
      <c r="BQ61" s="18">
        <f>Marketplace_customer!BP61/Marketplace_customer!BP$2</f>
        <v>0</v>
      </c>
      <c r="BR61" s="18">
        <f>Marketplace_customer!BQ61/Marketplace_customer!BQ$2</f>
        <v>0</v>
      </c>
      <c r="BS61" s="18">
        <f>Marketplace_customer!BR61/Marketplace_customer!BR$2</f>
        <v>0.94444444444444442</v>
      </c>
      <c r="BT61" s="18">
        <f>Marketplace_customer!BS61/Marketplace_customer!BS$2</f>
        <v>1.1818181818181818E-2</v>
      </c>
      <c r="BU61" s="18">
        <f>Marketplace_customer!BT61/Marketplace_customer!BT$2</f>
        <v>0.95905172413793105</v>
      </c>
      <c r="BV61" s="18">
        <f>Marketplace_customer!BU61/Marketplace_customer!BU$2</f>
        <v>0</v>
      </c>
      <c r="BW61" s="19"/>
      <c r="BX61" s="20">
        <f t="shared" ca="1" si="80"/>
        <v>0</v>
      </c>
      <c r="BY61" s="20">
        <f t="shared" ca="1" si="81"/>
        <v>0</v>
      </c>
      <c r="BZ61" s="20">
        <f t="shared" ca="1" si="82"/>
        <v>0</v>
      </c>
      <c r="CA61" s="20">
        <f t="shared" ca="1" si="83"/>
        <v>0</v>
      </c>
      <c r="CB61" s="20">
        <f t="shared" ca="1" si="84"/>
        <v>254364659398.33286</v>
      </c>
      <c r="CC61" s="20">
        <f t="shared" ca="1" si="85"/>
        <v>0</v>
      </c>
      <c r="CD61" s="20">
        <f t="shared" ca="1" si="86"/>
        <v>132818688014.52399</v>
      </c>
      <c r="CE61" s="20">
        <f t="shared" ca="1" si="87"/>
        <v>0</v>
      </c>
      <c r="CF61" s="20">
        <f t="shared" ca="1" si="88"/>
        <v>0</v>
      </c>
      <c r="CG61" s="20">
        <f t="shared" ca="1" si="89"/>
        <v>0</v>
      </c>
      <c r="CH61" s="20">
        <f t="shared" ca="1" si="90"/>
        <v>0</v>
      </c>
      <c r="CI61" s="20">
        <f t="shared" ca="1" si="91"/>
        <v>0</v>
      </c>
      <c r="CJ61" s="20">
        <f t="shared" ca="1" si="92"/>
        <v>15061847447233.605</v>
      </c>
      <c r="CK61" s="20">
        <f t="shared" ca="1" si="93"/>
        <v>0</v>
      </c>
      <c r="CL61" s="20">
        <f t="shared" ca="1" si="94"/>
        <v>306892082480.30609</v>
      </c>
      <c r="CM61" s="20">
        <f t="shared" ca="1" si="95"/>
        <v>0</v>
      </c>
      <c r="CN61" s="20">
        <f t="shared" ca="1" si="96"/>
        <v>0</v>
      </c>
      <c r="CO61" s="20">
        <f t="shared" ca="1" si="97"/>
        <v>0</v>
      </c>
      <c r="CP61" s="20">
        <f t="shared" ca="1" si="98"/>
        <v>128313726666.66293</v>
      </c>
      <c r="CQ61" s="20">
        <f t="shared" ca="1" si="99"/>
        <v>0</v>
      </c>
      <c r="CR61" s="20">
        <f t="shared" ca="1" si="100"/>
        <v>0</v>
      </c>
      <c r="CS61" s="20">
        <f t="shared" ca="1" si="101"/>
        <v>0</v>
      </c>
      <c r="CT61" s="20">
        <f t="shared" ca="1" si="102"/>
        <v>0</v>
      </c>
      <c r="CU61" s="20">
        <f t="shared" ca="1" si="103"/>
        <v>0</v>
      </c>
      <c r="CV61" s="20">
        <f t="shared" ca="1" si="104"/>
        <v>18211615952531.117</v>
      </c>
      <c r="CW61" s="20">
        <f t="shared" ca="1" si="105"/>
        <v>202600621052.6257</v>
      </c>
      <c r="CX61" s="20">
        <f t="shared" ca="1" si="106"/>
        <v>16632364192452.348</v>
      </c>
      <c r="CY61" s="20">
        <f t="shared" ca="1" si="107"/>
        <v>0</v>
      </c>
      <c r="CZ61" s="20">
        <f t="shared" ca="1" si="108"/>
        <v>102405907366.98203</v>
      </c>
      <c r="DA61" s="20">
        <f t="shared" ca="1" si="109"/>
        <v>111205229777.77455</v>
      </c>
      <c r="DB61" s="20">
        <f t="shared" ca="1" si="110"/>
        <v>11270442795875.961</v>
      </c>
      <c r="DC61" s="20">
        <f t="shared" ca="1" si="111"/>
        <v>0</v>
      </c>
      <c r="DD61" s="20">
        <f t="shared" ca="1" si="112"/>
        <v>0</v>
      </c>
      <c r="DE61" s="20">
        <f t="shared" ca="1" si="113"/>
        <v>0</v>
      </c>
      <c r="DF61" s="20">
        <f t="shared" ca="1" si="114"/>
        <v>0</v>
      </c>
      <c r="DG61" s="20">
        <f t="shared" ca="1" si="115"/>
        <v>0</v>
      </c>
      <c r="DH61" s="20">
        <f t="shared" ca="1" si="116"/>
        <v>0</v>
      </c>
      <c r="DI61" s="20">
        <f t="shared" ca="1" si="117"/>
        <v>0</v>
      </c>
      <c r="DJ61" s="20">
        <f t="shared" ca="1" si="118"/>
        <v>0</v>
      </c>
      <c r="DK61" s="20">
        <f t="shared" ca="1" si="119"/>
        <v>0</v>
      </c>
      <c r="DL61" s="20">
        <f t="shared" ca="1" si="120"/>
        <v>280858371673.81158</v>
      </c>
      <c r="DM61" s="20">
        <f t="shared" ca="1" si="121"/>
        <v>0</v>
      </c>
      <c r="DN61" s="20">
        <f t="shared" ca="1" si="122"/>
        <v>18716628240156.938</v>
      </c>
      <c r="DO61" s="20">
        <f t="shared" ca="1" si="123"/>
        <v>0</v>
      </c>
      <c r="DP61" s="20">
        <f t="shared" ca="1" si="124"/>
        <v>0</v>
      </c>
      <c r="DQ61" s="20">
        <f t="shared" ca="1" si="125"/>
        <v>0</v>
      </c>
      <c r="DR61" s="20">
        <f t="shared" ca="1" si="126"/>
        <v>0</v>
      </c>
      <c r="DS61" s="20">
        <f t="shared" ca="1" si="127"/>
        <v>0</v>
      </c>
      <c r="DT61" s="20">
        <f t="shared" ca="1" si="128"/>
        <v>0</v>
      </c>
      <c r="DU61" s="20">
        <f t="shared" ca="1" si="129"/>
        <v>0</v>
      </c>
      <c r="DV61" s="20">
        <f t="shared" ca="1" si="130"/>
        <v>0</v>
      </c>
      <c r="DW61" s="20">
        <f t="shared" ca="1" si="131"/>
        <v>0</v>
      </c>
      <c r="DX61" s="20">
        <f t="shared" ca="1" si="132"/>
        <v>0</v>
      </c>
      <c r="DY61" s="20">
        <f t="shared" ca="1" si="133"/>
        <v>0</v>
      </c>
      <c r="DZ61" s="20">
        <f t="shared" ca="1" si="134"/>
        <v>0</v>
      </c>
      <c r="EA61" s="20">
        <f t="shared" ca="1" si="135"/>
        <v>0</v>
      </c>
      <c r="EB61" s="20">
        <f t="shared" ca="1" si="136"/>
        <v>0</v>
      </c>
      <c r="EC61" s="20">
        <f t="shared" ca="1" si="137"/>
        <v>0</v>
      </c>
      <c r="ED61" s="20">
        <f t="shared" ca="1" si="138"/>
        <v>0</v>
      </c>
      <c r="EE61" s="20">
        <f t="shared" ca="1" si="139"/>
        <v>0</v>
      </c>
      <c r="EF61" s="20">
        <f t="shared" ca="1" si="140"/>
        <v>0</v>
      </c>
      <c r="EG61" s="20">
        <f t="shared" ca="1" si="141"/>
        <v>0</v>
      </c>
      <c r="EH61" s="20">
        <f t="shared" ca="1" si="142"/>
        <v>18017163943567.941</v>
      </c>
      <c r="EI61" s="20">
        <f t="shared" ca="1" si="143"/>
        <v>0</v>
      </c>
      <c r="EJ61" s="20">
        <f t="shared" ca="1" si="144"/>
        <v>0</v>
      </c>
      <c r="EK61" s="20">
        <f t="shared" ca="1" si="145"/>
        <v>0</v>
      </c>
      <c r="EL61" s="20">
        <f t="shared" ca="1" si="146"/>
        <v>0</v>
      </c>
      <c r="EM61" s="20">
        <f t="shared" ca="1" si="147"/>
        <v>18177777944443.918</v>
      </c>
      <c r="EN61" s="20">
        <f t="shared" ca="1" si="148"/>
        <v>227465242727.26611</v>
      </c>
      <c r="EO61" s="20">
        <f t="shared" ca="1" si="149"/>
        <v>18458925118533.949</v>
      </c>
      <c r="EP61" s="20">
        <f t="shared" ca="1" si="150"/>
        <v>0</v>
      </c>
      <c r="EQ61" s="17" t="s">
        <v>143</v>
      </c>
      <c r="ER61" s="19">
        <v>929389164030.15796</v>
      </c>
      <c r="ES61" s="20">
        <f t="shared" si="79"/>
        <v>27.557793394426845</v>
      </c>
    </row>
    <row r="62" spans="1:149" ht="15">
      <c r="A62" s="21" t="s">
        <v>217</v>
      </c>
      <c r="B62" s="14">
        <f>LN(C62)</f>
        <v>26.325384657826113</v>
      </c>
      <c r="C62" s="14">
        <v>271000000000</v>
      </c>
      <c r="D62" s="18">
        <f>Marketplace_customer!C62/Marketplace_customer!C$2</f>
        <v>0</v>
      </c>
      <c r="E62" s="18">
        <f>Marketplace_customer!D62/Marketplace_customer!D$2</f>
        <v>0</v>
      </c>
      <c r="F62" s="18">
        <f>Marketplace_customer!E62/Marketplace_customer!E$2</f>
        <v>0</v>
      </c>
      <c r="G62" s="18">
        <f>Marketplace_customer!F62/Marketplace_customer!F$2</f>
        <v>0</v>
      </c>
      <c r="H62" s="18">
        <f>Marketplace_customer!G62/Marketplace_customer!G$2</f>
        <v>0</v>
      </c>
      <c r="I62" s="18">
        <f>Marketplace_customer!H62/Marketplace_customer!H$2</f>
        <v>0</v>
      </c>
      <c r="J62" s="18">
        <f>Marketplace_customer!I62/Marketplace_customer!I$2</f>
        <v>0</v>
      </c>
      <c r="K62" s="18">
        <f>Marketplace_customer!J62/Marketplace_customer!J$2</f>
        <v>0</v>
      </c>
      <c r="L62" s="18">
        <f>Marketplace_customer!K62/Marketplace_customer!K$2</f>
        <v>0</v>
      </c>
      <c r="M62" s="18">
        <f>Marketplace_customer!L62/Marketplace_customer!L$2</f>
        <v>0</v>
      </c>
      <c r="N62" s="18">
        <f>Marketplace_customer!M62/Marketplace_customer!M$2</f>
        <v>0</v>
      </c>
      <c r="O62" s="18">
        <f>Marketplace_customer!N62/Marketplace_customer!N$2</f>
        <v>0</v>
      </c>
      <c r="P62" s="18">
        <f>Marketplace_customer!O62/Marketplace_customer!O$2</f>
        <v>0</v>
      </c>
      <c r="Q62" s="18">
        <f>Marketplace_customer!P62/Marketplace_customer!P$2</f>
        <v>0</v>
      </c>
      <c r="R62" s="18">
        <f>Marketplace_customer!Q62/Marketplace_customer!Q$2</f>
        <v>0</v>
      </c>
      <c r="S62" s="18">
        <f>Marketplace_customer!R62/Marketplace_customer!R$2</f>
        <v>0</v>
      </c>
      <c r="T62" s="18">
        <f>Marketplace_customer!S62/Marketplace_customer!S$2</f>
        <v>0</v>
      </c>
      <c r="U62" s="18">
        <f>Marketplace_customer!T62/Marketplace_customer!T$2</f>
        <v>0</v>
      </c>
      <c r="V62" s="18">
        <f>Marketplace_customer!U62/Marketplace_customer!U$2</f>
        <v>0</v>
      </c>
      <c r="W62" s="18">
        <f>Marketplace_customer!V62/Marketplace_customer!V$2</f>
        <v>0</v>
      </c>
      <c r="X62" s="18">
        <f>Marketplace_customer!W62/Marketplace_customer!W$2</f>
        <v>0</v>
      </c>
      <c r="Y62" s="18">
        <f>Marketplace_customer!X62/Marketplace_customer!X$2</f>
        <v>0</v>
      </c>
      <c r="Z62" s="18">
        <f>Marketplace_customer!Y62/Marketplace_customer!Y$2</f>
        <v>0</v>
      </c>
      <c r="AA62" s="18">
        <f>Marketplace_customer!Z62/Marketplace_customer!Z$2</f>
        <v>0</v>
      </c>
      <c r="AB62" s="18">
        <f>Marketplace_customer!AA62/Marketplace_customer!AA$2</f>
        <v>0</v>
      </c>
      <c r="AC62" s="18">
        <f>Marketplace_customer!AB62/Marketplace_customer!AB$2</f>
        <v>0</v>
      </c>
      <c r="AD62" s="18">
        <f>Marketplace_customer!AC62/Marketplace_customer!AC$2</f>
        <v>0</v>
      </c>
      <c r="AE62" s="18">
        <f>Marketplace_customer!AD62/Marketplace_customer!AD$2</f>
        <v>0</v>
      </c>
      <c r="AF62" s="18">
        <f>Marketplace_customer!AE62/Marketplace_customer!AE$2</f>
        <v>0</v>
      </c>
      <c r="AG62" s="18">
        <f>Marketplace_customer!AF62/Marketplace_customer!AF$2</f>
        <v>0</v>
      </c>
      <c r="AH62" s="18">
        <f>Marketplace_customer!AG62/Marketplace_customer!AG$2</f>
        <v>0</v>
      </c>
      <c r="AI62" s="18">
        <f>Marketplace_customer!AH62/Marketplace_customer!AH$2</f>
        <v>0</v>
      </c>
      <c r="AJ62" s="18">
        <f>Marketplace_customer!AI62/Marketplace_customer!AI$2</f>
        <v>0</v>
      </c>
      <c r="AK62" s="18">
        <f>Marketplace_customer!AJ62/Marketplace_customer!AJ$2</f>
        <v>0</v>
      </c>
      <c r="AL62" s="18">
        <f>Marketplace_customer!AK62/Marketplace_customer!AK$2</f>
        <v>0</v>
      </c>
      <c r="AM62" s="18">
        <f>Marketplace_customer!AL62/Marketplace_customer!AL$2</f>
        <v>0</v>
      </c>
      <c r="AN62" s="18">
        <f>Marketplace_customer!AM62/Marketplace_customer!AM$2</f>
        <v>0</v>
      </c>
      <c r="AO62" s="18">
        <f>Marketplace_customer!AN62/Marketplace_customer!AN$2</f>
        <v>0</v>
      </c>
      <c r="AP62" s="18">
        <f>Marketplace_customer!AO62/Marketplace_customer!AO$2</f>
        <v>0</v>
      </c>
      <c r="AQ62" s="18">
        <f>Marketplace_customer!AP62/Marketplace_customer!AP$2</f>
        <v>0</v>
      </c>
      <c r="AR62" s="18">
        <f>Marketplace_customer!AQ62/Marketplace_customer!AQ$2</f>
        <v>0</v>
      </c>
      <c r="AS62" s="18">
        <f>Marketplace_customer!AR62/Marketplace_customer!AR$2</f>
        <v>0</v>
      </c>
      <c r="AT62" s="18">
        <f>Marketplace_customer!AS62/Marketplace_customer!AS$2</f>
        <v>0</v>
      </c>
      <c r="AU62" s="18">
        <f>Marketplace_customer!AT62/Marketplace_customer!AT$2</f>
        <v>0</v>
      </c>
      <c r="AV62" s="18">
        <f>Marketplace_customer!AU62/Marketplace_customer!AU$2</f>
        <v>0</v>
      </c>
      <c r="AW62" s="18">
        <f>Marketplace_customer!AV62/Marketplace_customer!AV$2</f>
        <v>0</v>
      </c>
      <c r="AX62" s="18">
        <f>Marketplace_customer!AW62/Marketplace_customer!AW$2</f>
        <v>0</v>
      </c>
      <c r="AY62" s="18">
        <f>Marketplace_customer!AX62/Marketplace_customer!AX$2</f>
        <v>0</v>
      </c>
      <c r="AZ62" s="18">
        <f>Marketplace_customer!AY62/Marketplace_customer!AY$2</f>
        <v>0</v>
      </c>
      <c r="BA62" s="18">
        <f>Marketplace_customer!AZ62/Marketplace_customer!AZ$2</f>
        <v>0</v>
      </c>
      <c r="BB62" s="18">
        <f>Marketplace_customer!BA62/Marketplace_customer!BA$2</f>
        <v>0</v>
      </c>
      <c r="BC62" s="18">
        <f>Marketplace_customer!BB62/Marketplace_customer!BB$2</f>
        <v>0</v>
      </c>
      <c r="BD62" s="18">
        <f>Marketplace_customer!BC62/Marketplace_customer!BC$2</f>
        <v>0</v>
      </c>
      <c r="BE62" s="18">
        <f>Marketplace_customer!BD62/Marketplace_customer!BD$2</f>
        <v>0</v>
      </c>
      <c r="BF62" s="18">
        <f>Marketplace_customer!BE62/Marketplace_customer!BE$2</f>
        <v>0</v>
      </c>
      <c r="BG62" s="18">
        <f>Marketplace_customer!BF62/Marketplace_customer!BF$2</f>
        <v>0</v>
      </c>
      <c r="BH62" s="18">
        <f>Marketplace_customer!BG62/Marketplace_customer!BG$2</f>
        <v>0</v>
      </c>
      <c r="BI62" s="18">
        <f>Marketplace_customer!BH62/Marketplace_customer!BH$2</f>
        <v>0</v>
      </c>
      <c r="BJ62" s="18">
        <f>Marketplace_customer!BI62/Marketplace_customer!BI$2</f>
        <v>0</v>
      </c>
      <c r="BK62" s="18">
        <f>Marketplace_customer!BJ62/Marketplace_customer!BJ$2</f>
        <v>0.1103256920129484</v>
      </c>
      <c r="BL62" s="18">
        <f>Marketplace_customer!BK62/Marketplace_customer!BK$2</f>
        <v>0</v>
      </c>
      <c r="BM62" s="18">
        <f>Marketplace_customer!BL62/Marketplace_customer!BL$2</f>
        <v>0</v>
      </c>
      <c r="BN62" s="18">
        <f>Marketplace_customer!BM62/Marketplace_customer!BM$2</f>
        <v>0</v>
      </c>
      <c r="BO62" s="18">
        <f>Marketplace_customer!BN62/Marketplace_customer!BN$2</f>
        <v>0</v>
      </c>
      <c r="BP62" s="18">
        <f>Marketplace_customer!BO62/Marketplace_customer!BO$2</f>
        <v>0</v>
      </c>
      <c r="BQ62" s="18">
        <f>Marketplace_customer!BP62/Marketplace_customer!BP$2</f>
        <v>0</v>
      </c>
      <c r="BR62" s="18">
        <f>Marketplace_customer!BQ62/Marketplace_customer!BQ$2</f>
        <v>0</v>
      </c>
      <c r="BS62" s="18">
        <f>Marketplace_customer!BR62/Marketplace_customer!BR$2</f>
        <v>0</v>
      </c>
      <c r="BT62" s="18">
        <f>Marketplace_customer!BS62/Marketplace_customer!BS$2</f>
        <v>0</v>
      </c>
      <c r="BU62" s="18">
        <f>Marketplace_customer!BT62/Marketplace_customer!BT$2</f>
        <v>0</v>
      </c>
      <c r="BV62" s="18">
        <f>Marketplace_customer!BU62/Marketplace_customer!BU$2</f>
        <v>0</v>
      </c>
      <c r="BW62" s="19"/>
      <c r="BX62" s="20">
        <f t="shared" si="80"/>
        <v>0</v>
      </c>
      <c r="BY62" s="20">
        <f t="shared" si="81"/>
        <v>0</v>
      </c>
      <c r="BZ62" s="20">
        <f t="shared" si="82"/>
        <v>0</v>
      </c>
      <c r="CA62" s="20">
        <f t="shared" si="83"/>
        <v>0</v>
      </c>
      <c r="CB62" s="20">
        <f t="shared" si="84"/>
        <v>0</v>
      </c>
      <c r="CC62" s="20">
        <f t="shared" si="85"/>
        <v>0</v>
      </c>
      <c r="CD62" s="20">
        <f t="shared" si="86"/>
        <v>0</v>
      </c>
      <c r="CE62" s="20">
        <f t="shared" si="87"/>
        <v>0</v>
      </c>
      <c r="CF62" s="20">
        <f t="shared" si="88"/>
        <v>0</v>
      </c>
      <c r="CG62" s="20">
        <f t="shared" si="89"/>
        <v>0</v>
      </c>
      <c r="CH62" s="20">
        <f t="shared" si="90"/>
        <v>0</v>
      </c>
      <c r="CI62" s="20">
        <f t="shared" si="91"/>
        <v>0</v>
      </c>
      <c r="CJ62" s="20">
        <f t="shared" si="92"/>
        <v>0</v>
      </c>
      <c r="CK62" s="20">
        <f t="shared" si="93"/>
        <v>0</v>
      </c>
      <c r="CL62" s="20">
        <f t="shared" si="94"/>
        <v>0</v>
      </c>
      <c r="CM62" s="20">
        <f t="shared" si="95"/>
        <v>0</v>
      </c>
      <c r="CN62" s="20">
        <f t="shared" si="96"/>
        <v>0</v>
      </c>
      <c r="CO62" s="20">
        <f t="shared" si="97"/>
        <v>0</v>
      </c>
      <c r="CP62" s="20">
        <f t="shared" si="98"/>
        <v>0</v>
      </c>
      <c r="CQ62" s="20">
        <f t="shared" si="99"/>
        <v>0</v>
      </c>
      <c r="CR62" s="20">
        <f t="shared" si="100"/>
        <v>0</v>
      </c>
      <c r="CS62" s="20">
        <f t="shared" si="101"/>
        <v>0</v>
      </c>
      <c r="CT62" s="20">
        <f t="shared" si="102"/>
        <v>0</v>
      </c>
      <c r="CU62" s="20">
        <f t="shared" si="103"/>
        <v>0</v>
      </c>
      <c r="CV62" s="20">
        <f t="shared" si="104"/>
        <v>0</v>
      </c>
      <c r="CW62" s="20">
        <f t="shared" si="105"/>
        <v>0</v>
      </c>
      <c r="CX62" s="20">
        <f t="shared" si="106"/>
        <v>0</v>
      </c>
      <c r="CY62" s="20">
        <f t="shared" si="107"/>
        <v>0</v>
      </c>
      <c r="CZ62" s="20">
        <f t="shared" si="108"/>
        <v>0</v>
      </c>
      <c r="DA62" s="20">
        <f t="shared" si="109"/>
        <v>0</v>
      </c>
      <c r="DB62" s="20">
        <f t="shared" si="110"/>
        <v>0</v>
      </c>
      <c r="DC62" s="20">
        <f t="shared" si="111"/>
        <v>0</v>
      </c>
      <c r="DD62" s="20">
        <f t="shared" si="112"/>
        <v>0</v>
      </c>
      <c r="DE62" s="20">
        <f t="shared" si="113"/>
        <v>0</v>
      </c>
      <c r="DF62" s="20">
        <f t="shared" si="114"/>
        <v>0</v>
      </c>
      <c r="DG62" s="20">
        <f t="shared" si="115"/>
        <v>0</v>
      </c>
      <c r="DH62" s="20">
        <f t="shared" si="116"/>
        <v>0</v>
      </c>
      <c r="DI62" s="20">
        <f t="shared" si="117"/>
        <v>0</v>
      </c>
      <c r="DJ62" s="20">
        <f t="shared" si="118"/>
        <v>0</v>
      </c>
      <c r="DK62" s="20">
        <f t="shared" si="119"/>
        <v>0</v>
      </c>
      <c r="DL62" s="20">
        <f t="shared" si="120"/>
        <v>0</v>
      </c>
      <c r="DM62" s="20">
        <f t="shared" si="121"/>
        <v>0</v>
      </c>
      <c r="DN62" s="20">
        <f t="shared" si="122"/>
        <v>0</v>
      </c>
      <c r="DO62" s="20">
        <f t="shared" si="123"/>
        <v>0</v>
      </c>
      <c r="DP62" s="20">
        <f t="shared" si="124"/>
        <v>0</v>
      </c>
      <c r="DQ62" s="20">
        <f t="shared" si="125"/>
        <v>0</v>
      </c>
      <c r="DR62" s="20">
        <f t="shared" si="126"/>
        <v>0</v>
      </c>
      <c r="DS62" s="20">
        <f t="shared" si="127"/>
        <v>0</v>
      </c>
      <c r="DT62" s="20">
        <f t="shared" si="128"/>
        <v>0</v>
      </c>
      <c r="DU62" s="20">
        <f t="shared" si="129"/>
        <v>0</v>
      </c>
      <c r="DV62" s="20">
        <f t="shared" si="130"/>
        <v>0</v>
      </c>
      <c r="DW62" s="20">
        <f t="shared" si="131"/>
        <v>0</v>
      </c>
      <c r="DX62" s="20">
        <f t="shared" si="132"/>
        <v>0</v>
      </c>
      <c r="DY62" s="20">
        <f t="shared" si="133"/>
        <v>0</v>
      </c>
      <c r="DZ62" s="20">
        <f t="shared" si="134"/>
        <v>0</v>
      </c>
      <c r="EA62" s="20">
        <f t="shared" si="135"/>
        <v>0</v>
      </c>
      <c r="EB62" s="20">
        <f t="shared" si="136"/>
        <v>0</v>
      </c>
      <c r="EC62" s="20">
        <f t="shared" si="137"/>
        <v>0</v>
      </c>
      <c r="ED62" s="20">
        <f t="shared" si="138"/>
        <v>0</v>
      </c>
      <c r="EE62" s="20">
        <f t="shared" si="139"/>
        <v>29898262535.509014</v>
      </c>
      <c r="EF62" s="20">
        <f t="shared" si="140"/>
        <v>0</v>
      </c>
      <c r="EG62" s="20">
        <f t="shared" si="141"/>
        <v>0</v>
      </c>
      <c r="EH62" s="20">
        <f t="shared" si="142"/>
        <v>0</v>
      </c>
      <c r="EI62" s="20">
        <f t="shared" si="143"/>
        <v>0</v>
      </c>
      <c r="EJ62" s="20">
        <f t="shared" si="144"/>
        <v>0</v>
      </c>
      <c r="EK62" s="20">
        <f t="shared" si="145"/>
        <v>0</v>
      </c>
      <c r="EL62" s="20">
        <f t="shared" si="146"/>
        <v>0</v>
      </c>
      <c r="EM62" s="20">
        <f t="shared" si="147"/>
        <v>0</v>
      </c>
      <c r="EN62" s="20">
        <f t="shared" si="148"/>
        <v>0</v>
      </c>
      <c r="EO62" s="20">
        <f t="shared" si="149"/>
        <v>0</v>
      </c>
      <c r="EP62" s="20">
        <f t="shared" si="150"/>
        <v>0</v>
      </c>
      <c r="EQ62" s="17" t="s">
        <v>144</v>
      </c>
      <c r="ER62" s="19">
        <v>1749104722085.75</v>
      </c>
      <c r="ES62" s="20">
        <f t="shared" si="79"/>
        <v>28.190125185578928</v>
      </c>
    </row>
    <row r="63" spans="1:149" ht="15">
      <c r="A63" s="21" t="s">
        <v>218</v>
      </c>
      <c r="B63" s="14">
        <f ca="1">IFERROR(__xludf.dummyfunction("QUERY('Countries markets attractivenes'!A:C, ""SELECT C WHERE A = '""&amp;A63&amp;""'"",0)"),22.1055521766688)</f>
        <v>22.105552176668802</v>
      </c>
      <c r="C63" s="14">
        <f ca="1">EXP(1)^B63</f>
        <v>3984000000.0001545</v>
      </c>
      <c r="D63" s="18">
        <f>Marketplace_customer!C63/Marketplace_customer!C$2</f>
        <v>0</v>
      </c>
      <c r="E63" s="18">
        <f>Marketplace_customer!D63/Marketplace_customer!D$2</f>
        <v>0</v>
      </c>
      <c r="F63" s="18">
        <f>Marketplace_customer!E63/Marketplace_customer!E$2</f>
        <v>0</v>
      </c>
      <c r="G63" s="18">
        <f>Marketplace_customer!F63/Marketplace_customer!F$2</f>
        <v>0</v>
      </c>
      <c r="H63" s="18">
        <f>Marketplace_customer!G63/Marketplace_customer!G$2</f>
        <v>0</v>
      </c>
      <c r="I63" s="18">
        <f>Marketplace_customer!H63/Marketplace_customer!H$2</f>
        <v>0</v>
      </c>
      <c r="J63" s="18">
        <f>Marketplace_customer!I63/Marketplace_customer!I$2</f>
        <v>0</v>
      </c>
      <c r="K63" s="18">
        <f>Marketplace_customer!J63/Marketplace_customer!J$2</f>
        <v>0</v>
      </c>
      <c r="L63" s="18">
        <f>Marketplace_customer!K63/Marketplace_customer!K$2</f>
        <v>0</v>
      </c>
      <c r="M63" s="18">
        <f>Marketplace_customer!L63/Marketplace_customer!L$2</f>
        <v>0</v>
      </c>
      <c r="N63" s="18">
        <f>Marketplace_customer!M63/Marketplace_customer!M$2</f>
        <v>0</v>
      </c>
      <c r="O63" s="18">
        <f>Marketplace_customer!N63/Marketplace_customer!N$2</f>
        <v>0</v>
      </c>
      <c r="P63" s="18">
        <f>Marketplace_customer!O63/Marketplace_customer!O$2</f>
        <v>2.3404255319148935E-5</v>
      </c>
      <c r="Q63" s="18">
        <f>Marketplace_customer!P63/Marketplace_customer!P$2</f>
        <v>0</v>
      </c>
      <c r="R63" s="18">
        <f>Marketplace_customer!Q63/Marketplace_customer!Q$2</f>
        <v>0</v>
      </c>
      <c r="S63" s="18">
        <f>Marketplace_customer!R63/Marketplace_customer!R$2</f>
        <v>0</v>
      </c>
      <c r="T63" s="18">
        <f>Marketplace_customer!S63/Marketplace_customer!S$2</f>
        <v>0</v>
      </c>
      <c r="U63" s="18">
        <f>Marketplace_customer!T63/Marketplace_customer!T$2</f>
        <v>0</v>
      </c>
      <c r="V63" s="18">
        <f>Marketplace_customer!U63/Marketplace_customer!U$2</f>
        <v>0</v>
      </c>
      <c r="W63" s="18">
        <f>Marketplace_customer!V63/Marketplace_customer!V$2</f>
        <v>0</v>
      </c>
      <c r="X63" s="18">
        <f>Marketplace_customer!W63/Marketplace_customer!W$2</f>
        <v>0</v>
      </c>
      <c r="Y63" s="18">
        <f>Marketplace_customer!X63/Marketplace_customer!X$2</f>
        <v>0</v>
      </c>
      <c r="Z63" s="18">
        <f>Marketplace_customer!Y63/Marketplace_customer!Y$2</f>
        <v>0</v>
      </c>
      <c r="AA63" s="18">
        <f>Marketplace_customer!Z63/Marketplace_customer!Z$2</f>
        <v>0</v>
      </c>
      <c r="AB63" s="18">
        <f>Marketplace_customer!AA63/Marketplace_customer!AA$2</f>
        <v>0</v>
      </c>
      <c r="AC63" s="18">
        <f>Marketplace_customer!AB63/Marketplace_customer!AB$2</f>
        <v>0</v>
      </c>
      <c r="AD63" s="18">
        <f>Marketplace_customer!AC63/Marketplace_customer!AC$2</f>
        <v>0</v>
      </c>
      <c r="AE63" s="18">
        <f>Marketplace_customer!AD63/Marketplace_customer!AD$2</f>
        <v>0</v>
      </c>
      <c r="AF63" s="18">
        <f>Marketplace_customer!AE63/Marketplace_customer!AE$2</f>
        <v>0</v>
      </c>
      <c r="AG63" s="18">
        <f>Marketplace_customer!AF63/Marketplace_customer!AF$2</f>
        <v>0</v>
      </c>
      <c r="AH63" s="18">
        <f>Marketplace_customer!AG63/Marketplace_customer!AG$2</f>
        <v>0</v>
      </c>
      <c r="AI63" s="18">
        <f>Marketplace_customer!AH63/Marketplace_customer!AH$2</f>
        <v>0</v>
      </c>
      <c r="AJ63" s="18">
        <f>Marketplace_customer!AI63/Marketplace_customer!AI$2</f>
        <v>0</v>
      </c>
      <c r="AK63" s="18">
        <f>Marketplace_customer!AJ63/Marketplace_customer!AJ$2</f>
        <v>0</v>
      </c>
      <c r="AL63" s="18">
        <f>Marketplace_customer!AK63/Marketplace_customer!AK$2</f>
        <v>0</v>
      </c>
      <c r="AM63" s="18">
        <f>Marketplace_customer!AL63/Marketplace_customer!AL$2</f>
        <v>0</v>
      </c>
      <c r="AN63" s="18">
        <f>Marketplace_customer!AM63/Marketplace_customer!AM$2</f>
        <v>0</v>
      </c>
      <c r="AO63" s="18">
        <f>Marketplace_customer!AN63/Marketplace_customer!AN$2</f>
        <v>0</v>
      </c>
      <c r="AP63" s="18">
        <f>Marketplace_customer!AO63/Marketplace_customer!AO$2</f>
        <v>0</v>
      </c>
      <c r="AQ63" s="18">
        <f>Marketplace_customer!AP63/Marketplace_customer!AP$2</f>
        <v>0</v>
      </c>
      <c r="AR63" s="18">
        <f>Marketplace_customer!AQ63/Marketplace_customer!AQ$2</f>
        <v>0</v>
      </c>
      <c r="AS63" s="18">
        <f>Marketplace_customer!AR63/Marketplace_customer!AR$2</f>
        <v>0</v>
      </c>
      <c r="AT63" s="18">
        <f>Marketplace_customer!AS63/Marketplace_customer!AS$2</f>
        <v>0</v>
      </c>
      <c r="AU63" s="18">
        <f>Marketplace_customer!AT63/Marketplace_customer!AT$2</f>
        <v>0</v>
      </c>
      <c r="AV63" s="18">
        <f>Marketplace_customer!AU63/Marketplace_customer!AU$2</f>
        <v>0</v>
      </c>
      <c r="AW63" s="18">
        <f>Marketplace_customer!AV63/Marketplace_customer!AV$2</f>
        <v>0</v>
      </c>
      <c r="AX63" s="18">
        <f>Marketplace_customer!AW63/Marketplace_customer!AW$2</f>
        <v>0</v>
      </c>
      <c r="AY63" s="18">
        <f>Marketplace_customer!AX63/Marketplace_customer!AX$2</f>
        <v>0</v>
      </c>
      <c r="AZ63" s="18">
        <f>Marketplace_customer!AY63/Marketplace_customer!AY$2</f>
        <v>0</v>
      </c>
      <c r="BA63" s="18">
        <f>Marketplace_customer!AZ63/Marketplace_customer!AZ$2</f>
        <v>0</v>
      </c>
      <c r="BB63" s="18">
        <f>Marketplace_customer!BA63/Marketplace_customer!BA$2</f>
        <v>0</v>
      </c>
      <c r="BC63" s="18">
        <f>Marketplace_customer!BB63/Marketplace_customer!BB$2</f>
        <v>0</v>
      </c>
      <c r="BD63" s="18">
        <f>Marketplace_customer!BC63/Marketplace_customer!BC$2</f>
        <v>0</v>
      </c>
      <c r="BE63" s="18">
        <f>Marketplace_customer!BD63/Marketplace_customer!BD$2</f>
        <v>0</v>
      </c>
      <c r="BF63" s="18">
        <f>Marketplace_customer!BE63/Marketplace_customer!BE$2</f>
        <v>0</v>
      </c>
      <c r="BG63" s="18">
        <f>Marketplace_customer!BF63/Marketplace_customer!BF$2</f>
        <v>0</v>
      </c>
      <c r="BH63" s="18">
        <f>Marketplace_customer!BG63/Marketplace_customer!BG$2</f>
        <v>0</v>
      </c>
      <c r="BI63" s="18">
        <f>Marketplace_customer!BH63/Marketplace_customer!BH$2</f>
        <v>0</v>
      </c>
      <c r="BJ63" s="18">
        <f>Marketplace_customer!BI63/Marketplace_customer!BI$2</f>
        <v>0</v>
      </c>
      <c r="BK63" s="18">
        <f>Marketplace_customer!BJ63/Marketplace_customer!BJ$2</f>
        <v>0</v>
      </c>
      <c r="BL63" s="18">
        <f>Marketplace_customer!BK63/Marketplace_customer!BK$2</f>
        <v>0</v>
      </c>
      <c r="BM63" s="18">
        <f>Marketplace_customer!BL63/Marketplace_customer!BL$2</f>
        <v>0</v>
      </c>
      <c r="BN63" s="18">
        <f>Marketplace_customer!BM63/Marketplace_customer!BM$2</f>
        <v>0</v>
      </c>
      <c r="BO63" s="18">
        <f>Marketplace_customer!BN63/Marketplace_customer!BN$2</f>
        <v>0</v>
      </c>
      <c r="BP63" s="18">
        <f>Marketplace_customer!BO63/Marketplace_customer!BO$2</f>
        <v>0</v>
      </c>
      <c r="BQ63" s="18">
        <f>Marketplace_customer!BP63/Marketplace_customer!BP$2</f>
        <v>0</v>
      </c>
      <c r="BR63" s="18">
        <f>Marketplace_customer!BQ63/Marketplace_customer!BQ$2</f>
        <v>0</v>
      </c>
      <c r="BS63" s="18">
        <f>Marketplace_customer!BR63/Marketplace_customer!BR$2</f>
        <v>0</v>
      </c>
      <c r="BT63" s="18">
        <f>Marketplace_customer!BS63/Marketplace_customer!BS$2</f>
        <v>0</v>
      </c>
      <c r="BU63" s="18">
        <f>Marketplace_customer!BT63/Marketplace_customer!BT$2</f>
        <v>0</v>
      </c>
      <c r="BV63" s="18">
        <f>Marketplace_customer!BU63/Marketplace_customer!BU$2</f>
        <v>0</v>
      </c>
      <c r="BW63" s="19"/>
      <c r="BX63" s="20">
        <f t="shared" ca="1" si="80"/>
        <v>0</v>
      </c>
      <c r="BY63" s="20">
        <f t="shared" ca="1" si="81"/>
        <v>0</v>
      </c>
      <c r="BZ63" s="20">
        <f t="shared" ca="1" si="82"/>
        <v>0</v>
      </c>
      <c r="CA63" s="20">
        <f t="shared" ca="1" si="83"/>
        <v>0</v>
      </c>
      <c r="CB63" s="20">
        <f t="shared" ca="1" si="84"/>
        <v>0</v>
      </c>
      <c r="CC63" s="20">
        <f t="shared" ca="1" si="85"/>
        <v>0</v>
      </c>
      <c r="CD63" s="20">
        <f t="shared" ca="1" si="86"/>
        <v>0</v>
      </c>
      <c r="CE63" s="20">
        <f t="shared" ca="1" si="87"/>
        <v>0</v>
      </c>
      <c r="CF63" s="20">
        <f t="shared" ca="1" si="88"/>
        <v>0</v>
      </c>
      <c r="CG63" s="20">
        <f t="shared" ca="1" si="89"/>
        <v>0</v>
      </c>
      <c r="CH63" s="20">
        <f t="shared" ca="1" si="90"/>
        <v>0</v>
      </c>
      <c r="CI63" s="20">
        <f t="shared" ca="1" si="91"/>
        <v>0</v>
      </c>
      <c r="CJ63" s="20">
        <f t="shared" ca="1" si="92"/>
        <v>93242.553191492974</v>
      </c>
      <c r="CK63" s="20">
        <f t="shared" ca="1" si="93"/>
        <v>0</v>
      </c>
      <c r="CL63" s="20">
        <f t="shared" ca="1" si="94"/>
        <v>0</v>
      </c>
      <c r="CM63" s="20">
        <f t="shared" ca="1" si="95"/>
        <v>0</v>
      </c>
      <c r="CN63" s="20">
        <f t="shared" ca="1" si="96"/>
        <v>0</v>
      </c>
      <c r="CO63" s="20">
        <f t="shared" ca="1" si="97"/>
        <v>0</v>
      </c>
      <c r="CP63" s="20">
        <f t="shared" ca="1" si="98"/>
        <v>0</v>
      </c>
      <c r="CQ63" s="20">
        <f t="shared" ca="1" si="99"/>
        <v>0</v>
      </c>
      <c r="CR63" s="20">
        <f t="shared" ca="1" si="100"/>
        <v>0</v>
      </c>
      <c r="CS63" s="20">
        <f t="shared" ca="1" si="101"/>
        <v>0</v>
      </c>
      <c r="CT63" s="20">
        <f t="shared" ca="1" si="102"/>
        <v>0</v>
      </c>
      <c r="CU63" s="20">
        <f t="shared" ca="1" si="103"/>
        <v>0</v>
      </c>
      <c r="CV63" s="20">
        <f t="shared" ca="1" si="104"/>
        <v>0</v>
      </c>
      <c r="CW63" s="20">
        <f t="shared" ca="1" si="105"/>
        <v>0</v>
      </c>
      <c r="CX63" s="20">
        <f t="shared" ca="1" si="106"/>
        <v>0</v>
      </c>
      <c r="CY63" s="20">
        <f t="shared" ca="1" si="107"/>
        <v>0</v>
      </c>
      <c r="CZ63" s="20">
        <f t="shared" ca="1" si="108"/>
        <v>0</v>
      </c>
      <c r="DA63" s="20">
        <f t="shared" ca="1" si="109"/>
        <v>0</v>
      </c>
      <c r="DB63" s="20">
        <f t="shared" ca="1" si="110"/>
        <v>0</v>
      </c>
      <c r="DC63" s="20">
        <f t="shared" ca="1" si="111"/>
        <v>0</v>
      </c>
      <c r="DD63" s="20">
        <f t="shared" ca="1" si="112"/>
        <v>0</v>
      </c>
      <c r="DE63" s="20">
        <f t="shared" ca="1" si="113"/>
        <v>0</v>
      </c>
      <c r="DF63" s="20">
        <f t="shared" ca="1" si="114"/>
        <v>0</v>
      </c>
      <c r="DG63" s="20">
        <f t="shared" ca="1" si="115"/>
        <v>0</v>
      </c>
      <c r="DH63" s="20">
        <f t="shared" ca="1" si="116"/>
        <v>0</v>
      </c>
      <c r="DI63" s="20">
        <f t="shared" ca="1" si="117"/>
        <v>0</v>
      </c>
      <c r="DJ63" s="20">
        <f t="shared" ca="1" si="118"/>
        <v>0</v>
      </c>
      <c r="DK63" s="20">
        <f t="shared" ca="1" si="119"/>
        <v>0</v>
      </c>
      <c r="DL63" s="20">
        <f t="shared" ca="1" si="120"/>
        <v>0</v>
      </c>
      <c r="DM63" s="20">
        <f t="shared" ca="1" si="121"/>
        <v>0</v>
      </c>
      <c r="DN63" s="20">
        <f t="shared" ca="1" si="122"/>
        <v>0</v>
      </c>
      <c r="DO63" s="20">
        <f t="shared" ca="1" si="123"/>
        <v>0</v>
      </c>
      <c r="DP63" s="20">
        <f t="shared" ca="1" si="124"/>
        <v>0</v>
      </c>
      <c r="DQ63" s="20">
        <f t="shared" ca="1" si="125"/>
        <v>0</v>
      </c>
      <c r="DR63" s="20">
        <f t="shared" ca="1" si="126"/>
        <v>0</v>
      </c>
      <c r="DS63" s="20">
        <f t="shared" ca="1" si="127"/>
        <v>0</v>
      </c>
      <c r="DT63" s="20">
        <f t="shared" ca="1" si="128"/>
        <v>0</v>
      </c>
      <c r="DU63" s="20">
        <f t="shared" ca="1" si="129"/>
        <v>0</v>
      </c>
      <c r="DV63" s="20">
        <f t="shared" ca="1" si="130"/>
        <v>0</v>
      </c>
      <c r="DW63" s="20">
        <f t="shared" ca="1" si="131"/>
        <v>0</v>
      </c>
      <c r="DX63" s="20">
        <f t="shared" ca="1" si="132"/>
        <v>0</v>
      </c>
      <c r="DY63" s="20">
        <f t="shared" ca="1" si="133"/>
        <v>0</v>
      </c>
      <c r="DZ63" s="20">
        <f t="shared" ca="1" si="134"/>
        <v>0</v>
      </c>
      <c r="EA63" s="20">
        <f t="shared" ca="1" si="135"/>
        <v>0</v>
      </c>
      <c r="EB63" s="20">
        <f t="shared" ca="1" si="136"/>
        <v>0</v>
      </c>
      <c r="EC63" s="20">
        <f t="shared" ca="1" si="137"/>
        <v>0</v>
      </c>
      <c r="ED63" s="20">
        <f t="shared" ca="1" si="138"/>
        <v>0</v>
      </c>
      <c r="EE63" s="20">
        <f t="shared" ca="1" si="139"/>
        <v>0</v>
      </c>
      <c r="EF63" s="20">
        <f t="shared" ca="1" si="140"/>
        <v>0</v>
      </c>
      <c r="EG63" s="20">
        <f t="shared" ca="1" si="141"/>
        <v>0</v>
      </c>
      <c r="EH63" s="20">
        <f t="shared" ca="1" si="142"/>
        <v>0</v>
      </c>
      <c r="EI63" s="20">
        <f t="shared" ca="1" si="143"/>
        <v>0</v>
      </c>
      <c r="EJ63" s="20">
        <f t="shared" ca="1" si="144"/>
        <v>0</v>
      </c>
      <c r="EK63" s="20">
        <f t="shared" ca="1" si="145"/>
        <v>0</v>
      </c>
      <c r="EL63" s="20">
        <f t="shared" ca="1" si="146"/>
        <v>0</v>
      </c>
      <c r="EM63" s="20">
        <f t="shared" ca="1" si="147"/>
        <v>0</v>
      </c>
      <c r="EN63" s="20">
        <f t="shared" ca="1" si="148"/>
        <v>0</v>
      </c>
      <c r="EO63" s="20">
        <f t="shared" ca="1" si="149"/>
        <v>0</v>
      </c>
      <c r="EP63" s="20">
        <f t="shared" ca="1" si="150"/>
        <v>0</v>
      </c>
      <c r="EQ63" s="17" t="s">
        <v>145</v>
      </c>
      <c r="ER63" s="19">
        <v>656260664157.18896</v>
      </c>
      <c r="ES63" s="20">
        <f t="shared" si="79"/>
        <v>27.2098239008645</v>
      </c>
    </row>
    <row r="64" spans="1:149" ht="15">
      <c r="A64" s="21" t="s">
        <v>219</v>
      </c>
      <c r="B64" s="14">
        <f ca="1">LN(C64)</f>
        <v>27.580559956384029</v>
      </c>
      <c r="C64" s="14">
        <f ca="1">AVERAGE(C3:C63)</f>
        <v>950790857105.12036</v>
      </c>
      <c r="D64" s="18">
        <f>Marketplace_customer!C64/Marketplace_customer!C$2</f>
        <v>1.3397745571658628E-2</v>
      </c>
      <c r="E64" s="18">
        <f>Marketplace_customer!D64/Marketplace_customer!D$2</f>
        <v>0.25500000000000012</v>
      </c>
      <c r="F64" s="18">
        <f>Marketplace_customer!E64/Marketplace_customer!E$2</f>
        <v>2.2988505747126357E-2</v>
      </c>
      <c r="G64" s="18">
        <f>Marketplace_customer!F64/Marketplace_customer!F$2</f>
        <v>1.7006802721088437E-2</v>
      </c>
      <c r="H64" s="18">
        <f>Marketplace_customer!G64/Marketplace_customer!G$2</f>
        <v>1.5829875518672307E-2</v>
      </c>
      <c r="I64" s="18">
        <f>Marketplace_customer!H64/Marketplace_customer!H$2</f>
        <v>2.614727854855926E-2</v>
      </c>
      <c r="J64" s="18">
        <f>Marketplace_customer!I64/Marketplace_customer!I$2</f>
        <v>3.0871670702179315E-2</v>
      </c>
      <c r="K64" s="18">
        <f>Marketplace_customer!J64/Marketplace_customer!J$2</f>
        <v>6.5573770491802654E-3</v>
      </c>
      <c r="L64" s="18">
        <f>Marketplace_customer!K64/Marketplace_customer!K$2</f>
        <v>4.943113772455072E-3</v>
      </c>
      <c r="M64" s="18">
        <f>Marketplace_customer!L64/Marketplace_customer!L$2</f>
        <v>3.6585365853658409E-2</v>
      </c>
      <c r="N64" s="18">
        <f>Marketplace_customer!M64/Marketplace_customer!M$2</f>
        <v>0</v>
      </c>
      <c r="O64" s="18">
        <f>Marketplace_customer!N64/Marketplace_customer!N$2</f>
        <v>4.0598290598290572E-2</v>
      </c>
      <c r="P64" s="18">
        <f>Marketplace_customer!O64/Marketplace_customer!O$2</f>
        <v>0.10742127659574469</v>
      </c>
      <c r="Q64" s="18">
        <f>Marketplace_customer!P64/Marketplace_customer!P$2</f>
        <v>3.3936651583711692E-3</v>
      </c>
      <c r="R64" s="18">
        <f>Marketplace_customer!Q64/Marketplace_customer!Q$2</f>
        <v>3.1496062992125316E-3</v>
      </c>
      <c r="S64" s="18">
        <f>Marketplace_customer!R64/Marketplace_customer!R$2</f>
        <v>2.2012578616352292E-3</v>
      </c>
      <c r="T64" s="18">
        <f>Marketplace_customer!S64/Marketplace_customer!S$2</f>
        <v>7.0921985815602167E-3</v>
      </c>
      <c r="U64" s="18">
        <f>Marketplace_customer!T64/Marketplace_customer!T$2</f>
        <v>5.012531328320695E-3</v>
      </c>
      <c r="V64" s="18">
        <f>Marketplace_customer!U64/Marketplace_customer!U$2</f>
        <v>5.2380952380952951E-3</v>
      </c>
      <c r="W64" s="18">
        <f>Marketplace_customer!V64/Marketplace_customer!V$2</f>
        <v>2.832861189801539E-3</v>
      </c>
      <c r="X64" s="18">
        <f>Marketplace_customer!W64/Marketplace_customer!W$2</f>
        <v>3.4482758620689689E-2</v>
      </c>
      <c r="Y64" s="18">
        <f>Marketplace_customer!X64/Marketplace_customer!X$2</f>
        <v>2.209643605870025E-2</v>
      </c>
      <c r="Z64" s="18">
        <f>Marketplace_customer!Y64/Marketplace_customer!Y$2</f>
        <v>0.36170212765957449</v>
      </c>
      <c r="AA64" s="18">
        <f>Marketplace_customer!Z64/Marketplace_customer!Z$2</f>
        <v>6.0975609756097456E-2</v>
      </c>
      <c r="AB64" s="18">
        <f>Marketplace_customer!AA64/Marketplace_customer!AA$2</f>
        <v>2.4050632911392453E-2</v>
      </c>
      <c r="AC64" s="18">
        <f>Marketplace_customer!AB64/Marketplace_customer!AB$2</f>
        <v>2.1052631578947479E-2</v>
      </c>
      <c r="AD64" s="18">
        <f>Marketplace_customer!AC64/Marketplace_customer!AC$2</f>
        <v>7.8748427672955895E-2</v>
      </c>
      <c r="AE64" s="18">
        <f>Marketplace_customer!AD64/Marketplace_customer!AD$2</f>
        <v>2.0072332730560569E-2</v>
      </c>
      <c r="AF64" s="18">
        <f>Marketplace_customer!AE64/Marketplace_customer!AE$2</f>
        <v>2.9195088676671224E-2</v>
      </c>
      <c r="AG64" s="18">
        <f>Marketplace_customer!AF64/Marketplace_customer!AF$2</f>
        <v>1.8481481481481436E-2</v>
      </c>
      <c r="AH64" s="18">
        <f>Marketplace_customer!AG64/Marketplace_customer!AG$2</f>
        <v>4.7422680412371077E-2</v>
      </c>
      <c r="AI64" s="18">
        <f>Marketplace_customer!AH64/Marketplace_customer!AH$2</f>
        <v>6.9444444444444198E-3</v>
      </c>
      <c r="AJ64" s="18">
        <f>Marketplace_customer!AI64/Marketplace_customer!AI$2</f>
        <v>2.33918128654972E-2</v>
      </c>
      <c r="AK64" s="18">
        <f>Marketplace_customer!AJ64/Marketplace_customer!AJ$2</f>
        <v>3.6363636363636397E-2</v>
      </c>
      <c r="AL64" s="18">
        <f>Marketplace_customer!AK64/Marketplace_customer!AK$2</f>
        <v>4.0752351097178716E-2</v>
      </c>
      <c r="AM64" s="18">
        <f>Marketplace_customer!AL64/Marketplace_customer!AL$2</f>
        <v>4.0769230769230891E-2</v>
      </c>
      <c r="AN64" s="18">
        <f>Marketplace_customer!AM64/Marketplace_customer!AM$2</f>
        <v>3.4188034188034087E-2</v>
      </c>
      <c r="AO64" s="18">
        <f>Marketplace_customer!AN64/Marketplace_customer!AN$2</f>
        <v>9.1001011122346376E-3</v>
      </c>
      <c r="AP64" s="18">
        <f>Marketplace_customer!AO64/Marketplace_customer!AO$2</f>
        <v>0.1</v>
      </c>
      <c r="AQ64" s="18">
        <f>Marketplace_customer!AP64/Marketplace_customer!AP$2</f>
        <v>0.10714285714285708</v>
      </c>
      <c r="AR64" s="18">
        <f>Marketplace_customer!AQ64/Marketplace_customer!AQ$2</f>
        <v>1.115879828326187E-2</v>
      </c>
      <c r="AS64" s="18">
        <f>Marketplace_customer!AR64/Marketplace_customer!AR$2</f>
        <v>9.3548387096773922E-3</v>
      </c>
      <c r="AT64" s="18">
        <f>Marketplace_customer!AS64/Marketplace_customer!AS$2</f>
        <v>2.3543307086614135E-2</v>
      </c>
      <c r="AU64" s="18">
        <f>Marketplace_customer!AT64/Marketplace_customer!AT$2</f>
        <v>0</v>
      </c>
      <c r="AV64" s="18">
        <f>Marketplace_customer!AU64/Marketplace_customer!AU$2</f>
        <v>4.3010752688172081E-2</v>
      </c>
      <c r="AW64" s="18">
        <f>Marketplace_customer!AV64/Marketplace_customer!AV$2</f>
        <v>3.738317757009333E-2</v>
      </c>
      <c r="AX64" s="18">
        <f>Marketplace_customer!AW64/Marketplace_customer!AW$2</f>
        <v>2.9826732673265527E-3</v>
      </c>
      <c r="AY64" s="18">
        <f>Marketplace_customer!AX64/Marketplace_customer!AX$2</f>
        <v>2.051282051282053E-2</v>
      </c>
      <c r="AZ64" s="18">
        <f>Marketplace_customer!AY64/Marketplace_customer!AY$2</f>
        <v>6.6272346206735176E-4</v>
      </c>
      <c r="BA64" s="18">
        <f>Marketplace_customer!AZ64/Marketplace_customer!AZ$2</f>
        <v>1.7515923566878998E-2</v>
      </c>
      <c r="BB64" s="18">
        <f>Marketplace_customer!BA64/Marketplace_customer!BA$2</f>
        <v>2.5089605734767047E-2</v>
      </c>
      <c r="BC64" s="18">
        <f>Marketplace_customer!BB64/Marketplace_customer!BB$2</f>
        <v>0.18000000000000008</v>
      </c>
      <c r="BD64" s="18">
        <f>Marketplace_customer!BC64/Marketplace_customer!BC$2</f>
        <v>2.1540880503144615E-2</v>
      </c>
      <c r="BE64" s="18">
        <f>Marketplace_customer!BD64/Marketplace_customer!BD$2</f>
        <v>0.43</v>
      </c>
      <c r="BF64" s="18">
        <f>Marketplace_customer!BE64/Marketplace_customer!BE$2</f>
        <v>6.2500000000000056E-2</v>
      </c>
      <c r="BG64" s="18">
        <f>Marketplace_customer!BF64/Marketplace_customer!BF$2</f>
        <v>1.1235955056179735E-2</v>
      </c>
      <c r="BH64" s="18">
        <f>Marketplace_customer!BG64/Marketplace_customer!BG$2</f>
        <v>3.703703703703707E-2</v>
      </c>
      <c r="BI64" s="18">
        <f>Marketplace_customer!BH64/Marketplace_customer!BH$2</f>
        <v>1.4155926473695367E-2</v>
      </c>
      <c r="BJ64" s="18">
        <f>Marketplace_customer!BI64/Marketplace_customer!BI$2</f>
        <v>6.6666666666666721E-2</v>
      </c>
      <c r="BK64" s="18">
        <f>Marketplace_customer!BJ64/Marketplace_customer!BJ$2</f>
        <v>1.1316641342406172E-2</v>
      </c>
      <c r="BL64" s="18">
        <f>Marketplace_customer!BK64/Marketplace_customer!BK$2</f>
        <v>0</v>
      </c>
      <c r="BM64" s="18">
        <f>Marketplace_customer!BL64/Marketplace_customer!BL$2</f>
        <v>0.2816949152542374</v>
      </c>
      <c r="BN64" s="18">
        <f>Marketplace_customer!BM64/Marketplace_customer!BM$2</f>
        <v>6.3900414937759359E-2</v>
      </c>
      <c r="BO64" s="18">
        <f>Marketplace_customer!BN64/Marketplace_customer!BN$2</f>
        <v>3.8461538461538491E-2</v>
      </c>
      <c r="BP64" s="18">
        <f>Marketplace_customer!BO64/Marketplace_customer!BO$2</f>
        <v>4.9530315969256904E-3</v>
      </c>
      <c r="BQ64" s="18">
        <f>Marketplace_customer!BP64/Marketplace_customer!BP$2</f>
        <v>2.1276595744680965E-2</v>
      </c>
      <c r="BR64" s="18">
        <f>Marketplace_customer!BQ64/Marketplace_customer!BQ$2</f>
        <v>1.6187845303867441E-2</v>
      </c>
      <c r="BS64" s="18">
        <f>Marketplace_customer!BR64/Marketplace_customer!BR$2</f>
        <v>3.1388888888888876E-2</v>
      </c>
      <c r="BT64" s="18">
        <f>Marketplace_customer!BS64/Marketplace_customer!BS$2</f>
        <v>1.5454545454545448E-2</v>
      </c>
      <c r="BU64" s="18">
        <f>Marketplace_customer!BT64/Marketplace_customer!BT$2</f>
        <v>4.0948275862068936E-2</v>
      </c>
      <c r="BV64" s="18">
        <f>Marketplace_customer!BU64/Marketplace_customer!BU$2</f>
        <v>2.3809523809523937E-2</v>
      </c>
      <c r="BW64" s="19"/>
      <c r="BX64" s="20">
        <f t="shared" ca="1" si="80"/>
        <v>12738453995.353638</v>
      </c>
      <c r="BY64" s="20">
        <f t="shared" ca="1" si="81"/>
        <v>242451668561.80582</v>
      </c>
      <c r="BZ64" s="20">
        <f t="shared" ca="1" si="82"/>
        <v>21857261082.876255</v>
      </c>
      <c r="CA64" s="20">
        <f t="shared" ca="1" si="83"/>
        <v>16169912535.801369</v>
      </c>
      <c r="CB64" s="20">
        <f t="shared" ca="1" si="84"/>
        <v>15050900912.265804</v>
      </c>
      <c r="CC64" s="20">
        <f t="shared" ca="1" si="85"/>
        <v>24860593382.150986</v>
      </c>
      <c r="CD64" s="20">
        <f t="shared" ca="1" si="86"/>
        <v>29352502247.192104</v>
      </c>
      <c r="CE64" s="20">
        <f t="shared" ca="1" si="87"/>
        <v>6234694144.9515495</v>
      </c>
      <c r="CF64" s="20">
        <f t="shared" ca="1" si="88"/>
        <v>4699867380.4806824</v>
      </c>
      <c r="CG64" s="20">
        <f t="shared" ca="1" si="89"/>
        <v>34785031357.50428</v>
      </c>
      <c r="CH64" s="20">
        <f t="shared" ca="1" si="90"/>
        <v>0</v>
      </c>
      <c r="CI64" s="20">
        <f t="shared" ca="1" si="91"/>
        <v>38600483514.951439</v>
      </c>
      <c r="CJ64" s="20">
        <f t="shared" ca="1" si="92"/>
        <v>102135167645.7943</v>
      </c>
      <c r="CK64" s="20">
        <f t="shared" ca="1" si="93"/>
        <v>3226665804.655508</v>
      </c>
      <c r="CL64" s="20">
        <f t="shared" ca="1" si="94"/>
        <v>2994616872.7719693</v>
      </c>
      <c r="CM64" s="20">
        <f t="shared" ca="1" si="95"/>
        <v>2092935848.9735439</v>
      </c>
      <c r="CN64" s="20">
        <f t="shared" ca="1" si="96"/>
        <v>6743197568.121357</v>
      </c>
      <c r="CO64" s="20">
        <f t="shared" ca="1" si="97"/>
        <v>4765868957.9203014</v>
      </c>
      <c r="CP64" s="20">
        <f t="shared" ca="1" si="98"/>
        <v>4980333061.0268755</v>
      </c>
      <c r="CQ64" s="20">
        <f t="shared" ca="1" si="99"/>
        <v>2693458518.7112365</v>
      </c>
      <c r="CR64" s="20">
        <f t="shared" ca="1" si="100"/>
        <v>32785891624.314529</v>
      </c>
      <c r="CS64" s="20">
        <f t="shared" ca="1" si="101"/>
        <v>21009089379.220097</v>
      </c>
      <c r="CT64" s="20">
        <f t="shared" ca="1" si="102"/>
        <v>343903075974.1925</v>
      </c>
      <c r="CU64" s="20">
        <f t="shared" ca="1" si="103"/>
        <v>57975052262.50724</v>
      </c>
      <c r="CV64" s="20">
        <f t="shared" ca="1" si="104"/>
        <v>22867121879.743446</v>
      </c>
      <c r="CW64" s="20">
        <f t="shared" ca="1" si="105"/>
        <v>20016649623.265797</v>
      </c>
      <c r="CX64" s="20">
        <f t="shared" ca="1" si="106"/>
        <v>74873285042.850311</v>
      </c>
      <c r="CY64" s="20">
        <f t="shared" ca="1" si="107"/>
        <v>19084590440.988846</v>
      </c>
      <c r="CZ64" s="20">
        <f t="shared" ca="1" si="108"/>
        <v>27758423386.152225</v>
      </c>
      <c r="DA64" s="20">
        <f t="shared" ca="1" si="109"/>
        <v>17572023618.350143</v>
      </c>
      <c r="DB64" s="20">
        <f t="shared" ca="1" si="110"/>
        <v>45089050955.500496</v>
      </c>
      <c r="DC64" s="20">
        <f t="shared" ca="1" si="111"/>
        <v>6602714285.4522009</v>
      </c>
      <c r="DD64" s="20">
        <f t="shared" ca="1" si="112"/>
        <v>22240721803.628662</v>
      </c>
      <c r="DE64" s="20">
        <f t="shared" ca="1" si="113"/>
        <v>34574212985.64077</v>
      </c>
      <c r="DF64" s="20">
        <f t="shared" ca="1" si="114"/>
        <v>38746962828.735344</v>
      </c>
      <c r="DG64" s="20">
        <f t="shared" ca="1" si="115"/>
        <v>38763011866.593483</v>
      </c>
      <c r="DH64" s="20">
        <f t="shared" ca="1" si="116"/>
        <v>32505670328.380089</v>
      </c>
      <c r="DI64" s="20">
        <f t="shared" ca="1" si="117"/>
        <v>8652292936.2448311</v>
      </c>
      <c r="DJ64" s="20">
        <f t="shared" ca="1" si="118"/>
        <v>95079085710.512039</v>
      </c>
      <c r="DK64" s="20">
        <f t="shared" ca="1" si="119"/>
        <v>101870448975.54855</v>
      </c>
      <c r="DL64" s="20">
        <f t="shared" ca="1" si="120"/>
        <v>10609683384.005699</v>
      </c>
      <c r="DM64" s="20">
        <f t="shared" ca="1" si="121"/>
        <v>8894495114.8543262</v>
      </c>
      <c r="DN64" s="20">
        <f t="shared" ca="1" si="122"/>
        <v>22384761123.970909</v>
      </c>
      <c r="DO64" s="20">
        <f t="shared" ca="1" si="123"/>
        <v>0</v>
      </c>
      <c r="DP64" s="20">
        <f t="shared" ca="1" si="124"/>
        <v>40894230413.123489</v>
      </c>
      <c r="DQ64" s="20">
        <f t="shared" ca="1" si="125"/>
        <v>35543583443.181946</v>
      </c>
      <c r="DR64" s="20">
        <f t="shared" ca="1" si="126"/>
        <v>2835898472.305943</v>
      </c>
      <c r="DS64" s="20">
        <f t="shared" ca="1" si="127"/>
        <v>19503402197.028126</v>
      </c>
      <c r="DT64" s="20">
        <f t="shared" ca="1" si="128"/>
        <v>630111408.52269006</v>
      </c>
      <c r="DU64" s="20">
        <f t="shared" ca="1" si="129"/>
        <v>16653979981.140659</v>
      </c>
      <c r="DV64" s="20">
        <f t="shared" ca="1" si="130"/>
        <v>23854967740.988705</v>
      </c>
      <c r="DW64" s="20">
        <f t="shared" ca="1" si="131"/>
        <v>171142354278.92175</v>
      </c>
      <c r="DX64" s="20">
        <f t="shared" ca="1" si="132"/>
        <v>20480872236.383846</v>
      </c>
      <c r="DY64" s="20">
        <f t="shared" ca="1" si="133"/>
        <v>408840068555.20172</v>
      </c>
      <c r="DZ64" s="20">
        <f t="shared" ca="1" si="134"/>
        <v>59424428569.070076</v>
      </c>
      <c r="EA64" s="20">
        <f t="shared" ca="1" si="135"/>
        <v>10683043338.259741</v>
      </c>
      <c r="EB64" s="20">
        <f t="shared" ca="1" si="136"/>
        <v>35214476189.07856</v>
      </c>
      <c r="EC64" s="20">
        <f t="shared" ca="1" si="137"/>
        <v>13459325465.041882</v>
      </c>
      <c r="ED64" s="20">
        <f t="shared" ca="1" si="138"/>
        <v>63386057140.341408</v>
      </c>
      <c r="EE64" s="20">
        <f t="shared" ca="1" si="139"/>
        <v>10759759121.497604</v>
      </c>
      <c r="EF64" s="20">
        <f t="shared" ca="1" si="140"/>
        <v>0</v>
      </c>
      <c r="EG64" s="20">
        <f t="shared" ca="1" si="141"/>
        <v>267832949916.73062</v>
      </c>
      <c r="EH64" s="20">
        <f t="shared" ca="1" si="142"/>
        <v>60755930288.045059</v>
      </c>
      <c r="EI64" s="20">
        <f t="shared" ca="1" si="143"/>
        <v>36568879119.427734</v>
      </c>
      <c r="EJ64" s="20">
        <f t="shared" ca="1" si="144"/>
        <v>4709297157.30972</v>
      </c>
      <c r="EK64" s="20">
        <f t="shared" ca="1" si="145"/>
        <v>20229592704.364372</v>
      </c>
      <c r="EL64" s="20">
        <f t="shared" ca="1" si="146"/>
        <v>15391255311.149221</v>
      </c>
      <c r="EM64" s="20">
        <f t="shared" ca="1" si="147"/>
        <v>29844268570.244045</v>
      </c>
      <c r="EN64" s="20">
        <f t="shared" ca="1" si="148"/>
        <v>14694040518.897308</v>
      </c>
      <c r="EO64" s="20">
        <f t="shared" ca="1" si="149"/>
        <v>38933246303.873436</v>
      </c>
      <c r="EP64" s="20">
        <f t="shared" ca="1" si="150"/>
        <v>22637877550.122036</v>
      </c>
      <c r="EQ64" s="17" t="s">
        <v>146</v>
      </c>
      <c r="ER64" s="19">
        <v>18077919873856.5</v>
      </c>
      <c r="ES64" s="20">
        <f t="shared" si="79"/>
        <v>30.525712413048929</v>
      </c>
    </row>
    <row r="65" spans="1:149" ht="15">
      <c r="A65" s="22"/>
      <c r="B65" s="23"/>
      <c r="C65" s="23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9"/>
      <c r="AM65" s="19"/>
      <c r="AN65" s="19"/>
      <c r="AO65" s="19"/>
      <c r="AP65" s="19"/>
      <c r="AQ65" s="19"/>
      <c r="AR65" s="19"/>
      <c r="AS65" s="19"/>
      <c r="AT65" s="19"/>
      <c r="AU65" s="19"/>
      <c r="AV65" s="19"/>
      <c r="AW65" s="19"/>
      <c r="AX65" s="19"/>
      <c r="AY65" s="19"/>
      <c r="AZ65" s="19"/>
      <c r="BA65" s="19"/>
      <c r="BB65" s="19"/>
      <c r="BC65" s="19"/>
      <c r="BD65" s="19"/>
      <c r="BE65" s="19"/>
      <c r="BF65" s="19"/>
      <c r="BG65" s="19"/>
      <c r="BH65" s="19"/>
      <c r="BI65" s="19"/>
      <c r="BJ65" s="19"/>
      <c r="BK65" s="19"/>
      <c r="BL65" s="19"/>
      <c r="BM65" s="19"/>
      <c r="BN65" s="19"/>
      <c r="BO65" s="19"/>
      <c r="BP65" s="19"/>
      <c r="BQ65" s="19"/>
      <c r="BR65" s="19"/>
      <c r="BS65" s="19"/>
      <c r="BT65" s="19"/>
      <c r="BU65" s="19"/>
      <c r="BV65" s="19"/>
      <c r="BW65" s="19"/>
      <c r="BX65" s="20"/>
      <c r="BY65" s="20"/>
      <c r="BZ65" s="20"/>
      <c r="CA65" s="20"/>
      <c r="CB65" s="20"/>
      <c r="CC65" s="20"/>
      <c r="CD65" s="20"/>
      <c r="CE65" s="20"/>
      <c r="CF65" s="20"/>
      <c r="CG65" s="20"/>
      <c r="CH65" s="20"/>
      <c r="CI65" s="20"/>
      <c r="CJ65" s="20"/>
      <c r="CK65" s="20"/>
      <c r="CL65" s="20"/>
      <c r="CM65" s="20"/>
      <c r="CN65" s="20"/>
      <c r="CO65" s="20"/>
      <c r="CP65" s="20"/>
      <c r="CQ65" s="20"/>
      <c r="CR65" s="20"/>
      <c r="CS65" s="20"/>
      <c r="CT65" s="20"/>
      <c r="CU65" s="20"/>
      <c r="CV65" s="20"/>
      <c r="CW65" s="20"/>
      <c r="CX65" s="20"/>
      <c r="CY65" s="20"/>
      <c r="CZ65" s="20"/>
      <c r="DA65" s="20"/>
      <c r="DB65" s="20"/>
      <c r="DC65" s="20"/>
      <c r="DD65" s="20"/>
      <c r="DE65" s="20"/>
      <c r="DF65" s="20"/>
      <c r="DG65" s="20"/>
      <c r="DH65" s="20"/>
      <c r="DI65" s="20"/>
      <c r="DJ65" s="20"/>
      <c r="DK65" s="20"/>
      <c r="DL65" s="20"/>
      <c r="DM65" s="20"/>
      <c r="DN65" s="20"/>
      <c r="DO65" s="20"/>
      <c r="DP65" s="20"/>
      <c r="DQ65" s="20"/>
      <c r="DR65" s="20"/>
      <c r="DS65" s="20"/>
      <c r="DT65" s="20"/>
      <c r="DU65" s="20"/>
      <c r="DV65" s="20"/>
      <c r="DW65" s="20"/>
      <c r="DX65" s="20"/>
      <c r="DY65" s="20"/>
      <c r="DZ65" s="20"/>
      <c r="EA65" s="20"/>
      <c r="EB65" s="20"/>
      <c r="EC65" s="20"/>
      <c r="ED65" s="20"/>
      <c r="EE65" s="20"/>
      <c r="EF65" s="20"/>
      <c r="EG65" s="20"/>
      <c r="EH65" s="20"/>
      <c r="EI65" s="20"/>
      <c r="EJ65" s="20"/>
      <c r="EK65" s="20"/>
      <c r="EL65" s="20"/>
      <c r="EM65" s="20"/>
      <c r="EN65" s="20"/>
      <c r="EO65" s="20"/>
      <c r="EP65" s="20"/>
      <c r="EQ65" s="17" t="s">
        <v>147</v>
      </c>
      <c r="ER65" s="19">
        <v>233186538208.539</v>
      </c>
      <c r="ES65" s="20">
        <f t="shared" si="79"/>
        <v>26.175104563378039</v>
      </c>
    </row>
    <row r="66" spans="1:149" ht="15">
      <c r="A66" s="22"/>
      <c r="B66" s="23"/>
      <c r="C66" s="23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  <c r="AM66" s="19"/>
      <c r="AN66" s="19"/>
      <c r="AO66" s="19"/>
      <c r="AP66" s="19"/>
      <c r="AQ66" s="19"/>
      <c r="AR66" s="19"/>
      <c r="AS66" s="19"/>
      <c r="AT66" s="19"/>
      <c r="AU66" s="19"/>
      <c r="AV66" s="19"/>
      <c r="AW66" s="19"/>
      <c r="AX66" s="19"/>
      <c r="AY66" s="19"/>
      <c r="AZ66" s="19"/>
      <c r="BA66" s="19"/>
      <c r="BB66" s="19"/>
      <c r="BC66" s="19"/>
      <c r="BD66" s="19"/>
      <c r="BE66" s="19"/>
      <c r="BF66" s="19"/>
      <c r="BG66" s="19"/>
      <c r="BH66" s="19"/>
      <c r="BI66" s="19"/>
      <c r="BJ66" s="19"/>
      <c r="BK66" s="19"/>
      <c r="BL66" s="19"/>
      <c r="BM66" s="19"/>
      <c r="BN66" s="19"/>
      <c r="BO66" s="19"/>
      <c r="BP66" s="19"/>
      <c r="BQ66" s="19"/>
      <c r="BR66" s="19"/>
      <c r="BS66" s="19"/>
      <c r="BT66" s="19"/>
      <c r="BU66" s="19"/>
      <c r="BV66" s="19"/>
      <c r="BW66" s="19"/>
      <c r="BX66" s="20"/>
      <c r="BY66" s="20"/>
      <c r="BZ66" s="20"/>
      <c r="CA66" s="20"/>
      <c r="CB66" s="20"/>
      <c r="CC66" s="20"/>
      <c r="CD66" s="20"/>
      <c r="CE66" s="20"/>
      <c r="CF66" s="20"/>
      <c r="CG66" s="20"/>
      <c r="CH66" s="20"/>
      <c r="CI66" s="20"/>
      <c r="CJ66" s="20"/>
      <c r="CK66" s="20"/>
      <c r="CL66" s="20"/>
      <c r="CM66" s="20"/>
      <c r="CN66" s="20"/>
      <c r="CO66" s="20"/>
      <c r="CP66" s="20"/>
      <c r="CQ66" s="20"/>
      <c r="CR66" s="20"/>
      <c r="CS66" s="20"/>
      <c r="CT66" s="20"/>
      <c r="CU66" s="20"/>
      <c r="CV66" s="20"/>
      <c r="CW66" s="20"/>
      <c r="CX66" s="20"/>
      <c r="CY66" s="20"/>
      <c r="CZ66" s="20"/>
      <c r="DA66" s="20"/>
      <c r="DB66" s="20"/>
      <c r="DC66" s="20"/>
      <c r="DD66" s="20"/>
      <c r="DE66" s="20"/>
      <c r="DF66" s="20"/>
      <c r="DG66" s="20"/>
      <c r="DH66" s="20"/>
      <c r="DI66" s="20"/>
      <c r="DJ66" s="20"/>
      <c r="DK66" s="20"/>
      <c r="DL66" s="20"/>
      <c r="DM66" s="20"/>
      <c r="DN66" s="20"/>
      <c r="DO66" s="20"/>
      <c r="DP66" s="20"/>
      <c r="DQ66" s="20"/>
      <c r="DR66" s="20"/>
      <c r="DS66" s="20"/>
      <c r="DT66" s="20"/>
      <c r="DU66" s="20"/>
      <c r="DV66" s="20"/>
      <c r="DW66" s="20"/>
      <c r="DX66" s="20"/>
      <c r="DY66" s="20"/>
      <c r="DZ66" s="20"/>
      <c r="EA66" s="20"/>
      <c r="EB66" s="20"/>
      <c r="EC66" s="20"/>
      <c r="ED66" s="20"/>
      <c r="EE66" s="20"/>
      <c r="EF66" s="20"/>
      <c r="EG66" s="20"/>
      <c r="EH66" s="20"/>
      <c r="EI66" s="20"/>
      <c r="EJ66" s="20"/>
      <c r="EK66" s="20"/>
      <c r="EL66" s="20"/>
      <c r="EM66" s="20"/>
      <c r="EN66" s="20"/>
      <c r="EO66" s="20"/>
      <c r="EP66" s="20"/>
      <c r="EQ66" s="17" t="s">
        <v>148</v>
      </c>
      <c r="ER66" s="19">
        <v>1023019818328.97</v>
      </c>
      <c r="ES66" s="20">
        <f t="shared" ref="ES66:ES97" si="152">LN(ER66)</f>
        <v>27.65377997546598</v>
      </c>
    </row>
    <row r="67" spans="1:149" ht="15">
      <c r="A67" s="22"/>
      <c r="B67" s="23"/>
      <c r="C67" s="23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  <c r="AM67" s="19"/>
      <c r="AN67" s="19"/>
      <c r="AO67" s="19"/>
      <c r="AP67" s="19"/>
      <c r="AQ67" s="19"/>
      <c r="AR67" s="19"/>
      <c r="AS67" s="19"/>
      <c r="AT67" s="19"/>
      <c r="AU67" s="19"/>
      <c r="AV67" s="19"/>
      <c r="AW67" s="19"/>
      <c r="AX67" s="19"/>
      <c r="AY67" s="19"/>
      <c r="AZ67" s="19"/>
      <c r="BA67" s="19"/>
      <c r="BB67" s="19"/>
      <c r="BC67" s="19"/>
      <c r="BD67" s="19"/>
      <c r="BE67" s="19"/>
      <c r="BF67" s="19"/>
      <c r="BG67" s="19"/>
      <c r="BH67" s="19"/>
      <c r="BI67" s="19"/>
      <c r="BJ67" s="19"/>
      <c r="BK67" s="19"/>
      <c r="BL67" s="19"/>
      <c r="BM67" s="19"/>
      <c r="BN67" s="19"/>
      <c r="BO67" s="19"/>
      <c r="BP67" s="19"/>
      <c r="BQ67" s="19"/>
      <c r="BR67" s="19"/>
      <c r="BS67" s="19"/>
      <c r="BT67" s="19"/>
      <c r="BU67" s="19"/>
      <c r="BV67" s="19"/>
      <c r="BW67" s="19"/>
      <c r="BX67" s="20"/>
      <c r="BY67" s="20"/>
      <c r="BZ67" s="20"/>
      <c r="CA67" s="20"/>
      <c r="CB67" s="20"/>
      <c r="CC67" s="20"/>
      <c r="CD67" s="20"/>
      <c r="CE67" s="20"/>
      <c r="CF67" s="20"/>
      <c r="CG67" s="20"/>
      <c r="CH67" s="20"/>
      <c r="CI67" s="20"/>
      <c r="CJ67" s="20"/>
      <c r="CK67" s="20"/>
      <c r="CL67" s="20"/>
      <c r="CM67" s="20"/>
      <c r="CN67" s="20"/>
      <c r="CO67" s="20"/>
      <c r="CP67" s="20"/>
      <c r="CQ67" s="20"/>
      <c r="CR67" s="20"/>
      <c r="CS67" s="20"/>
      <c r="CT67" s="20"/>
      <c r="CU67" s="20"/>
      <c r="CV67" s="20"/>
      <c r="CW67" s="20"/>
      <c r="CX67" s="20"/>
      <c r="CY67" s="20"/>
      <c r="CZ67" s="20"/>
      <c r="DA67" s="20"/>
      <c r="DB67" s="20"/>
      <c r="DC67" s="20"/>
      <c r="DD67" s="20"/>
      <c r="DE67" s="20"/>
      <c r="DF67" s="20"/>
      <c r="DG67" s="20"/>
      <c r="DH67" s="20"/>
      <c r="DI67" s="20"/>
      <c r="DJ67" s="20"/>
      <c r="DK67" s="20"/>
      <c r="DL67" s="20"/>
      <c r="DM67" s="20"/>
      <c r="DN67" s="20"/>
      <c r="DO67" s="20"/>
      <c r="DP67" s="20"/>
      <c r="DQ67" s="20"/>
      <c r="DR67" s="20"/>
      <c r="DS67" s="20"/>
      <c r="DT67" s="20"/>
      <c r="DU67" s="20"/>
      <c r="DV67" s="20"/>
      <c r="DW67" s="20"/>
      <c r="DX67" s="20"/>
      <c r="DY67" s="20"/>
      <c r="DZ67" s="20"/>
      <c r="EA67" s="20"/>
      <c r="EB67" s="20"/>
      <c r="EC67" s="20"/>
      <c r="ED67" s="20"/>
      <c r="EE67" s="20"/>
      <c r="EF67" s="20"/>
      <c r="EG67" s="20"/>
      <c r="EH67" s="20"/>
      <c r="EI67" s="20"/>
      <c r="EJ67" s="20"/>
      <c r="EK67" s="20"/>
      <c r="EL67" s="20"/>
      <c r="EM67" s="20"/>
      <c r="EN67" s="20"/>
      <c r="EO67" s="20"/>
      <c r="EP67" s="20"/>
      <c r="EQ67" s="17" t="s">
        <v>149</v>
      </c>
      <c r="ER67" s="19">
        <v>220361269530.38699</v>
      </c>
      <c r="ES67" s="20">
        <f t="shared" si="152"/>
        <v>26.11853417069964</v>
      </c>
    </row>
    <row r="68" spans="1:149" ht="15">
      <c r="A68" s="22"/>
      <c r="B68" s="23"/>
      <c r="C68" s="23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  <c r="AM68" s="19"/>
      <c r="AN68" s="19"/>
      <c r="AO68" s="19"/>
      <c r="AP68" s="19"/>
      <c r="AQ68" s="19"/>
      <c r="AR68" s="19"/>
      <c r="AS68" s="19"/>
      <c r="AT68" s="19"/>
      <c r="AU68" s="19"/>
      <c r="AV68" s="19"/>
      <c r="AW68" s="19"/>
      <c r="AX68" s="19"/>
      <c r="AY68" s="19"/>
      <c r="AZ68" s="19"/>
      <c r="BA68" s="19"/>
      <c r="BB68" s="19"/>
      <c r="BC68" s="19"/>
      <c r="BD68" s="19"/>
      <c r="BE68" s="19"/>
      <c r="BF68" s="19"/>
      <c r="BG68" s="19"/>
      <c r="BH68" s="19"/>
      <c r="BI68" s="19"/>
      <c r="BJ68" s="19"/>
      <c r="BK68" s="19"/>
      <c r="BL68" s="19"/>
      <c r="BM68" s="19"/>
      <c r="BN68" s="19"/>
      <c r="BO68" s="19"/>
      <c r="BP68" s="19"/>
      <c r="BQ68" s="19"/>
      <c r="BR68" s="19"/>
      <c r="BS68" s="19"/>
      <c r="BT68" s="19"/>
      <c r="BU68" s="19"/>
      <c r="BV68" s="19"/>
      <c r="BW68" s="19"/>
      <c r="BX68" s="20"/>
      <c r="BY68" s="20"/>
      <c r="BZ68" s="20"/>
      <c r="CA68" s="20"/>
      <c r="CB68" s="20"/>
      <c r="CC68" s="20"/>
      <c r="CD68" s="20"/>
      <c r="CE68" s="20"/>
      <c r="CF68" s="20"/>
      <c r="CG68" s="20"/>
      <c r="CH68" s="20"/>
      <c r="CI68" s="20"/>
      <c r="CJ68" s="20"/>
      <c r="CK68" s="20"/>
      <c r="CL68" s="20"/>
      <c r="CM68" s="20"/>
      <c r="CN68" s="20"/>
      <c r="CO68" s="20"/>
      <c r="CP68" s="20"/>
      <c r="CQ68" s="20"/>
      <c r="CR68" s="20"/>
      <c r="CS68" s="20"/>
      <c r="CT68" s="20"/>
      <c r="CU68" s="20"/>
      <c r="CV68" s="20"/>
      <c r="CW68" s="20"/>
      <c r="CX68" s="20"/>
      <c r="CY68" s="20"/>
      <c r="CZ68" s="20"/>
      <c r="DA68" s="20"/>
      <c r="DB68" s="20"/>
      <c r="DC68" s="20"/>
      <c r="DD68" s="20"/>
      <c r="DE68" s="20"/>
      <c r="DF68" s="20"/>
      <c r="DG68" s="20"/>
      <c r="DH68" s="20"/>
      <c r="DI68" s="20"/>
      <c r="DJ68" s="20"/>
      <c r="DK68" s="20"/>
      <c r="DL68" s="20"/>
      <c r="DM68" s="20"/>
      <c r="DN68" s="20"/>
      <c r="DO68" s="20"/>
      <c r="DP68" s="20"/>
      <c r="DQ68" s="20"/>
      <c r="DR68" s="20"/>
      <c r="DS68" s="20"/>
      <c r="DT68" s="20"/>
      <c r="DU68" s="20"/>
      <c r="DV68" s="20"/>
      <c r="DW68" s="20"/>
      <c r="DX68" s="20"/>
      <c r="DY68" s="20"/>
      <c r="DZ68" s="20"/>
      <c r="EA68" s="20"/>
      <c r="EB68" s="20"/>
      <c r="EC68" s="20"/>
      <c r="ED68" s="20"/>
      <c r="EE68" s="20"/>
      <c r="EF68" s="20"/>
      <c r="EG68" s="20"/>
      <c r="EH68" s="20"/>
      <c r="EI68" s="20"/>
      <c r="EJ68" s="20"/>
      <c r="EK68" s="20"/>
      <c r="EL68" s="20"/>
      <c r="EM68" s="20"/>
      <c r="EN68" s="20"/>
      <c r="EO68" s="20"/>
      <c r="EP68" s="20"/>
      <c r="EQ68" s="17" t="s">
        <v>150</v>
      </c>
      <c r="ER68" s="19">
        <v>1025909730149.98</v>
      </c>
      <c r="ES68" s="20">
        <f t="shared" si="152"/>
        <v>27.656600876496494</v>
      </c>
    </row>
    <row r="69" spans="1:149" ht="15">
      <c r="A69" s="22"/>
      <c r="B69" s="23"/>
      <c r="C69" s="23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  <c r="AM69" s="19"/>
      <c r="AN69" s="19"/>
      <c r="AO69" s="19"/>
      <c r="AP69" s="19"/>
      <c r="AQ69" s="19"/>
      <c r="AR69" s="19"/>
      <c r="AS69" s="19"/>
      <c r="AT69" s="19"/>
      <c r="AU69" s="19"/>
      <c r="AV69" s="19"/>
      <c r="AW69" s="19"/>
      <c r="AX69" s="19"/>
      <c r="AY69" s="19"/>
      <c r="AZ69" s="19"/>
      <c r="BA69" s="19"/>
      <c r="BB69" s="19"/>
      <c r="BC69" s="19"/>
      <c r="BD69" s="19"/>
      <c r="BE69" s="19"/>
      <c r="BF69" s="19"/>
      <c r="BG69" s="19"/>
      <c r="BH69" s="19"/>
      <c r="BI69" s="19"/>
      <c r="BJ69" s="19"/>
      <c r="BK69" s="19"/>
      <c r="BL69" s="19"/>
      <c r="BM69" s="19"/>
      <c r="BN69" s="19"/>
      <c r="BO69" s="19"/>
      <c r="BP69" s="19"/>
      <c r="BQ69" s="19"/>
      <c r="BR69" s="19"/>
      <c r="BS69" s="19"/>
      <c r="BT69" s="19"/>
      <c r="BU69" s="19"/>
      <c r="BV69" s="19"/>
      <c r="BW69" s="19"/>
      <c r="BX69" s="20"/>
      <c r="BY69" s="20"/>
      <c r="BZ69" s="20"/>
      <c r="CA69" s="20"/>
      <c r="CB69" s="20"/>
      <c r="CC69" s="20"/>
      <c r="CD69" s="20"/>
      <c r="CE69" s="20"/>
      <c r="CF69" s="20"/>
      <c r="CG69" s="20"/>
      <c r="CH69" s="20"/>
      <c r="CI69" s="20"/>
      <c r="CJ69" s="20"/>
      <c r="CK69" s="20"/>
      <c r="CL69" s="20"/>
      <c r="CM69" s="20"/>
      <c r="CN69" s="20"/>
      <c r="CO69" s="20"/>
      <c r="CP69" s="20"/>
      <c r="CQ69" s="20"/>
      <c r="CR69" s="20"/>
      <c r="CS69" s="20"/>
      <c r="CT69" s="20"/>
      <c r="CU69" s="20"/>
      <c r="CV69" s="20"/>
      <c r="CW69" s="20"/>
      <c r="CX69" s="20"/>
      <c r="CY69" s="20"/>
      <c r="CZ69" s="20"/>
      <c r="DA69" s="20"/>
      <c r="DB69" s="20"/>
      <c r="DC69" s="20"/>
      <c r="DD69" s="20"/>
      <c r="DE69" s="20"/>
      <c r="DF69" s="20"/>
      <c r="DG69" s="20"/>
      <c r="DH69" s="20"/>
      <c r="DI69" s="20"/>
      <c r="DJ69" s="20"/>
      <c r="DK69" s="20"/>
      <c r="DL69" s="20"/>
      <c r="DM69" s="20"/>
      <c r="DN69" s="20"/>
      <c r="DO69" s="20"/>
      <c r="DP69" s="20"/>
      <c r="DQ69" s="20"/>
      <c r="DR69" s="20"/>
      <c r="DS69" s="20"/>
      <c r="DT69" s="20"/>
      <c r="DU69" s="20"/>
      <c r="DV69" s="20"/>
      <c r="DW69" s="20"/>
      <c r="DX69" s="20"/>
      <c r="DY69" s="20"/>
      <c r="DZ69" s="20"/>
      <c r="EA69" s="20"/>
      <c r="EB69" s="20"/>
      <c r="EC69" s="20"/>
      <c r="ED69" s="20"/>
      <c r="EE69" s="20"/>
      <c r="EF69" s="20"/>
      <c r="EG69" s="20"/>
      <c r="EH69" s="20"/>
      <c r="EI69" s="20"/>
      <c r="EJ69" s="20"/>
      <c r="EK69" s="20"/>
      <c r="EL69" s="20"/>
      <c r="EM69" s="20"/>
      <c r="EN69" s="20"/>
      <c r="EO69" s="20"/>
      <c r="EP69" s="20"/>
      <c r="EQ69" s="17" t="s">
        <v>151</v>
      </c>
      <c r="ER69" s="19">
        <v>18248634804105.602</v>
      </c>
      <c r="ES69" s="20">
        <f t="shared" si="152"/>
        <v>30.535111387904507</v>
      </c>
    </row>
    <row r="70" spans="1:149" ht="15">
      <c r="A70" s="22"/>
      <c r="B70" s="23"/>
      <c r="C70" s="23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  <c r="AM70" s="19"/>
      <c r="AN70" s="19"/>
      <c r="AO70" s="19"/>
      <c r="AP70" s="19"/>
      <c r="AQ70" s="19"/>
      <c r="AR70" s="19"/>
      <c r="AS70" s="19"/>
      <c r="AT70" s="19"/>
      <c r="AU70" s="19"/>
      <c r="AV70" s="19"/>
      <c r="AW70" s="19"/>
      <c r="AX70" s="19"/>
      <c r="AY70" s="19"/>
      <c r="AZ70" s="19"/>
      <c r="BA70" s="19"/>
      <c r="BB70" s="19"/>
      <c r="BC70" s="19"/>
      <c r="BD70" s="19"/>
      <c r="BE70" s="19"/>
      <c r="BF70" s="19"/>
      <c r="BG70" s="19"/>
      <c r="BH70" s="19"/>
      <c r="BI70" s="19"/>
      <c r="BJ70" s="19"/>
      <c r="BK70" s="19"/>
      <c r="BL70" s="19"/>
      <c r="BM70" s="19"/>
      <c r="BN70" s="19"/>
      <c r="BO70" s="19"/>
      <c r="BP70" s="19"/>
      <c r="BQ70" s="19"/>
      <c r="BR70" s="19"/>
      <c r="BS70" s="19"/>
      <c r="BT70" s="19"/>
      <c r="BU70" s="19"/>
      <c r="BV70" s="19"/>
      <c r="BW70" s="19"/>
      <c r="BX70" s="20"/>
      <c r="BY70" s="20"/>
      <c r="BZ70" s="20"/>
      <c r="CA70" s="20"/>
      <c r="CB70" s="20"/>
      <c r="CC70" s="20"/>
      <c r="CD70" s="20"/>
      <c r="CE70" s="20"/>
      <c r="CF70" s="20"/>
      <c r="CG70" s="20"/>
      <c r="CH70" s="20"/>
      <c r="CI70" s="20"/>
      <c r="CJ70" s="20"/>
      <c r="CK70" s="20"/>
      <c r="CL70" s="20"/>
      <c r="CM70" s="20"/>
      <c r="CN70" s="20"/>
      <c r="CO70" s="20"/>
      <c r="CP70" s="20"/>
      <c r="CQ70" s="20"/>
      <c r="CR70" s="20"/>
      <c r="CS70" s="20"/>
      <c r="CT70" s="20"/>
      <c r="CU70" s="20"/>
      <c r="CV70" s="20"/>
      <c r="CW70" s="20"/>
      <c r="CX70" s="20"/>
      <c r="CY70" s="20"/>
      <c r="CZ70" s="20"/>
      <c r="DA70" s="20"/>
      <c r="DB70" s="20"/>
      <c r="DC70" s="20"/>
      <c r="DD70" s="20"/>
      <c r="DE70" s="20"/>
      <c r="DF70" s="20"/>
      <c r="DG70" s="20"/>
      <c r="DH70" s="20"/>
      <c r="DI70" s="20"/>
      <c r="DJ70" s="20"/>
      <c r="DK70" s="20"/>
      <c r="DL70" s="20"/>
      <c r="DM70" s="20"/>
      <c r="DN70" s="20"/>
      <c r="DO70" s="20"/>
      <c r="DP70" s="20"/>
      <c r="DQ70" s="20"/>
      <c r="DR70" s="20"/>
      <c r="DS70" s="20"/>
      <c r="DT70" s="20"/>
      <c r="DU70" s="20"/>
      <c r="DV70" s="20"/>
      <c r="DW70" s="20"/>
      <c r="DX70" s="20"/>
      <c r="DY70" s="20"/>
      <c r="DZ70" s="20"/>
      <c r="EA70" s="20"/>
      <c r="EB70" s="20"/>
      <c r="EC70" s="20"/>
      <c r="ED70" s="20"/>
      <c r="EE70" s="20"/>
      <c r="EF70" s="20"/>
      <c r="EG70" s="20"/>
      <c r="EH70" s="20"/>
      <c r="EI70" s="20"/>
      <c r="EJ70" s="20"/>
      <c r="EK70" s="20"/>
      <c r="EL70" s="20"/>
      <c r="EM70" s="20"/>
      <c r="EN70" s="20"/>
      <c r="EO70" s="20"/>
      <c r="EP70" s="20"/>
      <c r="EQ70" s="17" t="s">
        <v>152</v>
      </c>
      <c r="ER70" s="19">
        <v>1798845081716.47</v>
      </c>
      <c r="ES70" s="20">
        <f t="shared" si="152"/>
        <v>28.218165953635022</v>
      </c>
    </row>
    <row r="71" spans="1:149" ht="15">
      <c r="A71" s="22"/>
      <c r="B71" s="23"/>
      <c r="C71" s="23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/>
      <c r="AM71" s="19"/>
      <c r="AN71" s="19"/>
      <c r="AO71" s="19"/>
      <c r="AP71" s="19"/>
      <c r="AQ71" s="19"/>
      <c r="AR71" s="19"/>
      <c r="AS71" s="19"/>
      <c r="AT71" s="19"/>
      <c r="AU71" s="19"/>
      <c r="AV71" s="19"/>
      <c r="AW71" s="19"/>
      <c r="AX71" s="19"/>
      <c r="AY71" s="19"/>
      <c r="AZ71" s="19"/>
      <c r="BA71" s="19"/>
      <c r="BB71" s="19"/>
      <c r="BC71" s="19"/>
      <c r="BD71" s="19"/>
      <c r="BE71" s="19"/>
      <c r="BF71" s="19"/>
      <c r="BG71" s="19"/>
      <c r="BH71" s="19"/>
      <c r="BI71" s="19"/>
      <c r="BJ71" s="19"/>
      <c r="BK71" s="19"/>
      <c r="BL71" s="19"/>
      <c r="BM71" s="19"/>
      <c r="BN71" s="19"/>
      <c r="BO71" s="19"/>
      <c r="BP71" s="19"/>
      <c r="BQ71" s="19"/>
      <c r="BR71" s="19"/>
      <c r="BS71" s="19"/>
      <c r="BT71" s="19"/>
      <c r="BU71" s="19"/>
      <c r="BV71" s="19"/>
      <c r="BW71" s="19"/>
      <c r="BX71" s="20"/>
      <c r="BY71" s="20"/>
      <c r="BZ71" s="20"/>
      <c r="CA71" s="20"/>
      <c r="CB71" s="20"/>
      <c r="CC71" s="20"/>
      <c r="CD71" s="20"/>
      <c r="CE71" s="20"/>
      <c r="CF71" s="20"/>
      <c r="CG71" s="20"/>
      <c r="CH71" s="20"/>
      <c r="CI71" s="20"/>
      <c r="CJ71" s="20"/>
      <c r="CK71" s="20"/>
      <c r="CL71" s="20"/>
      <c r="CM71" s="20"/>
      <c r="CN71" s="20"/>
      <c r="CO71" s="20"/>
      <c r="CP71" s="20"/>
      <c r="CQ71" s="20"/>
      <c r="CR71" s="20"/>
      <c r="CS71" s="20"/>
      <c r="CT71" s="20"/>
      <c r="CU71" s="20"/>
      <c r="CV71" s="20"/>
      <c r="CW71" s="20"/>
      <c r="CX71" s="20"/>
      <c r="CY71" s="20"/>
      <c r="CZ71" s="20"/>
      <c r="DA71" s="20"/>
      <c r="DB71" s="20"/>
      <c r="DC71" s="20"/>
      <c r="DD71" s="20"/>
      <c r="DE71" s="20"/>
      <c r="DF71" s="20"/>
      <c r="DG71" s="20"/>
      <c r="DH71" s="20"/>
      <c r="DI71" s="20"/>
      <c r="DJ71" s="20"/>
      <c r="DK71" s="20"/>
      <c r="DL71" s="20"/>
      <c r="DM71" s="20"/>
      <c r="DN71" s="20"/>
      <c r="DO71" s="20"/>
      <c r="DP71" s="20"/>
      <c r="DQ71" s="20"/>
      <c r="DR71" s="20"/>
      <c r="DS71" s="20"/>
      <c r="DT71" s="20"/>
      <c r="DU71" s="20"/>
      <c r="DV71" s="20"/>
      <c r="DW71" s="20"/>
      <c r="DX71" s="20"/>
      <c r="DY71" s="20"/>
      <c r="DZ71" s="20"/>
      <c r="EA71" s="20"/>
      <c r="EB71" s="20"/>
      <c r="EC71" s="20"/>
      <c r="ED71" s="20"/>
      <c r="EE71" s="20"/>
      <c r="EF71" s="20"/>
      <c r="EG71" s="20"/>
      <c r="EH71" s="20"/>
      <c r="EI71" s="20"/>
      <c r="EJ71" s="20"/>
      <c r="EK71" s="20"/>
      <c r="EL71" s="20"/>
      <c r="EM71" s="20"/>
      <c r="EN71" s="20"/>
      <c r="EO71" s="20"/>
      <c r="EP71" s="20"/>
      <c r="EQ71" s="17" t="s">
        <v>153</v>
      </c>
      <c r="ER71" s="19">
        <v>18497858364838.301</v>
      </c>
      <c r="ES71" s="20">
        <f t="shared" si="152"/>
        <v>30.548676077248857</v>
      </c>
    </row>
    <row r="72" spans="1:149" ht="15">
      <c r="A72" s="22"/>
      <c r="B72" s="23"/>
      <c r="C72" s="23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  <c r="AM72" s="19"/>
      <c r="AN72" s="19"/>
      <c r="AO72" s="19"/>
      <c r="AP72" s="19"/>
      <c r="AQ72" s="19"/>
      <c r="AR72" s="19"/>
      <c r="AS72" s="19"/>
      <c r="AT72" s="19"/>
      <c r="AU72" s="19"/>
      <c r="AV72" s="19"/>
      <c r="AW72" s="19"/>
      <c r="AX72" s="19"/>
      <c r="AY72" s="19"/>
      <c r="AZ72" s="19"/>
      <c r="BA72" s="19"/>
      <c r="BB72" s="19"/>
      <c r="BC72" s="19"/>
      <c r="BD72" s="19"/>
      <c r="BE72" s="19"/>
      <c r="BF72" s="19"/>
      <c r="BG72" s="19"/>
      <c r="BH72" s="19"/>
      <c r="BI72" s="19"/>
      <c r="BJ72" s="19"/>
      <c r="BK72" s="19"/>
      <c r="BL72" s="19"/>
      <c r="BM72" s="19"/>
      <c r="BN72" s="19"/>
      <c r="BO72" s="19"/>
      <c r="BP72" s="19"/>
      <c r="BQ72" s="19"/>
      <c r="BR72" s="19"/>
      <c r="BS72" s="19"/>
      <c r="BT72" s="19"/>
      <c r="BU72" s="19"/>
      <c r="BV72" s="19"/>
      <c r="BW72" s="19"/>
      <c r="BX72" s="20"/>
      <c r="BY72" s="20"/>
      <c r="BZ72" s="20"/>
      <c r="CA72" s="20"/>
      <c r="CB72" s="20"/>
      <c r="CC72" s="20"/>
      <c r="CD72" s="20"/>
      <c r="CE72" s="20"/>
      <c r="CF72" s="20"/>
      <c r="CG72" s="20"/>
      <c r="CH72" s="20"/>
      <c r="CI72" s="20"/>
      <c r="CJ72" s="20"/>
      <c r="CK72" s="20"/>
      <c r="CL72" s="20"/>
      <c r="CM72" s="20"/>
      <c r="CN72" s="20"/>
      <c r="CO72" s="20"/>
      <c r="CP72" s="20"/>
      <c r="CQ72" s="20"/>
      <c r="CR72" s="20"/>
      <c r="CS72" s="20"/>
      <c r="CT72" s="20"/>
      <c r="CU72" s="20"/>
      <c r="CV72" s="20"/>
      <c r="CW72" s="20"/>
      <c r="CX72" s="20"/>
      <c r="CY72" s="20"/>
      <c r="CZ72" s="20"/>
      <c r="DA72" s="20"/>
      <c r="DB72" s="20"/>
      <c r="DC72" s="20"/>
      <c r="DD72" s="20"/>
      <c r="DE72" s="20"/>
      <c r="DF72" s="20"/>
      <c r="DG72" s="20"/>
      <c r="DH72" s="20"/>
      <c r="DI72" s="20"/>
      <c r="DJ72" s="20"/>
      <c r="DK72" s="20"/>
      <c r="DL72" s="20"/>
      <c r="DM72" s="20"/>
      <c r="DN72" s="20"/>
      <c r="DO72" s="20"/>
      <c r="DP72" s="20"/>
      <c r="DQ72" s="20"/>
      <c r="DR72" s="20"/>
      <c r="DS72" s="20"/>
      <c r="DT72" s="20"/>
      <c r="DU72" s="20"/>
      <c r="DV72" s="20"/>
      <c r="DW72" s="20"/>
      <c r="DX72" s="20"/>
      <c r="DY72" s="20"/>
      <c r="DZ72" s="20"/>
      <c r="EA72" s="20"/>
      <c r="EB72" s="20"/>
      <c r="EC72" s="20"/>
      <c r="ED72" s="20"/>
      <c r="EE72" s="20"/>
      <c r="EF72" s="20"/>
      <c r="EG72" s="20"/>
      <c r="EH72" s="20"/>
      <c r="EI72" s="20"/>
      <c r="EJ72" s="20"/>
      <c r="EK72" s="20"/>
      <c r="EL72" s="20"/>
      <c r="EM72" s="20"/>
      <c r="EN72" s="20"/>
      <c r="EO72" s="20"/>
      <c r="EP72" s="20"/>
      <c r="EQ72" s="17" t="s">
        <v>154</v>
      </c>
      <c r="ER72" s="17">
        <v>221300131796.33099</v>
      </c>
      <c r="ES72" s="20">
        <f t="shared" si="152"/>
        <v>26.12278567955828</v>
      </c>
    </row>
  </sheetData>
  <pageMargins left="0.74791666666666701" right="0.74791666666666701" top="0.98402777777777795" bottom="0.9840277777777779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5"/>
  <sheetViews>
    <sheetView zoomScaleNormal="100" workbookViewId="0">
      <selection activeCell="B8" sqref="B8"/>
    </sheetView>
  </sheetViews>
  <sheetFormatPr defaultColWidth="12.625" defaultRowHeight="14.25"/>
  <cols>
    <col min="1" max="1" width="18.5" customWidth="1"/>
    <col min="2" max="2" width="32.5" customWidth="1"/>
  </cols>
  <sheetData>
    <row r="1" spans="1:2" ht="15">
      <c r="A1" s="24" t="s">
        <v>220</v>
      </c>
      <c r="B1" s="24" t="s">
        <v>221</v>
      </c>
    </row>
    <row r="2" spans="1:2" ht="15">
      <c r="A2" s="24" t="s">
        <v>222</v>
      </c>
      <c r="B2" s="24" t="s">
        <v>223</v>
      </c>
    </row>
    <row r="3" spans="1:2" ht="30">
      <c r="A3" s="24" t="s">
        <v>224</v>
      </c>
      <c r="B3" s="24" t="s">
        <v>766</v>
      </c>
    </row>
    <row r="4" spans="1:2" ht="29.25">
      <c r="A4" s="25" t="s">
        <v>225</v>
      </c>
      <c r="B4" s="24" t="s">
        <v>767</v>
      </c>
    </row>
    <row r="5" spans="1:2" ht="30">
      <c r="A5" s="24" t="s">
        <v>226</v>
      </c>
      <c r="B5" s="24" t="s">
        <v>768</v>
      </c>
    </row>
  </sheetData>
  <pageMargins left="0.74791666666666701" right="0.74791666666666701" top="0.98402777777777795" bottom="0.98402777777777795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153"/>
  <sheetViews>
    <sheetView topLeftCell="G139" zoomScaleNormal="100" workbookViewId="0">
      <selection activeCell="L153" sqref="L153"/>
    </sheetView>
  </sheetViews>
  <sheetFormatPr defaultColWidth="12.625" defaultRowHeight="14.25"/>
  <cols>
    <col min="1" max="1" width="18.625" customWidth="1"/>
    <col min="2" max="2" width="12.25" customWidth="1"/>
    <col min="3" max="6" width="11.25" customWidth="1"/>
    <col min="7" max="7" width="18.125" customWidth="1"/>
    <col min="8" max="9" width="11.25" customWidth="1"/>
    <col min="10" max="10" width="24.125" customWidth="1"/>
    <col min="11" max="16" width="15.625" customWidth="1"/>
    <col min="17" max="17" width="9.625" customWidth="1"/>
  </cols>
  <sheetData>
    <row r="1" spans="1:17" ht="14.25" customHeight="1">
      <c r="A1" s="7" t="s">
        <v>227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</row>
    <row r="2" spans="1:17" ht="14.25" customHeight="1">
      <c r="A2" s="6" t="s">
        <v>228</v>
      </c>
      <c r="B2" s="6"/>
      <c r="C2" s="6"/>
      <c r="D2" s="6"/>
      <c r="E2" s="6"/>
      <c r="F2" s="6"/>
      <c r="G2" s="6"/>
      <c r="H2" s="6"/>
      <c r="J2" s="6" t="s">
        <v>229</v>
      </c>
      <c r="K2" s="6"/>
      <c r="L2" s="6"/>
      <c r="M2" s="6"/>
      <c r="N2" s="6"/>
      <c r="O2" s="6"/>
      <c r="P2" s="6"/>
      <c r="Q2" s="6"/>
    </row>
    <row r="3" spans="1:17" ht="45">
      <c r="A3" s="26" t="str">
        <f>data_modeling!A1</f>
        <v>Country</v>
      </c>
      <c r="B3" s="27" t="str">
        <f>data_modeling!C1</f>
        <v>Shipped Quantity</v>
      </c>
      <c r="C3" s="28" t="str">
        <f>data_modeling!D1</f>
        <v>GDP per capita (2020)</v>
      </c>
      <c r="D3" s="28" t="str">
        <f>data_modeling!E1</f>
        <v>GDP (2020)</v>
      </c>
      <c r="E3" s="28" t="str">
        <f>data_modeling!F1</f>
        <v>GINI</v>
      </c>
      <c r="F3" s="28" t="str">
        <f>data_modeling!G1</f>
        <v>English knowledge</v>
      </c>
      <c r="G3" s="28" t="str">
        <f>data_modeling!H1</f>
        <v>Share of  Shipping Price in Revenue</v>
      </c>
      <c r="H3" s="28" t="str">
        <f>data_modeling!I1</f>
        <v>Amazon traffic, mln.</v>
      </c>
      <c r="J3" s="29"/>
      <c r="K3" s="29" t="s">
        <v>2</v>
      </c>
      <c r="L3" s="29" t="s">
        <v>230</v>
      </c>
      <c r="M3" s="29" t="s">
        <v>231</v>
      </c>
      <c r="N3" s="29" t="s">
        <v>232</v>
      </c>
      <c r="O3" s="29" t="s">
        <v>233</v>
      </c>
      <c r="P3" s="29" t="s">
        <v>6</v>
      </c>
      <c r="Q3" s="29" t="s">
        <v>234</v>
      </c>
    </row>
    <row r="4" spans="1:17" ht="15" customHeight="1">
      <c r="A4" s="30" t="str">
        <f>data_modeling!A2</f>
        <v>United States</v>
      </c>
      <c r="B4" s="31">
        <f>LN(data_modeling!C2)</f>
        <v>12.273469577516225</v>
      </c>
      <c r="C4" s="31">
        <f ca="1">LN(data_modeling!D2)</f>
        <v>11.057432270053081</v>
      </c>
      <c r="D4" s="31">
        <f ca="1">LN(data_modeling!E2)</f>
        <v>30.588379385769628</v>
      </c>
      <c r="E4" s="31">
        <f ca="1">data_modeling!F2</f>
        <v>17.8</v>
      </c>
      <c r="F4" s="32">
        <f ca="1">data_modeling!G2</f>
        <v>1</v>
      </c>
      <c r="G4" s="31">
        <f>data_modeling!H2</f>
        <v>1.01237775531183E-2</v>
      </c>
      <c r="H4" s="31">
        <f>data_modeling!I2</f>
        <v>735.6</v>
      </c>
      <c r="J4" s="33" t="s">
        <v>2</v>
      </c>
      <c r="K4" s="34">
        <v>1</v>
      </c>
      <c r="L4" s="34"/>
      <c r="M4" s="34"/>
      <c r="N4" s="34"/>
      <c r="O4" s="34"/>
      <c r="P4" s="34"/>
      <c r="Q4" s="34"/>
    </row>
    <row r="5" spans="1:17" ht="14.25" customHeight="1">
      <c r="A5" s="30" t="str">
        <f>data_modeling!A3</f>
        <v>Canada</v>
      </c>
      <c r="B5" s="31">
        <f>LN(data_modeling!C3)</f>
        <v>5.8230458954830189</v>
      </c>
      <c r="C5" s="31">
        <f ca="1">LN(data_modeling!D3)</f>
        <v>10.674941542350165</v>
      </c>
      <c r="D5" s="31">
        <f ca="1">LN(data_modeling!E3)</f>
        <v>28.101231720434114</v>
      </c>
      <c r="E5" s="31">
        <f ca="1">data_modeling!F3</f>
        <v>11.6</v>
      </c>
      <c r="F5" s="32">
        <f ca="1">data_modeling!G3</f>
        <v>1</v>
      </c>
      <c r="G5" s="31">
        <f>data_modeling!H3</f>
        <v>0.123846718069013</v>
      </c>
      <c r="H5" s="31">
        <f>data_modeling!I3</f>
        <v>11.2</v>
      </c>
      <c r="J5" s="33" t="s">
        <v>235</v>
      </c>
      <c r="K5" s="35">
        <v>0.20897726475400699</v>
      </c>
      <c r="L5" s="34">
        <v>1</v>
      </c>
      <c r="M5" s="34"/>
      <c r="N5" s="34"/>
      <c r="O5" s="34"/>
      <c r="P5" s="34"/>
      <c r="Q5" s="34"/>
    </row>
    <row r="6" spans="1:17" ht="14.25" customHeight="1">
      <c r="A6" s="30" t="str">
        <f>data_modeling!A4</f>
        <v>Colombia</v>
      </c>
      <c r="B6" s="31">
        <f>LN(data_modeling!C4)</f>
        <v>5.2364419628299492</v>
      </c>
      <c r="C6" s="31">
        <f ca="1">LN(data_modeling!D4)</f>
        <v>8.5819609442168172</v>
      </c>
      <c r="D6" s="31">
        <f ca="1">LN(data_modeling!E4)</f>
        <v>26.426469676024873</v>
      </c>
      <c r="E6" s="31">
        <f ca="1">data_modeling!F4</f>
        <v>35.700000000000003</v>
      </c>
      <c r="F6" s="32">
        <f>data_modeling!G4</f>
        <v>0.46500000000000002</v>
      </c>
      <c r="G6" s="31">
        <f>data_modeling!H4</f>
        <v>0.137748018898045</v>
      </c>
      <c r="H6" s="31">
        <f>data_modeling!I4</f>
        <v>5</v>
      </c>
      <c r="J6" s="33" t="s">
        <v>231</v>
      </c>
      <c r="K6" s="36">
        <v>0.55968452607610497</v>
      </c>
      <c r="L6" s="34">
        <v>4.7421199141830003E-2</v>
      </c>
      <c r="M6" s="34">
        <v>1</v>
      </c>
      <c r="N6" s="34"/>
      <c r="O6" s="34"/>
      <c r="P6" s="34"/>
      <c r="Q6" s="34"/>
    </row>
    <row r="7" spans="1:17" ht="14.25" customHeight="1">
      <c r="A7" s="30" t="str">
        <f>data_modeling!A5</f>
        <v>Israel</v>
      </c>
      <c r="B7" s="31">
        <f>LN(data_modeling!C5)</f>
        <v>4.5849674786705723</v>
      </c>
      <c r="C7" s="31">
        <f ca="1">LN(data_modeling!D5)</f>
        <v>10.695777188422822</v>
      </c>
      <c r="D7" s="31">
        <f ca="1">LN(data_modeling!E5)</f>
        <v>26.568142297546853</v>
      </c>
      <c r="E7" s="31">
        <f ca="1">data_modeling!F5</f>
        <v>16.899999999999999</v>
      </c>
      <c r="F7" s="31">
        <f>data_modeling!G5</f>
        <v>0.5</v>
      </c>
      <c r="G7" s="31">
        <f>data_modeling!H5</f>
        <v>0.19857217656449699</v>
      </c>
      <c r="H7" s="31">
        <f>data_modeling!I5</f>
        <v>1.5</v>
      </c>
      <c r="J7" s="33" t="s">
        <v>232</v>
      </c>
      <c r="K7" s="35">
        <v>0.13934585917291001</v>
      </c>
      <c r="L7" s="34">
        <v>-0.449771812837156</v>
      </c>
      <c r="M7" s="34">
        <v>0.12089967175255099</v>
      </c>
      <c r="N7" s="34">
        <v>1</v>
      </c>
      <c r="O7" s="34"/>
      <c r="P7" s="34"/>
      <c r="Q7" s="34"/>
    </row>
    <row r="8" spans="1:17" ht="14.25" customHeight="1">
      <c r="A8" s="30" t="str">
        <f>data_modeling!A6</f>
        <v>Mexico</v>
      </c>
      <c r="B8" s="31">
        <f>LN(data_modeling!C6)</f>
        <v>4.4659081186545837</v>
      </c>
      <c r="C8" s="31">
        <f ca="1">LN(data_modeling!D6)</f>
        <v>9.0275312538602339</v>
      </c>
      <c r="D8" s="31">
        <f ca="1">LN(data_modeling!E6)</f>
        <v>27.769694873590495</v>
      </c>
      <c r="E8" s="31">
        <f ca="1">data_modeling!F6</f>
        <v>41.9</v>
      </c>
      <c r="F8" s="32">
        <f>data_modeling!G6</f>
        <v>0.436</v>
      </c>
      <c r="G8" s="31">
        <f>data_modeling!H6</f>
        <v>0.112490198996807</v>
      </c>
      <c r="H8" s="31">
        <f>data_modeling!I6</f>
        <v>8.6</v>
      </c>
      <c r="J8" s="33" t="s">
        <v>233</v>
      </c>
      <c r="K8" s="36">
        <v>0.39930736332932498</v>
      </c>
      <c r="L8" s="34">
        <v>0.31628404774858798</v>
      </c>
      <c r="M8" s="34">
        <v>0.23748879051840899</v>
      </c>
      <c r="N8" s="34">
        <v>6.2596393914868601E-4</v>
      </c>
      <c r="O8" s="34">
        <v>1</v>
      </c>
      <c r="P8" s="34"/>
      <c r="Q8" s="34"/>
    </row>
    <row r="9" spans="1:17" ht="14.25" customHeight="1">
      <c r="A9" s="30" t="str">
        <f>data_modeling!A7</f>
        <v>Australia</v>
      </c>
      <c r="B9" s="31">
        <f>LN(data_modeling!C7)</f>
        <v>4.3174881135363101</v>
      </c>
      <c r="C9" s="31">
        <f ca="1">LN(data_modeling!D7)</f>
        <v>10.853074612765484</v>
      </c>
      <c r="D9" s="31">
        <f ca="1">LN(data_modeling!E7)</f>
        <v>28.030446579571858</v>
      </c>
      <c r="E9" s="31">
        <f ca="1">data_modeling!F7</f>
        <v>12.4</v>
      </c>
      <c r="F9" s="32">
        <f ca="1">data_modeling!G7</f>
        <v>1</v>
      </c>
      <c r="G9" s="31">
        <f>data_modeling!H7</f>
        <v>0.17095343999769799</v>
      </c>
      <c r="H9" s="31">
        <f>data_modeling!I7</f>
        <v>7.3</v>
      </c>
      <c r="J9" s="33" t="s">
        <v>6</v>
      </c>
      <c r="K9" s="36">
        <v>-0.50158440258167503</v>
      </c>
      <c r="L9" s="34">
        <v>-0.44858299058370199</v>
      </c>
      <c r="M9" s="34">
        <v>-0.28967316867465198</v>
      </c>
      <c r="N9" s="34">
        <v>-3.1388261764052502E-2</v>
      </c>
      <c r="O9" s="34">
        <v>-0.277258906571623</v>
      </c>
      <c r="P9" s="34">
        <v>1</v>
      </c>
      <c r="Q9" s="34"/>
    </row>
    <row r="10" spans="1:17" ht="14.25" customHeight="1">
      <c r="A10" s="30" t="str">
        <f>data_modeling!A8</f>
        <v>United Kingdom</v>
      </c>
      <c r="B10" s="31">
        <f>LN(data_modeling!C8)</f>
        <v>4.1896547420264252</v>
      </c>
      <c r="C10" s="31">
        <f ca="1">LN(data_modeling!D8)</f>
        <v>10.624360175387833</v>
      </c>
      <c r="D10" s="31">
        <f ca="1">LN(data_modeling!E8)</f>
        <v>28.689545823531205</v>
      </c>
      <c r="E10" s="31">
        <f ca="1">data_modeling!F8</f>
        <v>18.600000000000001</v>
      </c>
      <c r="F10" s="32">
        <f ca="1">data_modeling!G8</f>
        <v>1</v>
      </c>
      <c r="G10" s="31">
        <f>data_modeling!H8</f>
        <v>0.138784050515629</v>
      </c>
      <c r="H10" s="31">
        <f>data_modeling!I8</f>
        <v>7</v>
      </c>
      <c r="J10" s="33" t="s">
        <v>234</v>
      </c>
      <c r="K10" s="36">
        <v>0.75599622760137497</v>
      </c>
      <c r="L10" s="34">
        <v>0.14825110584047399</v>
      </c>
      <c r="M10" s="34">
        <v>0.32683464979341897</v>
      </c>
      <c r="N10" s="34">
        <v>1.9123093968998299E-2</v>
      </c>
      <c r="O10" s="34">
        <v>0.27122805032557801</v>
      </c>
      <c r="P10" s="34">
        <v>-0.352168960783587</v>
      </c>
      <c r="Q10" s="34">
        <v>1</v>
      </c>
    </row>
    <row r="11" spans="1:17" ht="14.25" customHeight="1">
      <c r="A11" s="30" t="str">
        <f>data_modeling!A9</f>
        <v>Hong Kong</v>
      </c>
      <c r="B11" s="31">
        <f>LN(data_modeling!C9)</f>
        <v>4.0775374439057197</v>
      </c>
      <c r="C11" s="31">
        <f>LN(data_modeling!D9)</f>
        <v>10.743393876988973</v>
      </c>
      <c r="D11" s="31">
        <f>LN(data_modeling!E9)</f>
        <v>26.569704612004134</v>
      </c>
      <c r="E11" s="31">
        <f>data_modeling!F9</f>
        <v>15</v>
      </c>
      <c r="F11" s="32">
        <f>data_modeling!G9</f>
        <v>0.54200000000000004</v>
      </c>
      <c r="G11" s="31">
        <f>data_modeling!H9</f>
        <v>8.7374677439823994E-2</v>
      </c>
      <c r="H11" s="31">
        <f>data_modeling!I9</f>
        <v>1.4</v>
      </c>
    </row>
    <row r="12" spans="1:17" ht="14.25" customHeight="1">
      <c r="A12" s="30" t="str">
        <f>data_modeling!A10</f>
        <v>New Zealand</v>
      </c>
      <c r="B12" s="31">
        <f>LN(data_modeling!C10)</f>
        <v>3.8286413964890951</v>
      </c>
      <c r="C12" s="31">
        <f ca="1">LN(data_modeling!D10)</f>
        <v>10.632037268843288</v>
      </c>
      <c r="D12" s="31">
        <f ca="1">LN(data_modeling!E10)</f>
        <v>26.043747576205774</v>
      </c>
      <c r="E12" s="31">
        <f>data_modeling!F10</f>
        <v>15</v>
      </c>
      <c r="F12" s="32">
        <f>data_modeling!G10</f>
        <v>1</v>
      </c>
      <c r="G12" s="31">
        <f>data_modeling!H10</f>
        <v>0.15484728890408</v>
      </c>
      <c r="H12" s="31">
        <f>data_modeling!I10</f>
        <v>1.4</v>
      </c>
      <c r="J12" s="5" t="s">
        <v>236</v>
      </c>
      <c r="K12" s="5"/>
      <c r="L12" s="5"/>
      <c r="M12" s="5"/>
      <c r="N12" s="5"/>
      <c r="O12" s="5"/>
      <c r="P12" s="5"/>
      <c r="Q12" s="5"/>
    </row>
    <row r="13" spans="1:17" ht="14.25" customHeight="1">
      <c r="A13" s="30" t="str">
        <f>data_modeling!A11</f>
        <v>Singapore</v>
      </c>
      <c r="B13" s="31">
        <f>LN(data_modeling!C11)</f>
        <v>3.6888794541139363</v>
      </c>
      <c r="C13" s="31">
        <f ca="1">LN(data_modeling!D11)</f>
        <v>10.998723350271016</v>
      </c>
      <c r="D13" s="31">
        <f ca="1">LN(data_modeling!E11)</f>
        <v>26.522660858822672</v>
      </c>
      <c r="E13" s="31">
        <f>data_modeling!F11</f>
        <v>15</v>
      </c>
      <c r="F13" s="32">
        <f>data_modeling!G11</f>
        <v>0.63500000000000001</v>
      </c>
      <c r="G13" s="31">
        <f>data_modeling!H11</f>
        <v>0.10986294745075099</v>
      </c>
      <c r="H13" s="31">
        <f>data_modeling!I11</f>
        <v>1.7</v>
      </c>
      <c r="J13" s="5"/>
      <c r="K13" s="5"/>
      <c r="L13" s="5"/>
      <c r="M13" s="5"/>
      <c r="N13" s="5"/>
      <c r="O13" s="5"/>
      <c r="P13" s="5"/>
      <c r="Q13" s="5"/>
    </row>
    <row r="14" spans="1:17" ht="14.25" customHeight="1">
      <c r="A14" s="30" t="str">
        <f>data_modeling!A12</f>
        <v>Chile</v>
      </c>
      <c r="B14" s="31">
        <f>LN(data_modeling!C12)</f>
        <v>3.6109179126442243</v>
      </c>
      <c r="C14" s="31">
        <f ca="1">LN(data_modeling!D12)</f>
        <v>9.4903710626407491</v>
      </c>
      <c r="D14" s="31">
        <f ca="1">LN(data_modeling!E12)</f>
        <v>26.235238362938869</v>
      </c>
      <c r="E14" s="31">
        <f ca="1">data_modeling!F12</f>
        <v>8.6</v>
      </c>
      <c r="F14" s="32">
        <f>data_modeling!G12</f>
        <v>0.51600000000000001</v>
      </c>
      <c r="G14" s="31">
        <f>data_modeling!H12</f>
        <v>0.17396401937418299</v>
      </c>
      <c r="H14" s="31">
        <f>data_modeling!I12</f>
        <v>3.2</v>
      </c>
      <c r="J14" s="5"/>
      <c r="K14" s="5"/>
      <c r="L14" s="5"/>
      <c r="M14" s="5"/>
      <c r="N14" s="5"/>
      <c r="O14" s="5"/>
      <c r="P14" s="5"/>
      <c r="Q14" s="5"/>
    </row>
    <row r="15" spans="1:17" ht="14.25" customHeight="1">
      <c r="A15" s="30" t="str">
        <f>data_modeling!A13</f>
        <v>Puerto Rico</v>
      </c>
      <c r="B15" s="31">
        <f>LN(data_modeling!C13)</f>
        <v>3.6109179126442243</v>
      </c>
      <c r="C15" s="31">
        <f ca="1">LN(data_modeling!D13)</f>
        <v>10.382541390322613</v>
      </c>
      <c r="D15" s="31">
        <f ca="1">LN(data_modeling!E13)</f>
        <v>25.252203543963589</v>
      </c>
      <c r="E15" s="31">
        <f>data_modeling!F13</f>
        <v>15</v>
      </c>
      <c r="F15" s="31">
        <f>data_modeling!G13</f>
        <v>0.5</v>
      </c>
      <c r="G15" s="31">
        <f>data_modeling!H13</f>
        <v>2.4901484027835999E-2</v>
      </c>
      <c r="H15" s="31">
        <f>data_modeling!I13</f>
        <v>0.82</v>
      </c>
    </row>
    <row r="16" spans="1:17" ht="14.25" customHeight="1">
      <c r="A16" s="30" t="str">
        <f>data_modeling!A14</f>
        <v>Saudi Arabia</v>
      </c>
      <c r="B16" s="31">
        <f>LN(data_modeling!C14)</f>
        <v>3.4965075614664802</v>
      </c>
      <c r="C16" s="31">
        <f ca="1">LN(data_modeling!D14)</f>
        <v>9.9089882057903402</v>
      </c>
      <c r="D16" s="31">
        <f ca="1">LN(data_modeling!E14)</f>
        <v>27.201336983505875</v>
      </c>
      <c r="E16" s="31">
        <f>data_modeling!F14</f>
        <v>15</v>
      </c>
      <c r="F16" s="32">
        <f>data_modeling!G14</f>
        <v>0.40400000000000003</v>
      </c>
      <c r="G16" s="31">
        <f>data_modeling!H14</f>
        <v>0.15732550549368901</v>
      </c>
      <c r="H16" s="31">
        <f>data_modeling!I14</f>
        <v>2</v>
      </c>
    </row>
    <row r="17" spans="1:8" ht="14.25" customHeight="1">
      <c r="A17" s="30" t="str">
        <f>data_modeling!A15</f>
        <v>Korea, Republic</v>
      </c>
      <c r="B17" s="31">
        <f>LN(data_modeling!C15)</f>
        <v>3.4965075614664802</v>
      </c>
      <c r="C17" s="31">
        <f>LN(data_modeling!D15)</f>
        <v>10.357393557477783</v>
      </c>
      <c r="D17" s="31">
        <f>LN(data_modeling!E15)</f>
        <v>28.120214439567427</v>
      </c>
      <c r="E17" s="31">
        <f>data_modeling!F15</f>
        <v>15</v>
      </c>
      <c r="F17" s="32">
        <f>data_modeling!G15</f>
        <v>0.52900000000000003</v>
      </c>
      <c r="G17" s="31">
        <f>data_modeling!H15</f>
        <v>9.5322089747459496E-2</v>
      </c>
      <c r="H17" s="31">
        <f>data_modeling!I15</f>
        <v>1.2</v>
      </c>
    </row>
    <row r="18" spans="1:8" ht="14.25" customHeight="1">
      <c r="A18" s="30" t="str">
        <f>data_modeling!A16</f>
        <v>Philippines</v>
      </c>
      <c r="B18" s="31">
        <f>LN(data_modeling!C16)</f>
        <v>3.3672958299864741</v>
      </c>
      <c r="C18" s="31">
        <f ca="1">LN(data_modeling!D16)</f>
        <v>8.1013230135428973</v>
      </c>
      <c r="D18" s="31">
        <f ca="1">LN(data_modeling!E16)</f>
        <v>26.604619911471968</v>
      </c>
      <c r="E18" s="31">
        <f ca="1">data_modeling!F16</f>
        <v>16.7</v>
      </c>
      <c r="F18" s="32">
        <f>data_modeling!G16</f>
        <v>0.59199999999999997</v>
      </c>
      <c r="G18" s="31">
        <f>data_modeling!H16</f>
        <v>0.173180462901392</v>
      </c>
      <c r="H18" s="31">
        <f>data_modeling!I16</f>
        <v>5</v>
      </c>
    </row>
    <row r="19" spans="1:8" ht="14.25" customHeight="1">
      <c r="A19" s="30" t="str">
        <f>data_modeling!A17</f>
        <v>Ireland</v>
      </c>
      <c r="B19" s="31">
        <f>LN(data_modeling!C17)</f>
        <v>3.1354942159291497</v>
      </c>
      <c r="C19" s="31">
        <f ca="1">LN(data_modeling!D17)</f>
        <v>11.35355175752782</v>
      </c>
      <c r="D19" s="31">
        <f ca="1">LN(data_modeling!E17)</f>
        <v>26.695488984897402</v>
      </c>
      <c r="E19" s="31">
        <f ca="1">data_modeling!F17</f>
        <v>13.1</v>
      </c>
      <c r="F19" s="32">
        <f ca="1">data_modeling!G17</f>
        <v>1</v>
      </c>
      <c r="G19" s="31">
        <f>data_modeling!H17</f>
        <v>0.15393148005799201</v>
      </c>
      <c r="H19" s="31">
        <f>data_modeling!I17</f>
        <v>1.1000000000000001</v>
      </c>
    </row>
    <row r="20" spans="1:8" ht="14.25" customHeight="1">
      <c r="A20" s="30" t="str">
        <f>data_modeling!A18</f>
        <v>Germany</v>
      </c>
      <c r="B20" s="31">
        <f>LN(data_modeling!C18)</f>
        <v>3.044522437723423</v>
      </c>
      <c r="C20" s="31">
        <f ca="1">LN(data_modeling!D18)</f>
        <v>10.740917516525165</v>
      </c>
      <c r="D20" s="31">
        <f ca="1">LN(data_modeling!E18)</f>
        <v>28.864873833533238</v>
      </c>
      <c r="E20" s="31">
        <f ca="1">data_modeling!F18</f>
        <v>14.8</v>
      </c>
      <c r="F20" s="32">
        <f ca="1">data_modeling!G18</f>
        <v>0.61599999999999999</v>
      </c>
      <c r="G20" s="31">
        <f>data_modeling!H18</f>
        <v>0.13079247131833599</v>
      </c>
      <c r="H20" s="31">
        <f>data_modeling!I18</f>
        <v>1.4</v>
      </c>
    </row>
    <row r="21" spans="1:8" ht="14.25" customHeight="1">
      <c r="A21" s="30" t="str">
        <f>data_modeling!A19</f>
        <v>France</v>
      </c>
      <c r="B21" s="31">
        <f>LN(data_modeling!C19)</f>
        <v>2.9957322735539909</v>
      </c>
      <c r="C21" s="31">
        <f ca="1">LN(data_modeling!D19)</f>
        <v>10.572095093320561</v>
      </c>
      <c r="D21" s="31">
        <f ca="1">LN(data_modeling!E19)</f>
        <v>28.510766383176819</v>
      </c>
      <c r="E21" s="31">
        <f ca="1">data_modeling!F19</f>
        <v>13.6</v>
      </c>
      <c r="F21" s="32">
        <f ca="1">data_modeling!G19</f>
        <v>0.55900000000000005</v>
      </c>
      <c r="G21" s="31">
        <f>data_modeling!H19</f>
        <v>0.169933800372775</v>
      </c>
      <c r="H21" s="31">
        <f>data_modeling!I19</f>
        <v>0.70799999999999996</v>
      </c>
    </row>
    <row r="22" spans="1:8" ht="14.25" customHeight="1">
      <c r="A22" s="30" t="str">
        <f>data_modeling!A20</f>
        <v>Japan</v>
      </c>
      <c r="B22" s="31">
        <f>LN(data_modeling!C20)</f>
        <v>2.9444389791664403</v>
      </c>
      <c r="C22" s="31">
        <f ca="1">LN(data_modeling!D20)</f>
        <v>10.601454410887834</v>
      </c>
      <c r="D22" s="31">
        <f ca="1">LN(data_modeling!E20)</f>
        <v>29.108242549273047</v>
      </c>
      <c r="E22" s="31">
        <f ca="1">data_modeling!F20</f>
        <v>15.7</v>
      </c>
      <c r="F22" s="32">
        <f ca="1">data_modeling!G20</f>
        <v>0.48699999999999999</v>
      </c>
      <c r="G22" s="31">
        <f>data_modeling!H20</f>
        <v>0.13628571734681899</v>
      </c>
      <c r="H22" s="31">
        <f>data_modeling!I20</f>
        <v>0.68400000000000005</v>
      </c>
    </row>
    <row r="23" spans="1:8" ht="14.25" customHeight="1">
      <c r="A23" s="30" t="str">
        <f>data_modeling!A21</f>
        <v>South Africa</v>
      </c>
      <c r="B23" s="31">
        <f>LN(data_modeling!C21)</f>
        <v>2.7725887222397811</v>
      </c>
      <c r="C23" s="31">
        <f>LN(data_modeling!D21)</f>
        <v>8.5350331095445693</v>
      </c>
      <c r="D23" s="31">
        <f ca="1">LN(data_modeling!E21)</f>
        <v>26.539305442572068</v>
      </c>
      <c r="E23" s="31">
        <f ca="1">data_modeling!F21</f>
        <v>55.5</v>
      </c>
      <c r="F23" s="32">
        <f ca="1">data_modeling!G21</f>
        <v>0.60699999999999998</v>
      </c>
      <c r="G23" s="31">
        <f>data_modeling!H21</f>
        <v>0.15778614609935199</v>
      </c>
      <c r="H23" s="31">
        <f>data_modeling!I21</f>
        <v>3.3</v>
      </c>
    </row>
    <row r="24" spans="1:8" ht="14.25" customHeight="1">
      <c r="A24" s="30" t="str">
        <f>data_modeling!A22</f>
        <v>Taiwan</v>
      </c>
      <c r="B24" s="31">
        <f>LN(data_modeling!C22)</f>
        <v>2.7725887222397811</v>
      </c>
      <c r="C24" s="31">
        <f>LN(data_modeling!D22)</f>
        <v>10.397787374344784</v>
      </c>
      <c r="D24" s="31">
        <f>LN(data_modeling!E22)</f>
        <v>27.35540462735322</v>
      </c>
      <c r="E24" s="31">
        <f>data_modeling!F22</f>
        <v>15</v>
      </c>
      <c r="F24" s="32">
        <f>data_modeling!G22</f>
        <v>0.5</v>
      </c>
      <c r="G24" s="31">
        <f>data_modeling!H22</f>
        <v>0.13887554060547799</v>
      </c>
      <c r="H24" s="31">
        <f>data_modeling!I22</f>
        <v>0.98499999999999999</v>
      </c>
    </row>
    <row r="25" spans="1:8" ht="14.25" customHeight="1">
      <c r="A25" s="30" t="str">
        <f>data_modeling!A23</f>
        <v>Spain</v>
      </c>
      <c r="B25" s="31">
        <f>LN(data_modeling!C23)</f>
        <v>2.7080502011022101</v>
      </c>
      <c r="C25" s="31">
        <f ca="1">LN(data_modeling!D23)</f>
        <v>10.205929925728997</v>
      </c>
      <c r="D25" s="31">
        <f ca="1">LN(data_modeling!E23)</f>
        <v>27.797154208411889</v>
      </c>
      <c r="E25" s="31">
        <f ca="1">data_modeling!F23</f>
        <v>20.7</v>
      </c>
      <c r="F25" s="32">
        <f>data_modeling!G23</f>
        <v>0.54</v>
      </c>
      <c r="G25" s="31">
        <f>data_modeling!H23</f>
        <v>0.17918919908690301</v>
      </c>
      <c r="H25" s="31">
        <f>data_modeling!I23</f>
        <v>3.2</v>
      </c>
    </row>
    <row r="26" spans="1:8" ht="14.25" customHeight="1">
      <c r="A26" s="30" t="str">
        <f>data_modeling!A24</f>
        <v>Netherlands</v>
      </c>
      <c r="B26" s="31">
        <f>LN(data_modeling!C24)</f>
        <v>2.7080502011022101</v>
      </c>
      <c r="C26" s="31">
        <f ca="1">LN(data_modeling!D24)</f>
        <v>10.866606844233315</v>
      </c>
      <c r="D26" s="31">
        <f ca="1">LN(data_modeling!E24)</f>
        <v>27.41783700404028</v>
      </c>
      <c r="E26" s="31">
        <f ca="1">data_modeling!F24</f>
        <v>13.6</v>
      </c>
      <c r="F26" s="32">
        <f>data_modeling!G24</f>
        <v>0.66300000000000003</v>
      </c>
      <c r="G26" s="31">
        <f>data_modeling!H24</f>
        <v>0.156047831815885</v>
      </c>
      <c r="H26" s="31">
        <f>data_modeling!I24</f>
        <v>1.6</v>
      </c>
    </row>
    <row r="27" spans="1:8" ht="14.25" customHeight="1">
      <c r="A27" s="30" t="str">
        <f>data_modeling!A25</f>
        <v>Belgium</v>
      </c>
      <c r="B27" s="31">
        <f>LN(data_modeling!C25)</f>
        <v>2.3978952727983707</v>
      </c>
      <c r="C27" s="31">
        <f ca="1">LN(data_modeling!D25)</f>
        <v>10.717952585541459</v>
      </c>
      <c r="D27" s="31">
        <f ca="1">LN(data_modeling!E25)</f>
        <v>26.868843080555983</v>
      </c>
      <c r="E27" s="31">
        <f ca="1">data_modeling!F25</f>
        <v>14.8</v>
      </c>
      <c r="F27" s="32">
        <f>data_modeling!G25</f>
        <v>0.629</v>
      </c>
      <c r="G27" s="31">
        <f>data_modeling!H25</f>
        <v>0.14706050119785499</v>
      </c>
      <c r="H27" s="31">
        <f>data_modeling!I25</f>
        <v>0.71599999999999997</v>
      </c>
    </row>
    <row r="28" spans="1:8" ht="14.25" customHeight="1">
      <c r="A28" s="30" t="str">
        <f>data_modeling!A26</f>
        <v>Peru</v>
      </c>
      <c r="B28" s="31">
        <f>LN(data_modeling!C26)</f>
        <v>2.3025850929940459</v>
      </c>
      <c r="C28" s="31">
        <f ca="1">LN(data_modeling!D26)</f>
        <v>8.7204400359024383</v>
      </c>
      <c r="D28" s="31">
        <f ca="1">LN(data_modeling!E26)</f>
        <v>25.975429985559082</v>
      </c>
      <c r="E28" s="31">
        <f ca="1">data_modeling!F26</f>
        <v>20.2</v>
      </c>
      <c r="F28" s="32">
        <f>data_modeling!G26</f>
        <v>0.505</v>
      </c>
      <c r="G28" s="31">
        <f>data_modeling!H26</f>
        <v>0.23319931074095299</v>
      </c>
      <c r="H28" s="31">
        <f>data_modeling!I26</f>
        <v>1.5</v>
      </c>
    </row>
    <row r="29" spans="1:8" ht="14.25" customHeight="1">
      <c r="A29" s="30" t="str">
        <f>data_modeling!A27</f>
        <v>Malaysia</v>
      </c>
      <c r="B29" s="31">
        <f>LN(data_modeling!C27)</f>
        <v>2.3025850929940459</v>
      </c>
      <c r="C29" s="31">
        <f ca="1">LN(data_modeling!D27)</f>
        <v>9.2507477829786247</v>
      </c>
      <c r="D29" s="31">
        <f ca="1">LN(data_modeling!E27)</f>
        <v>26.564196252260796</v>
      </c>
      <c r="E29" s="31">
        <f ca="1">data_modeling!F27</f>
        <v>5.6</v>
      </c>
      <c r="F29" s="32">
        <f>data_modeling!G27</f>
        <v>0.54700000000000004</v>
      </c>
      <c r="G29" s="31">
        <f>data_modeling!H27</f>
        <v>0.197552430954438</v>
      </c>
      <c r="H29" s="31">
        <f>data_modeling!I27</f>
        <v>2.2999999999999998</v>
      </c>
    </row>
    <row r="30" spans="1:8" ht="14.25" customHeight="1">
      <c r="A30" s="30" t="str">
        <f>data_modeling!A28</f>
        <v>Sweden</v>
      </c>
      <c r="B30" s="31">
        <f>LN(data_modeling!C28)</f>
        <v>2.3025850929940459</v>
      </c>
      <c r="C30" s="31">
        <f ca="1">LN(data_modeling!D28)</f>
        <v>10.864262214560565</v>
      </c>
      <c r="D30" s="31">
        <f ca="1">LN(data_modeling!E28)</f>
        <v>27.002934534163842</v>
      </c>
      <c r="E30" s="31">
        <f ca="1">data_modeling!F28</f>
        <v>17.100000000000001</v>
      </c>
      <c r="F30" s="32">
        <f>data_modeling!G28</f>
        <v>0.623</v>
      </c>
      <c r="G30" s="31">
        <f>data_modeling!H28</f>
        <v>0.18066464379564201</v>
      </c>
      <c r="H30" s="31">
        <f>data_modeling!I28</f>
        <v>1.4</v>
      </c>
    </row>
    <row r="31" spans="1:8" ht="14.25" customHeight="1">
      <c r="A31" s="30" t="str">
        <f>data_modeling!A29</f>
        <v>Thailand</v>
      </c>
      <c r="B31" s="31">
        <f>LN(data_modeling!C29)</f>
        <v>2.1972245773362196</v>
      </c>
      <c r="C31" s="31">
        <f ca="1">LN(data_modeling!D29)</f>
        <v>8.8800115984705794</v>
      </c>
      <c r="D31" s="31">
        <f ca="1">LN(data_modeling!E29)</f>
        <v>26.793193027800264</v>
      </c>
      <c r="E31" s="31">
        <f ca="1">data_modeling!F29</f>
        <v>9.9</v>
      </c>
      <c r="F31" s="32">
        <f>data_modeling!G29</f>
        <v>0.41899999999999998</v>
      </c>
      <c r="G31" s="31">
        <f>data_modeling!H29</f>
        <v>0.164642048275946</v>
      </c>
      <c r="H31" s="31">
        <f>data_modeling!I29</f>
        <v>1.9</v>
      </c>
    </row>
    <row r="32" spans="1:8" ht="14.25" customHeight="1">
      <c r="A32" s="30" t="str">
        <f>data_modeling!A30</f>
        <v>Kuwait</v>
      </c>
      <c r="B32" s="31">
        <f>LN(data_modeling!C30)</f>
        <v>2.1972245773362196</v>
      </c>
      <c r="C32" s="31">
        <f ca="1">LN(data_modeling!D30)</f>
        <v>10.119073404654769</v>
      </c>
      <c r="D32" s="31">
        <f ca="1">LN(data_modeling!E30)</f>
        <v>25.370791481346728</v>
      </c>
      <c r="E32" s="31">
        <f>data_modeling!F30</f>
        <v>15</v>
      </c>
      <c r="F32" s="32">
        <f>data_modeling!G30</f>
        <v>0.45800000000000002</v>
      </c>
      <c r="G32" s="31">
        <f>data_modeling!H30</f>
        <v>0.14502264283971</v>
      </c>
      <c r="H32" s="31">
        <f>data_modeling!I30</f>
        <v>0.31</v>
      </c>
    </row>
    <row r="33" spans="1:8" ht="14.25" customHeight="1">
      <c r="A33" s="30" t="str">
        <f>data_modeling!A31</f>
        <v>Bahrain</v>
      </c>
      <c r="B33" s="31">
        <f>LN(data_modeling!C31)</f>
        <v>2.0794415416798357</v>
      </c>
      <c r="C33" s="31">
        <f ca="1">LN(data_modeling!D31)</f>
        <v>9.923777943443211</v>
      </c>
      <c r="D33" s="31">
        <f ca="1">LN(data_modeling!E31)</f>
        <v>24.226001820191151</v>
      </c>
      <c r="E33" s="31">
        <f>data_modeling!F31</f>
        <v>15</v>
      </c>
      <c r="F33" s="32">
        <f>data_modeling!G31</f>
        <v>0.47599999999999998</v>
      </c>
      <c r="G33" s="31">
        <f>data_modeling!H31</f>
        <v>0.25360973043767598</v>
      </c>
      <c r="H33" s="31">
        <f>data_modeling!I31</f>
        <v>0.124</v>
      </c>
    </row>
    <row r="34" spans="1:8" ht="14.25" customHeight="1">
      <c r="A34" s="30" t="str">
        <f>data_modeling!A32</f>
        <v>Norway</v>
      </c>
      <c r="B34" s="31">
        <f>LN(data_modeling!C32)</f>
        <v>2.0794415416798357</v>
      </c>
      <c r="C34" s="31">
        <f ca="1">LN(data_modeling!D32)</f>
        <v>11.118250612808783</v>
      </c>
      <c r="D34" s="31">
        <f ca="1">LN(data_modeling!E32)</f>
        <v>26.724135331365023</v>
      </c>
      <c r="E34" s="31">
        <f ca="1">data_modeling!F32</f>
        <v>12.7</v>
      </c>
      <c r="F34" s="32">
        <f>data_modeling!G32</f>
        <v>0.624</v>
      </c>
      <c r="G34" s="31">
        <f>data_modeling!H32</f>
        <v>0.21707630680975201</v>
      </c>
      <c r="H34" s="31">
        <f>data_modeling!I32</f>
        <v>0.88800000000000001</v>
      </c>
    </row>
    <row r="35" spans="1:8" ht="14.25" customHeight="1">
      <c r="A35" s="30" t="str">
        <f>data_modeling!A33</f>
        <v>Costa Rica</v>
      </c>
      <c r="B35" s="31">
        <f>LN(data_modeling!C33)</f>
        <v>2.0794415416798357</v>
      </c>
      <c r="C35" s="31">
        <f ca="1">LN(data_modeling!D33)</f>
        <v>9.4043314208349233</v>
      </c>
      <c r="D35" s="31">
        <f ca="1">LN(data_modeling!E33)</f>
        <v>24.845046878243025</v>
      </c>
      <c r="E35" s="31">
        <f ca="1">data_modeling!F33</f>
        <v>21</v>
      </c>
      <c r="F35" s="32">
        <f>data_modeling!G33</f>
        <v>0.53</v>
      </c>
      <c r="G35" s="31">
        <f>data_modeling!H33</f>
        <v>0.188590393326456</v>
      </c>
      <c r="H35" s="31">
        <f>data_modeling!I33</f>
        <v>0.63300000000000001</v>
      </c>
    </row>
    <row r="36" spans="1:8" ht="14.25" customHeight="1">
      <c r="A36" s="30" t="str">
        <f>data_modeling!A34</f>
        <v>United Arab Emirates</v>
      </c>
      <c r="B36" s="31">
        <f>LN(data_modeling!C34)</f>
        <v>2.0794415416798357</v>
      </c>
      <c r="C36" s="31">
        <f ca="1">LN(data_modeling!D34)</f>
        <v>10.499147454311919</v>
      </c>
      <c r="D36" s="31">
        <f ca="1">LN(data_modeling!E34)</f>
        <v>26.639107160006766</v>
      </c>
      <c r="E36" s="31">
        <f>data_modeling!F34</f>
        <v>15</v>
      </c>
      <c r="F36" s="32">
        <f>data_modeling!G34</f>
        <v>0.47199999999999998</v>
      </c>
      <c r="G36" s="31">
        <f>data_modeling!H34</f>
        <v>0.17334584282714599</v>
      </c>
      <c r="H36" s="31">
        <f>data_modeling!I34</f>
        <v>2.4</v>
      </c>
    </row>
    <row r="37" spans="1:8" ht="14.25" customHeight="1">
      <c r="A37" s="30" t="str">
        <f>data_modeling!A35</f>
        <v>Cyprus</v>
      </c>
      <c r="B37" s="31">
        <f>LN(data_modeling!C35)</f>
        <v>2.0794415416798357</v>
      </c>
      <c r="C37" s="31">
        <f ca="1">LN(data_modeling!D35)</f>
        <v>10.189560865051734</v>
      </c>
      <c r="D37" s="31">
        <f ca="1">LN(data_modeling!E35)</f>
        <v>23.883655849970683</v>
      </c>
      <c r="E37" s="31">
        <f ca="1">data_modeling!F35</f>
        <v>14.7</v>
      </c>
      <c r="F37" s="32">
        <f>data_modeling!G35</f>
        <v>0</v>
      </c>
      <c r="G37" s="31">
        <f>data_modeling!H35</f>
        <v>0.13640900923791699</v>
      </c>
      <c r="H37" s="31">
        <f>data_modeling!I35</f>
        <v>0.114</v>
      </c>
    </row>
    <row r="38" spans="1:8" ht="14.25" customHeight="1">
      <c r="A38" s="30" t="str">
        <f>data_modeling!A36</f>
        <v>Ghana</v>
      </c>
      <c r="B38" s="31">
        <f>LN(data_modeling!C36)</f>
        <v>1.9459101490553132</v>
      </c>
      <c r="C38" s="31">
        <f ca="1">LN(data_modeling!D36)</f>
        <v>7.6987226755946585</v>
      </c>
      <c r="D38" s="31">
        <f ca="1">LN(data_modeling!E36)</f>
        <v>24.862019466408437</v>
      </c>
      <c r="E38" s="31">
        <f ca="1">data_modeling!F36</f>
        <v>23.4</v>
      </c>
      <c r="F38" s="32">
        <f>data_modeling!G36</f>
        <v>0.52300000000000002</v>
      </c>
      <c r="G38" s="31">
        <f>data_modeling!H36</f>
        <v>0.380631170803853</v>
      </c>
      <c r="H38" s="31">
        <f>data_modeling!I36</f>
        <v>0.30299999999999999</v>
      </c>
    </row>
    <row r="39" spans="1:8" ht="14.25" customHeight="1">
      <c r="A39" s="30" t="str">
        <f>data_modeling!A37</f>
        <v>Denmark</v>
      </c>
      <c r="B39" s="31">
        <f>LN(data_modeling!C37)</f>
        <v>1.9459101490553132</v>
      </c>
      <c r="C39" s="31">
        <f ca="1">LN(data_modeling!D37)</f>
        <v>11.019666579101877</v>
      </c>
      <c r="D39" s="31">
        <f ca="1">LN(data_modeling!E37)</f>
        <v>26.515478926105327</v>
      </c>
      <c r="E39" s="31">
        <f ca="1">data_modeling!F37</f>
        <v>12.5</v>
      </c>
      <c r="F39" s="32">
        <f>data_modeling!G37</f>
        <v>0.63600000000000001</v>
      </c>
      <c r="G39" s="31">
        <f>data_modeling!H37</f>
        <v>0.170705823331918</v>
      </c>
      <c r="H39" s="31">
        <f>data_modeling!I37</f>
        <v>0.84299999999999997</v>
      </c>
    </row>
    <row r="40" spans="1:8" ht="14.25" customHeight="1">
      <c r="A40" s="30" t="str">
        <f>data_modeling!A38</f>
        <v>Portugal</v>
      </c>
      <c r="B40" s="31">
        <f>LN(data_modeling!C38)</f>
        <v>1.9459101490553132</v>
      </c>
      <c r="C40" s="31">
        <f ca="1">LN(data_modeling!D38)</f>
        <v>10.006779281756401</v>
      </c>
      <c r="D40" s="31">
        <f ca="1">LN(data_modeling!E38)</f>
        <v>26.038969556505972</v>
      </c>
      <c r="E40" s="31">
        <f ca="1">data_modeling!F38</f>
        <v>17.2</v>
      </c>
      <c r="F40" s="32">
        <f>data_modeling!G38</f>
        <v>0.625</v>
      </c>
      <c r="G40" s="31">
        <f>data_modeling!H38</f>
        <v>0.12114748270298401</v>
      </c>
      <c r="H40" s="31">
        <f>data_modeling!I38</f>
        <v>0.61299999999999999</v>
      </c>
    </row>
    <row r="41" spans="1:8" ht="14.25" customHeight="1">
      <c r="A41" s="30" t="str">
        <f>data_modeling!A39</f>
        <v>Nigeria</v>
      </c>
      <c r="B41" s="31">
        <f>LN(data_modeling!C39)</f>
        <v>1.791759469228055</v>
      </c>
      <c r="C41" s="31">
        <f ca="1">LN(data_modeling!D39)</f>
        <v>7.6483071276359968</v>
      </c>
      <c r="D41" s="31">
        <f ca="1">LN(data_modeling!E39)</f>
        <v>26.925635281157597</v>
      </c>
      <c r="E41" s="31">
        <f ca="1">data_modeling!F39</f>
        <v>40.1</v>
      </c>
      <c r="F41" s="32">
        <f>data_modeling!G39</f>
        <v>0.56000000000000005</v>
      </c>
      <c r="G41" s="31">
        <f>data_modeling!H39</f>
        <v>0.22190254206424401</v>
      </c>
      <c r="H41" s="31">
        <f>data_modeling!I39</f>
        <v>1.3</v>
      </c>
    </row>
    <row r="42" spans="1:8" ht="14.25" customHeight="1">
      <c r="A42" s="30" t="str">
        <f>data_modeling!A40</f>
        <v>Turkey</v>
      </c>
      <c r="B42" s="31">
        <f>LN(data_modeling!C40)</f>
        <v>1.791759469228055</v>
      </c>
      <c r="C42" s="31">
        <f ca="1">LN(data_modeling!D40)</f>
        <v>9.0520985554708382</v>
      </c>
      <c r="D42" s="31">
        <f ca="1">LN(data_modeling!E40)</f>
        <v>27.646231511831921</v>
      </c>
      <c r="E42" s="31">
        <f ca="1">data_modeling!F40</f>
        <v>14.4</v>
      </c>
      <c r="F42" s="32">
        <f>data_modeling!G40</f>
        <v>0.47799999999999998</v>
      </c>
      <c r="G42" s="31">
        <f>data_modeling!H40</f>
        <v>0.17199325964641701</v>
      </c>
      <c r="H42" s="31">
        <f>data_modeling!I40</f>
        <v>2.2000000000000002</v>
      </c>
    </row>
    <row r="43" spans="1:8" ht="14.25" customHeight="1">
      <c r="A43" s="30" t="str">
        <f>data_modeling!A41</f>
        <v>Brazil</v>
      </c>
      <c r="B43" s="31">
        <f>LN(data_modeling!C41)</f>
        <v>1.791759469228055</v>
      </c>
      <c r="C43" s="31">
        <f ca="1">LN(data_modeling!D41)</f>
        <v>8.8242137455651122</v>
      </c>
      <c r="D43" s="31">
        <f ca="1">LN(data_modeling!E41)</f>
        <v>28.190125185578928</v>
      </c>
      <c r="E43" s="31">
        <f ca="1">data_modeling!F41</f>
        <v>26.5</v>
      </c>
      <c r="F43" s="32">
        <f>data_modeling!G41</f>
        <v>0.497</v>
      </c>
      <c r="G43" s="31">
        <f>data_modeling!H41</f>
        <v>0.15585865449956299</v>
      </c>
      <c r="H43" s="31">
        <f>data_modeling!I41</f>
        <v>2.7</v>
      </c>
    </row>
    <row r="44" spans="1:8" ht="14.25" customHeight="1">
      <c r="A44" s="30" t="str">
        <f>data_modeling!A42</f>
        <v>Austria</v>
      </c>
      <c r="B44" s="31">
        <f>LN(data_modeling!C42)</f>
        <v>1.791759469228055</v>
      </c>
      <c r="C44" s="31">
        <f ca="1">LN(data_modeling!D42)</f>
        <v>10.791107195254131</v>
      </c>
      <c r="D44" s="31">
        <f ca="1">LN(data_modeling!E42)</f>
        <v>26.680032381744315</v>
      </c>
      <c r="E44" s="31">
        <f ca="1">data_modeling!F42</f>
        <v>13.3</v>
      </c>
      <c r="F44" s="32">
        <f>data_modeling!G42</f>
        <v>0.623</v>
      </c>
      <c r="G44" s="31">
        <f>data_modeling!H42</f>
        <v>0.114425322844793</v>
      </c>
      <c r="H44" s="31">
        <f>data_modeling!I42</f>
        <v>0.16700000000000001</v>
      </c>
    </row>
    <row r="45" spans="1:8" ht="14.25" customHeight="1">
      <c r="A45" s="30" t="str">
        <f>data_modeling!A43</f>
        <v>Iceland</v>
      </c>
      <c r="B45" s="31">
        <f>LN(data_modeling!C43)</f>
        <v>1.6094379124341003</v>
      </c>
      <c r="C45" s="31">
        <f ca="1">LN(data_modeling!D43)</f>
        <v>10.989861592588106</v>
      </c>
      <c r="D45" s="31">
        <f ca="1">LN(data_modeling!E43)</f>
        <v>23.693241674644145</v>
      </c>
      <c r="E45" s="31">
        <f ca="1">data_modeling!F43</f>
        <v>8.8000000000000007</v>
      </c>
      <c r="F45" s="32">
        <f>data_modeling!G43</f>
        <v>0</v>
      </c>
      <c r="G45" s="31">
        <f>data_modeling!H43</f>
        <v>0.2182440917913</v>
      </c>
      <c r="H45" s="31">
        <f>data_modeling!I43</f>
        <v>4.2999999999999997E-2</v>
      </c>
    </row>
    <row r="46" spans="1:8" ht="14.25" customHeight="1">
      <c r="A46" s="30" t="str">
        <f>data_modeling!A44</f>
        <v>Italy</v>
      </c>
      <c r="B46" s="31">
        <f>LN(data_modeling!C44)</f>
        <v>1.6094379124341003</v>
      </c>
      <c r="C46" s="31">
        <f ca="1">LN(data_modeling!D44)</f>
        <v>10.364520469576178</v>
      </c>
      <c r="D46" s="31">
        <f ca="1">LN(data_modeling!E44)</f>
        <v>28.187622050498668</v>
      </c>
      <c r="E46" s="31">
        <f ca="1">data_modeling!F44</f>
        <v>20.100000000000001</v>
      </c>
      <c r="F46" s="32">
        <f>data_modeling!G44</f>
        <v>0.53500000000000003</v>
      </c>
      <c r="G46" s="31">
        <f>data_modeling!H44</f>
        <v>0.20098075915250399</v>
      </c>
      <c r="H46" s="31">
        <f>data_modeling!I44</f>
        <v>0.73499999999999999</v>
      </c>
    </row>
    <row r="47" spans="1:8" ht="14.25" customHeight="1">
      <c r="A47" s="30" t="str">
        <f>data_modeling!A45</f>
        <v>Czech Republic</v>
      </c>
      <c r="B47" s="31">
        <f>LN(data_modeling!C45)</f>
        <v>1.6094379124341003</v>
      </c>
      <c r="C47" s="31">
        <f ca="1">LN(data_modeling!D45)</f>
        <v>10.040298404230306</v>
      </c>
      <c r="D47" s="31">
        <f ca="1">LN(data_modeling!E45)</f>
        <v>26.03698449645708</v>
      </c>
      <c r="E47" s="31">
        <f ca="1">data_modeling!F45</f>
        <v>10.1</v>
      </c>
      <c r="F47" s="32">
        <f>data_modeling!G45</f>
        <v>0.56299999999999994</v>
      </c>
      <c r="G47" s="31">
        <f>data_modeling!H45</f>
        <v>0.175700436419362</v>
      </c>
      <c r="H47" s="31">
        <f>data_modeling!I45</f>
        <v>0.41199999999999998</v>
      </c>
    </row>
    <row r="48" spans="1:8" ht="14.25" customHeight="1">
      <c r="A48" s="30" t="str">
        <f>data_modeling!A46</f>
        <v>Estonia</v>
      </c>
      <c r="B48" s="31">
        <f>LN(data_modeling!C46)</f>
        <v>1.6094379124341003</v>
      </c>
      <c r="C48" s="31">
        <f ca="1">LN(data_modeling!D46)</f>
        <v>10.044423891803717</v>
      </c>
      <c r="D48" s="31">
        <f ca="1">LN(data_modeling!E46)</f>
        <v>23.991668619433284</v>
      </c>
      <c r="E48" s="31">
        <f ca="1">data_modeling!F46</f>
        <v>21.7</v>
      </c>
      <c r="F48" s="32">
        <f>data_modeling!G46</f>
        <v>0.58099999999999996</v>
      </c>
      <c r="G48" s="31">
        <f>data_modeling!H46</f>
        <v>0.16877990754007999</v>
      </c>
      <c r="H48" s="31">
        <f>data_modeling!I46</f>
        <v>0.10100000000000001</v>
      </c>
    </row>
    <row r="49" spans="1:15" ht="14.25" customHeight="1">
      <c r="A49" s="30" t="str">
        <f>data_modeling!A47</f>
        <v>Bermuda</v>
      </c>
      <c r="B49" s="31">
        <f>LN(data_modeling!C47)</f>
        <v>1.6094379124341003</v>
      </c>
      <c r="C49" s="31">
        <f ca="1">LN(data_modeling!D47)</f>
        <v>11.581326639914487</v>
      </c>
      <c r="D49" s="31">
        <f ca="1">LN(data_modeling!E47)</f>
        <v>22.582157332641124</v>
      </c>
      <c r="E49" s="31">
        <f>data_modeling!F47</f>
        <v>15</v>
      </c>
      <c r="F49" s="32">
        <f>data_modeling!G47</f>
        <v>1</v>
      </c>
      <c r="G49" s="31">
        <f>data_modeling!H47</f>
        <v>0.157472432939704</v>
      </c>
      <c r="H49" s="31">
        <f>data_modeling!I47</f>
        <v>0.1</v>
      </c>
    </row>
    <row r="50" spans="1:15" ht="14.25" customHeight="1">
      <c r="A50" s="30" t="str">
        <f>data_modeling!A48</f>
        <v>Slovenia</v>
      </c>
      <c r="B50" s="31">
        <f>LN(data_modeling!C48)</f>
        <v>1.3862943611198906</v>
      </c>
      <c r="C50" s="31">
        <f ca="1">LN(data_modeling!D48)</f>
        <v>10.147113134231731</v>
      </c>
      <c r="D50" s="31">
        <f ca="1">LN(data_modeling!E48)</f>
        <v>24.59706125677328</v>
      </c>
      <c r="E50" s="31">
        <f ca="1">data_modeling!F48</f>
        <v>12</v>
      </c>
      <c r="F50" s="32">
        <f>data_modeling!G48</f>
        <v>0</v>
      </c>
      <c r="G50" s="31">
        <f>data_modeling!H48</f>
        <v>0.19717774762550899</v>
      </c>
      <c r="H50" s="31">
        <f>data_modeling!I48</f>
        <v>0.22800000000000001</v>
      </c>
    </row>
    <row r="51" spans="1:15" ht="14.25" customHeight="1">
      <c r="A51" s="30" t="str">
        <f>data_modeling!A49</f>
        <v>Hungary</v>
      </c>
      <c r="B51" s="31">
        <f>LN(data_modeling!C49)</f>
        <v>1.3862943611198906</v>
      </c>
      <c r="C51" s="31">
        <f ca="1">LN(data_modeling!D49)</f>
        <v>9.6791395818030193</v>
      </c>
      <c r="D51" s="31">
        <f ca="1">LN(data_modeling!E49)</f>
        <v>25.665600154834515</v>
      </c>
      <c r="E51" s="31">
        <f ca="1">data_modeling!F49</f>
        <v>12.3</v>
      </c>
      <c r="F51" s="32">
        <f>data_modeling!G49</f>
        <v>0.59299999999999997</v>
      </c>
      <c r="G51" s="31">
        <f>data_modeling!H49</f>
        <v>0.17003769971874799</v>
      </c>
      <c r="H51" s="31">
        <f>data_modeling!I49</f>
        <v>0.51800000000000002</v>
      </c>
    </row>
    <row r="52" spans="1:15" ht="14.25" customHeight="1">
      <c r="A52" s="30" t="str">
        <f>data_modeling!A50</f>
        <v>Oman</v>
      </c>
      <c r="B52" s="31">
        <f>LN(data_modeling!C50)</f>
        <v>1.3862943611198906</v>
      </c>
      <c r="C52" s="31">
        <f ca="1">LN(data_modeling!D50)</f>
        <v>9.4461803987860229</v>
      </c>
      <c r="D52" s="31">
        <f>LN(data_modeling!E50)</f>
        <v>25.058331882756789</v>
      </c>
      <c r="E52" s="31">
        <f>data_modeling!F50</f>
        <v>15</v>
      </c>
      <c r="F52" s="32">
        <f>data_modeling!G50</f>
        <v>0.41699999999999998</v>
      </c>
      <c r="G52" s="31">
        <f>data_modeling!H50</f>
        <v>0.143677248076967</v>
      </c>
      <c r="H52" s="31">
        <f>data_modeling!I50</f>
        <v>0.126</v>
      </c>
    </row>
    <row r="53" spans="1:15" ht="14.25" customHeight="1">
      <c r="A53" s="30" t="str">
        <f>data_modeling!A51</f>
        <v>Russian Federation</v>
      </c>
      <c r="B53" s="31">
        <f>LN(data_modeling!C51)</f>
        <v>1.0986122886681098</v>
      </c>
      <c r="C53" s="31">
        <f ca="1">LN(data_modeling!D51)</f>
        <v>9.2229329311991979</v>
      </c>
      <c r="D53" s="31">
        <f ca="1">LN(data_modeling!E51)</f>
        <v>27.978944982571125</v>
      </c>
      <c r="E53" s="31">
        <f>data_modeling!F51</f>
        <v>15</v>
      </c>
      <c r="F53" s="32">
        <f>data_modeling!G51</f>
        <v>0.51100000000000001</v>
      </c>
      <c r="G53" s="31">
        <f>data_modeling!H51</f>
        <v>0.222900932918703</v>
      </c>
      <c r="H53" s="31">
        <f>data_modeling!I51</f>
        <v>1.5</v>
      </c>
    </row>
    <row r="54" spans="1:15" ht="14.25" customHeight="1">
      <c r="A54" s="30" t="str">
        <f>data_modeling!A52</f>
        <v>French Guiana</v>
      </c>
      <c r="B54" s="31">
        <f>LN(data_modeling!C52)</f>
        <v>1.0986122886681098</v>
      </c>
      <c r="C54" s="31">
        <f>LN(data_modeling!D52)</f>
        <v>9.6336453982126784</v>
      </c>
      <c r="D54" s="31">
        <f>LN(data_modeling!E52)</f>
        <v>22.193441682047006</v>
      </c>
      <c r="E54" s="31">
        <f>data_modeling!F52</f>
        <v>15</v>
      </c>
      <c r="F54" s="32">
        <f>data_modeling!G52</f>
        <v>0.5</v>
      </c>
      <c r="G54" s="31">
        <f>data_modeling!H52</f>
        <v>0.210983310780334</v>
      </c>
      <c r="H54" s="31">
        <f>data_modeling!I52</f>
        <v>0.05</v>
      </c>
    </row>
    <row r="55" spans="1:15" ht="14.25" customHeight="1">
      <c r="A55" s="30" t="str">
        <f>data_modeling!A53</f>
        <v>Indonesia</v>
      </c>
      <c r="B55" s="31">
        <f>LN(data_modeling!C53)</f>
        <v>1.0986122886681098</v>
      </c>
      <c r="C55" s="31">
        <f ca="1">LN(data_modeling!D53)</f>
        <v>8.2609034307676286</v>
      </c>
      <c r="D55" s="31">
        <f ca="1">LN(data_modeling!E53)</f>
        <v>27.658249879574885</v>
      </c>
      <c r="E55" s="31">
        <f ca="1">data_modeling!F53</f>
        <v>9.4</v>
      </c>
      <c r="F55" s="32">
        <f>data_modeling!G53</f>
        <v>0.46600000000000003</v>
      </c>
      <c r="G55" s="31">
        <f>data_modeling!H53</f>
        <v>0.20398818806197899</v>
      </c>
      <c r="H55" s="31">
        <f>data_modeling!I53</f>
        <v>5</v>
      </c>
    </row>
    <row r="56" spans="1:15" ht="14.25" customHeight="1">
      <c r="A56" s="30" t="str">
        <f>data_modeling!A54</f>
        <v>Trinidad and Tobago</v>
      </c>
      <c r="B56" s="31">
        <f>LN(data_modeling!C54)</f>
        <v>1.0986122886681098</v>
      </c>
      <c r="C56" s="31">
        <f ca="1">LN(data_modeling!D54)</f>
        <v>9.6437860219602243</v>
      </c>
      <c r="D56" s="31">
        <f ca="1">LN(data_modeling!E54)</f>
        <v>23.758880042912487</v>
      </c>
      <c r="E56" s="31">
        <f>data_modeling!F54</f>
        <v>15</v>
      </c>
      <c r="F56" s="32">
        <f>data_modeling!G54</f>
        <v>0.5</v>
      </c>
      <c r="G56" s="31">
        <f>data_modeling!H54</f>
        <v>0.19639881049638899</v>
      </c>
      <c r="H56" s="31">
        <f>data_modeling!I54</f>
        <v>0.46100000000000002</v>
      </c>
    </row>
    <row r="57" spans="1:15" ht="14.25" customHeight="1">
      <c r="A57" s="30" t="str">
        <f>data_modeling!A55</f>
        <v>Qatar</v>
      </c>
      <c r="B57" s="31">
        <f>LN(data_modeling!C55)</f>
        <v>1.0986122886681098</v>
      </c>
      <c r="C57" s="31">
        <f ca="1">LN(data_modeling!D55)</f>
        <v>10.822262913883911</v>
      </c>
      <c r="D57" s="31">
        <f ca="1">LN(data_modeling!E55)</f>
        <v>25.807255823788743</v>
      </c>
      <c r="E57" s="31">
        <f>data_modeling!F55</f>
        <v>15</v>
      </c>
      <c r="F57" s="32">
        <f>data_modeling!G55</f>
        <v>0.46700000000000003</v>
      </c>
      <c r="G57" s="31">
        <f>data_modeling!H55</f>
        <v>0.15131733021077301</v>
      </c>
      <c r="H57" s="31">
        <f>data_modeling!I55</f>
        <v>0.27900000000000003</v>
      </c>
    </row>
    <row r="58" spans="1:15" ht="14.25" customHeight="1">
      <c r="A58" s="30" t="str">
        <f>data_modeling!A56</f>
        <v xml:space="preserve">Virgin Islands </v>
      </c>
      <c r="B58" s="31">
        <f>LN(data_modeling!C56)</f>
        <v>1.0986122886681098</v>
      </c>
      <c r="C58" s="31">
        <f>LN(data_modeling!D56)</f>
        <v>10.52495074379763</v>
      </c>
      <c r="D58" s="31">
        <f>LN(data_modeling!E56)</f>
        <v>22.105552176668763</v>
      </c>
      <c r="E58" s="31">
        <f>data_modeling!F56</f>
        <v>15</v>
      </c>
      <c r="F58" s="32">
        <f>data_modeling!G56</f>
        <v>1</v>
      </c>
      <c r="G58" s="31">
        <f>data_modeling!H56</f>
        <v>6.6733886025842098E-2</v>
      </c>
      <c r="H58" s="31">
        <f>data_modeling!I56</f>
        <v>2.1999999999999999E-2</v>
      </c>
    </row>
    <row r="59" spans="1:15" ht="14.25" customHeight="1">
      <c r="A59" s="30" t="str">
        <f>data_modeling!A57</f>
        <v>Mauritius</v>
      </c>
      <c r="B59" s="31">
        <f>LN(data_modeling!C57)</f>
        <v>0.69314718055994529</v>
      </c>
      <c r="C59" s="31">
        <f ca="1">LN(data_modeling!D57)</f>
        <v>9.0627498289849644</v>
      </c>
      <c r="D59" s="31">
        <f ca="1">LN(data_modeling!E57)</f>
        <v>23.162593975798544</v>
      </c>
      <c r="E59" s="31">
        <f ca="1">data_modeling!F57</f>
        <v>10.3</v>
      </c>
      <c r="F59" s="32">
        <f>data_modeling!G57</f>
        <v>0.5</v>
      </c>
      <c r="G59" s="31">
        <f>data_modeling!H57</f>
        <v>0.365473464304367</v>
      </c>
      <c r="H59" s="31">
        <f>data_modeling!I57</f>
        <v>3.1E-2</v>
      </c>
    </row>
    <row r="60" spans="1:15" ht="14.25" customHeight="1">
      <c r="A60" s="30" t="str">
        <f>data_modeling!A58</f>
        <v>Guam</v>
      </c>
      <c r="B60" s="31">
        <f>LN(data_modeling!C58)</f>
        <v>0.69314718055994529</v>
      </c>
      <c r="C60" s="31">
        <f ca="1">LN(data_modeling!D58)</f>
        <v>10.452312185663027</v>
      </c>
      <c r="D60" s="31">
        <f ca="1">LN(data_modeling!E58)</f>
        <v>22.383345519470282</v>
      </c>
      <c r="E60" s="31">
        <f>data_modeling!F58</f>
        <v>15</v>
      </c>
      <c r="F60" s="32">
        <f>data_modeling!G58</f>
        <v>0.5</v>
      </c>
      <c r="G60" s="31">
        <f>data_modeling!H58</f>
        <v>0.14777534646243601</v>
      </c>
      <c r="H60" s="31">
        <f>data_modeling!I58</f>
        <v>0.01</v>
      </c>
    </row>
    <row r="61" spans="1:15" ht="14.25" customHeight="1"/>
    <row r="62" spans="1:15" ht="42.75">
      <c r="A62" s="79" t="s">
        <v>765</v>
      </c>
      <c r="B62" s="4"/>
      <c r="C62" s="4"/>
      <c r="D62" s="4"/>
      <c r="E62" s="4"/>
      <c r="F62" s="4"/>
      <c r="J62" s="29"/>
      <c r="K62" s="33" t="s">
        <v>2</v>
      </c>
      <c r="L62" s="33" t="s">
        <v>231</v>
      </c>
      <c r="M62" s="33" t="s">
        <v>233</v>
      </c>
      <c r="N62" s="33" t="s">
        <v>6</v>
      </c>
      <c r="O62" s="33" t="s">
        <v>234</v>
      </c>
    </row>
    <row r="63" spans="1:15" ht="71.099999999999994" customHeight="1">
      <c r="A63" s="33" t="s">
        <v>0</v>
      </c>
      <c r="B63" s="33" t="s">
        <v>2</v>
      </c>
      <c r="C63" s="33" t="s">
        <v>231</v>
      </c>
      <c r="D63" s="33" t="s">
        <v>233</v>
      </c>
      <c r="E63" s="33" t="s">
        <v>6</v>
      </c>
      <c r="F63" s="33" t="s">
        <v>234</v>
      </c>
      <c r="J63" s="33" t="s">
        <v>2</v>
      </c>
      <c r="K63" s="31">
        <v>1</v>
      </c>
      <c r="L63" s="31"/>
      <c r="M63" s="31"/>
      <c r="N63" s="31"/>
      <c r="O63" s="31"/>
    </row>
    <row r="64" spans="1:15" ht="14.25" customHeight="1">
      <c r="A64" s="31" t="s">
        <v>216</v>
      </c>
      <c r="B64" s="31">
        <v>12.273469577516201</v>
      </c>
      <c r="C64" s="31">
        <v>30.588379385769599</v>
      </c>
      <c r="D64" s="31">
        <v>1</v>
      </c>
      <c r="E64" s="31">
        <v>1.01237775531183E-2</v>
      </c>
      <c r="F64" s="31">
        <v>735.6</v>
      </c>
      <c r="J64" s="33" t="s">
        <v>231</v>
      </c>
      <c r="K64" s="31">
        <v>0.55968452607610497</v>
      </c>
      <c r="L64" s="31">
        <v>1</v>
      </c>
      <c r="M64" s="31"/>
      <c r="N64" s="31"/>
      <c r="O64" s="31"/>
    </row>
    <row r="65" spans="1:15" ht="14.25" customHeight="1">
      <c r="A65" s="31" t="s">
        <v>165</v>
      </c>
      <c r="B65" s="31">
        <v>5.8230458954830198</v>
      </c>
      <c r="C65" s="31">
        <v>28.1012317204341</v>
      </c>
      <c r="D65" s="31">
        <v>1</v>
      </c>
      <c r="E65" s="31">
        <v>0.123846718069013</v>
      </c>
      <c r="F65" s="31">
        <v>11.2</v>
      </c>
      <c r="J65" s="33" t="s">
        <v>233</v>
      </c>
      <c r="K65" s="31">
        <v>0.41860464433469502</v>
      </c>
      <c r="L65" s="31">
        <v>0.114888418417389</v>
      </c>
      <c r="M65" s="31">
        <v>1</v>
      </c>
      <c r="N65" s="31"/>
      <c r="O65" s="31"/>
    </row>
    <row r="66" spans="1:15" ht="14.25" customHeight="1">
      <c r="A66" s="31" t="s">
        <v>167</v>
      </c>
      <c r="B66" s="31">
        <v>5.2364419628299501</v>
      </c>
      <c r="C66" s="31">
        <v>26.426469676024901</v>
      </c>
      <c r="D66" s="31">
        <v>0.46500000000000002</v>
      </c>
      <c r="E66" s="31">
        <v>0.137748018898045</v>
      </c>
      <c r="F66" s="31">
        <v>5</v>
      </c>
      <c r="J66" s="33" t="s">
        <v>6</v>
      </c>
      <c r="K66" s="31">
        <v>-0.50158440258167503</v>
      </c>
      <c r="L66" s="31">
        <v>-0.28967316867465198</v>
      </c>
      <c r="M66" s="31">
        <v>-0.303173791471264</v>
      </c>
      <c r="N66" s="31">
        <v>1</v>
      </c>
      <c r="O66" s="31"/>
    </row>
    <row r="67" spans="1:15" ht="14.25" customHeight="1">
      <c r="A67" s="31" t="s">
        <v>183</v>
      </c>
      <c r="B67" s="31">
        <v>4.5849674786705696</v>
      </c>
      <c r="C67" s="31">
        <v>26.568142297546899</v>
      </c>
      <c r="D67" s="31">
        <v>0.5</v>
      </c>
      <c r="E67" s="31">
        <v>0.19857217656449699</v>
      </c>
      <c r="F67" s="31">
        <v>1.5</v>
      </c>
      <c r="J67" s="33" t="s">
        <v>234</v>
      </c>
      <c r="K67" s="31">
        <v>0.75599622760137497</v>
      </c>
      <c r="L67" s="31">
        <v>0.32683464979341897</v>
      </c>
      <c r="M67" s="31">
        <v>0.31775665268737502</v>
      </c>
      <c r="N67" s="31">
        <v>-0.352168960783587</v>
      </c>
      <c r="O67" s="31">
        <v>1</v>
      </c>
    </row>
    <row r="68" spans="1:15" ht="25.35" customHeight="1">
      <c r="A68" s="31" t="s">
        <v>190</v>
      </c>
      <c r="B68" s="31">
        <v>4.4659081186545802</v>
      </c>
      <c r="C68" s="31">
        <v>27.769694873590499</v>
      </c>
      <c r="D68" s="31">
        <v>0.436</v>
      </c>
      <c r="E68" s="31">
        <v>0.112490198996807</v>
      </c>
      <c r="F68" s="31">
        <v>8.6</v>
      </c>
      <c r="J68" s="3" t="s">
        <v>237</v>
      </c>
      <c r="K68" s="3"/>
      <c r="L68" s="3"/>
      <c r="M68" s="3"/>
      <c r="N68" s="3"/>
      <c r="O68" s="3"/>
    </row>
    <row r="69" spans="1:15" ht="14.25" customHeight="1">
      <c r="A69" s="31" t="s">
        <v>158</v>
      </c>
      <c r="B69" s="31">
        <v>4.3174881135363101</v>
      </c>
      <c r="C69" s="31">
        <v>28.030446579571901</v>
      </c>
      <c r="D69" s="31">
        <v>1</v>
      </c>
      <c r="E69" s="31">
        <v>0.17095343999769799</v>
      </c>
      <c r="F69" s="31">
        <v>7.3</v>
      </c>
      <c r="J69" s="37" t="s">
        <v>238</v>
      </c>
    </row>
    <row r="70" spans="1:15" ht="14.25" customHeight="1">
      <c r="A70" s="31" t="s">
        <v>215</v>
      </c>
      <c r="B70" s="31">
        <v>4.1896547420264296</v>
      </c>
      <c r="C70" s="31">
        <v>28.689545823531201</v>
      </c>
      <c r="D70" s="31">
        <v>1</v>
      </c>
      <c r="E70" s="31">
        <v>0.138784050515629</v>
      </c>
      <c r="F70" s="31">
        <v>7</v>
      </c>
    </row>
    <row r="71" spans="1:15" ht="14.25" customHeight="1">
      <c r="A71" s="31" t="s">
        <v>178</v>
      </c>
      <c r="B71" s="31">
        <v>4.0775374439057197</v>
      </c>
      <c r="C71" s="31">
        <v>26.569704612004099</v>
      </c>
      <c r="D71" s="31">
        <v>0.54200000000000004</v>
      </c>
      <c r="E71" s="31">
        <v>8.7374677439823994E-2</v>
      </c>
      <c r="F71" s="31">
        <v>1.4</v>
      </c>
      <c r="J71" s="2" t="s">
        <v>239</v>
      </c>
      <c r="K71" s="2"/>
      <c r="M71" s="39" t="s">
        <v>240</v>
      </c>
      <c r="N71" s="40">
        <v>2.5299999999999998</v>
      </c>
    </row>
    <row r="72" spans="1:15" ht="15">
      <c r="A72" s="31" t="s">
        <v>192</v>
      </c>
      <c r="B72" s="31">
        <v>3.8286413964891</v>
      </c>
      <c r="C72" s="31">
        <v>26.043747576205799</v>
      </c>
      <c r="D72" s="31">
        <v>1</v>
      </c>
      <c r="E72" s="31">
        <v>0.15484728890408</v>
      </c>
      <c r="F72" s="31">
        <v>1.4</v>
      </c>
      <c r="J72" t="s">
        <v>241</v>
      </c>
      <c r="K72">
        <v>0.85930251379241196</v>
      </c>
      <c r="M72" s="39" t="s">
        <v>242</v>
      </c>
      <c r="N72" s="40">
        <v>1.671</v>
      </c>
    </row>
    <row r="73" spans="1:15" ht="14.25" customHeight="1">
      <c r="A73" s="31" t="s">
        <v>204</v>
      </c>
      <c r="B73" s="31">
        <v>3.6888794541139398</v>
      </c>
      <c r="C73" s="31">
        <v>26.5226608588227</v>
      </c>
      <c r="D73" s="31">
        <v>0.63500000000000001</v>
      </c>
      <c r="E73" s="31">
        <v>0.10986294745075099</v>
      </c>
      <c r="F73" s="31">
        <v>1.7</v>
      </c>
      <c r="J73" t="s">
        <v>243</v>
      </c>
      <c r="K73">
        <v>0.73840081020995896</v>
      </c>
      <c r="M73" s="41" t="s">
        <v>244</v>
      </c>
      <c r="N73" s="41">
        <f>SUM(M96:M152)*(1/57)</f>
        <v>0.7787907380781588</v>
      </c>
    </row>
    <row r="74" spans="1:15" ht="14.25" customHeight="1">
      <c r="A74" s="31" t="s">
        <v>166</v>
      </c>
      <c r="B74" s="31">
        <v>3.6109179126442199</v>
      </c>
      <c r="C74" s="31">
        <v>26.235238362938901</v>
      </c>
      <c r="D74" s="31">
        <v>0.51600000000000001</v>
      </c>
      <c r="E74" s="31">
        <v>0.17396401937418299</v>
      </c>
      <c r="F74" s="31">
        <v>3.2</v>
      </c>
      <c r="J74" t="s">
        <v>245</v>
      </c>
      <c r="K74">
        <v>0.71827779561072502</v>
      </c>
      <c r="M74" s="1" t="s">
        <v>246</v>
      </c>
      <c r="N74" s="1"/>
      <c r="O74" s="1"/>
    </row>
    <row r="75" spans="1:15" ht="14.25" customHeight="1">
      <c r="A75" s="31" t="s">
        <v>200</v>
      </c>
      <c r="B75" s="31">
        <v>3.6109179126442199</v>
      </c>
      <c r="C75" s="31">
        <v>25.252203543963599</v>
      </c>
      <c r="D75" s="31">
        <v>0.5</v>
      </c>
      <c r="E75" s="31">
        <v>2.4901484027835999E-2</v>
      </c>
      <c r="F75" s="31">
        <v>0.82</v>
      </c>
      <c r="J75" t="s">
        <v>247</v>
      </c>
      <c r="K75">
        <v>0.92394505404453897</v>
      </c>
      <c r="M75" s="1"/>
      <c r="N75" s="1"/>
      <c r="O75" s="1"/>
    </row>
    <row r="76" spans="1:15" ht="14.25" customHeight="1">
      <c r="A76" s="31" t="s">
        <v>203</v>
      </c>
      <c r="B76" s="31">
        <v>3.4965075614664798</v>
      </c>
      <c r="C76" s="31">
        <v>27.2013369835059</v>
      </c>
      <c r="D76" s="31">
        <v>0.40400000000000003</v>
      </c>
      <c r="E76" s="31">
        <v>0.15732550549368901</v>
      </c>
      <c r="F76" s="31">
        <v>2</v>
      </c>
      <c r="J76" s="42" t="s">
        <v>248</v>
      </c>
      <c r="K76" s="42">
        <v>57</v>
      </c>
    </row>
    <row r="77" spans="1:15" ht="14.25" customHeight="1">
      <c r="A77" s="31" t="s">
        <v>186</v>
      </c>
      <c r="B77" s="31">
        <v>3.4965075614664798</v>
      </c>
      <c r="C77" s="31">
        <v>28.120214439567398</v>
      </c>
      <c r="D77" s="31">
        <v>0.52900000000000003</v>
      </c>
      <c r="E77" s="31">
        <v>9.5322089747459496E-2</v>
      </c>
      <c r="F77" s="31">
        <v>1.2</v>
      </c>
    </row>
    <row r="78" spans="1:15" ht="14.25" customHeight="1">
      <c r="A78" s="31" t="s">
        <v>197</v>
      </c>
      <c r="B78" s="31">
        <v>3.3672958299864701</v>
      </c>
      <c r="C78" s="31">
        <v>26.604619911472</v>
      </c>
      <c r="D78" s="31">
        <v>0.59199999999999997</v>
      </c>
      <c r="E78" s="31">
        <v>0.173180462901392</v>
      </c>
      <c r="F78" s="31">
        <v>5</v>
      </c>
      <c r="J78" s="37" t="s">
        <v>249</v>
      </c>
    </row>
    <row r="79" spans="1:15" ht="14.25" customHeight="1">
      <c r="A79" s="31" t="s">
        <v>182</v>
      </c>
      <c r="B79" s="31">
        <v>3.1354942159291501</v>
      </c>
      <c r="C79" s="31">
        <v>26.695488984897398</v>
      </c>
      <c r="D79" s="31">
        <v>1</v>
      </c>
      <c r="E79" s="31">
        <v>0.15393148005799201</v>
      </c>
      <c r="F79" s="31">
        <v>1.1000000000000001</v>
      </c>
      <c r="J79" s="38"/>
      <c r="K79" s="38" t="s">
        <v>250</v>
      </c>
      <c r="L79" s="38" t="s">
        <v>251</v>
      </c>
      <c r="M79" s="38" t="s">
        <v>252</v>
      </c>
      <c r="N79" s="38" t="s">
        <v>253</v>
      </c>
      <c r="O79" s="38" t="s">
        <v>254</v>
      </c>
    </row>
    <row r="80" spans="1:15" ht="14.25" customHeight="1">
      <c r="A80" s="31" t="s">
        <v>175</v>
      </c>
      <c r="B80" s="31">
        <v>3.0445224377234199</v>
      </c>
      <c r="C80" s="31">
        <v>28.864873833533199</v>
      </c>
      <c r="D80" s="31">
        <v>0.61599999999999999</v>
      </c>
      <c r="E80" s="31">
        <v>0.13079247131833599</v>
      </c>
      <c r="F80" s="31">
        <v>1.4</v>
      </c>
      <c r="J80" t="s">
        <v>255</v>
      </c>
      <c r="K80">
        <v>4</v>
      </c>
      <c r="L80">
        <v>125.300095956798</v>
      </c>
      <c r="M80">
        <v>31.325023989199401</v>
      </c>
      <c r="N80">
        <v>36.694343512431303</v>
      </c>
      <c r="O80">
        <v>1.4583564292800999E-14</v>
      </c>
    </row>
    <row r="81" spans="1:16" ht="14.25" customHeight="1">
      <c r="A81" s="31" t="s">
        <v>173</v>
      </c>
      <c r="B81" s="31">
        <v>2.99573227355399</v>
      </c>
      <c r="C81" s="31">
        <v>28.510766383176801</v>
      </c>
      <c r="D81" s="31">
        <v>0.55900000000000005</v>
      </c>
      <c r="E81" s="31">
        <v>0.169933800372775</v>
      </c>
      <c r="F81" s="31">
        <v>0.70799999999999996</v>
      </c>
      <c r="J81" t="s">
        <v>256</v>
      </c>
      <c r="K81">
        <v>52</v>
      </c>
      <c r="L81">
        <v>44.391072070455003</v>
      </c>
      <c r="M81">
        <v>0.85367446289336602</v>
      </c>
    </row>
    <row r="82" spans="1:16" ht="14.25" customHeight="1">
      <c r="A82" s="31" t="s">
        <v>185</v>
      </c>
      <c r="B82" s="31">
        <v>2.9444389791664398</v>
      </c>
      <c r="C82" s="31">
        <v>29.108242549273001</v>
      </c>
      <c r="D82" s="31">
        <v>0.48699999999999999</v>
      </c>
      <c r="E82" s="31">
        <v>0.13628571734681899</v>
      </c>
      <c r="F82" s="31">
        <v>0.68400000000000005</v>
      </c>
      <c r="J82" s="42" t="s">
        <v>83</v>
      </c>
      <c r="K82" s="42">
        <v>56</v>
      </c>
      <c r="L82" s="42">
        <v>169.69116802725301</v>
      </c>
      <c r="M82" s="42"/>
      <c r="N82" s="42"/>
      <c r="O82" s="42"/>
    </row>
    <row r="83" spans="1:16" ht="14.25" customHeight="1">
      <c r="A83" s="31" t="s">
        <v>206</v>
      </c>
      <c r="B83" s="31">
        <v>2.7725887222397798</v>
      </c>
      <c r="C83" s="31">
        <v>26.5393054425721</v>
      </c>
      <c r="D83" s="31">
        <v>0.60699999999999998</v>
      </c>
      <c r="E83" s="31">
        <v>0.15778614609935199</v>
      </c>
      <c r="F83" s="31">
        <v>3.3</v>
      </c>
    </row>
    <row r="84" spans="1:16" ht="14.25" customHeight="1">
      <c r="A84" s="31" t="s">
        <v>209</v>
      </c>
      <c r="B84" s="31">
        <v>2.7725887222397798</v>
      </c>
      <c r="C84" s="31">
        <v>27.355404627353199</v>
      </c>
      <c r="D84" s="31">
        <v>0.5</v>
      </c>
      <c r="E84" s="31">
        <v>0.13887554060547799</v>
      </c>
      <c r="F84" s="31">
        <v>0.98499999999999999</v>
      </c>
      <c r="J84" s="38"/>
      <c r="K84" s="38" t="s">
        <v>257</v>
      </c>
      <c r="L84" s="38" t="s">
        <v>258</v>
      </c>
      <c r="M84" s="38" t="s">
        <v>259</v>
      </c>
      <c r="N84" s="38" t="s">
        <v>260</v>
      </c>
      <c r="O84" s="38" t="s">
        <v>261</v>
      </c>
      <c r="P84" s="38" t="s">
        <v>262</v>
      </c>
    </row>
    <row r="85" spans="1:16" ht="14.25" customHeight="1">
      <c r="A85" s="31" t="s">
        <v>207</v>
      </c>
      <c r="B85" s="31">
        <v>2.7080502011022101</v>
      </c>
      <c r="C85" s="31">
        <v>27.7971542084119</v>
      </c>
      <c r="D85" s="31">
        <v>0.54</v>
      </c>
      <c r="E85" s="31">
        <v>0.17918919908690301</v>
      </c>
      <c r="F85" s="31">
        <v>3.2</v>
      </c>
      <c r="J85" s="33" t="s">
        <v>2</v>
      </c>
      <c r="K85">
        <v>-5.4211344922513804</v>
      </c>
      <c r="L85">
        <v>2.0896586653267901</v>
      </c>
      <c r="M85">
        <v>-2.59426794538409</v>
      </c>
      <c r="N85">
        <v>1.2286717657901E-2</v>
      </c>
      <c r="O85">
        <v>-9.6143413766988495</v>
      </c>
      <c r="P85">
        <v>-1.2279276078039201</v>
      </c>
    </row>
    <row r="86" spans="1:16" ht="14.25" customHeight="1">
      <c r="A86" s="31" t="s">
        <v>191</v>
      </c>
      <c r="B86" s="31">
        <v>2.7080502011022101</v>
      </c>
      <c r="C86" s="31">
        <v>27.417837004040301</v>
      </c>
      <c r="D86" s="31">
        <v>0.66300000000000003</v>
      </c>
      <c r="E86" s="31">
        <v>0.156047831815885</v>
      </c>
      <c r="F86" s="31">
        <v>1.6</v>
      </c>
      <c r="J86" s="33" t="s">
        <v>231</v>
      </c>
      <c r="K86">
        <v>0.29691340864430499</v>
      </c>
      <c r="L86">
        <v>7.2306317125091293E-2</v>
      </c>
      <c r="M86">
        <v>4.1063273646013396</v>
      </c>
      <c r="N86">
        <v>1.4254287841678601E-4</v>
      </c>
      <c r="O86">
        <v>0.151820168399464</v>
      </c>
      <c r="P86">
        <v>0.44200664888914698</v>
      </c>
    </row>
    <row r="87" spans="1:16" ht="14.25" customHeight="1">
      <c r="A87" s="31" t="s">
        <v>162</v>
      </c>
      <c r="B87" s="31">
        <v>2.3978952727983698</v>
      </c>
      <c r="C87" s="31">
        <v>26.868843080556001</v>
      </c>
      <c r="D87" s="31">
        <v>0.629</v>
      </c>
      <c r="E87" s="31">
        <v>0.14706050119785499</v>
      </c>
      <c r="F87" s="31">
        <v>0.71599999999999997</v>
      </c>
      <c r="J87" s="33" t="s">
        <v>233</v>
      </c>
      <c r="K87">
        <v>1.56855052445692</v>
      </c>
      <c r="L87">
        <v>0.76052134917811398</v>
      </c>
      <c r="M87">
        <v>2.06246744572264</v>
      </c>
      <c r="N87">
        <v>4.41749749941781E-2</v>
      </c>
      <c r="O87">
        <v>4.2452788947451803E-2</v>
      </c>
      <c r="P87">
        <v>3.0946482599663798</v>
      </c>
    </row>
    <row r="88" spans="1:16" ht="14.25" customHeight="1">
      <c r="A88" s="31" t="s">
        <v>196</v>
      </c>
      <c r="B88" s="31">
        <v>2.3025850929940499</v>
      </c>
      <c r="C88" s="31">
        <v>25.975429985559099</v>
      </c>
      <c r="D88" s="31">
        <v>0.505</v>
      </c>
      <c r="E88" s="31">
        <v>0.23319931074095299</v>
      </c>
      <c r="F88" s="31">
        <v>1.5</v>
      </c>
      <c r="J88" s="33" t="s">
        <v>6</v>
      </c>
      <c r="K88">
        <v>-4.9311809127030104</v>
      </c>
      <c r="L88">
        <v>2.2775564228543002</v>
      </c>
      <c r="M88">
        <v>-2.1651191001112999</v>
      </c>
      <c r="N88">
        <v>3.4989162358648102E-2</v>
      </c>
      <c r="O88">
        <v>-9.5014322319713198</v>
      </c>
      <c r="P88">
        <v>-0.36092959343469899</v>
      </c>
    </row>
    <row r="89" spans="1:16" ht="14.25" customHeight="1">
      <c r="A89" s="31" t="s">
        <v>188</v>
      </c>
      <c r="B89" s="31">
        <v>2.3025850929940499</v>
      </c>
      <c r="C89" s="31">
        <v>26.5641962522608</v>
      </c>
      <c r="D89" s="31">
        <v>0.54700000000000004</v>
      </c>
      <c r="E89" s="31">
        <v>0.197552430954438</v>
      </c>
      <c r="F89" s="31">
        <v>2.2999999999999998</v>
      </c>
      <c r="J89" s="33" t="s">
        <v>234</v>
      </c>
      <c r="K89" s="42">
        <v>9.7163487895482407E-3</v>
      </c>
      <c r="L89" s="42">
        <v>1.4429893218908499E-3</v>
      </c>
      <c r="M89" s="42">
        <v>6.7334862719678501</v>
      </c>
      <c r="N89" s="42">
        <v>1.31671443669331E-8</v>
      </c>
      <c r="O89" s="42">
        <v>6.8207788770378404E-3</v>
      </c>
      <c r="P89" s="42">
        <v>1.26119187020586E-2</v>
      </c>
    </row>
    <row r="90" spans="1:16" ht="14.25" customHeight="1">
      <c r="A90" s="31" t="s">
        <v>208</v>
      </c>
      <c r="B90" s="31">
        <v>2.3025850929940499</v>
      </c>
      <c r="C90" s="31">
        <v>27.002934534163799</v>
      </c>
      <c r="D90" s="31">
        <v>0.623</v>
      </c>
      <c r="E90" s="31">
        <v>0.18066464379564201</v>
      </c>
      <c r="F90" s="31">
        <v>1.4</v>
      </c>
    </row>
    <row r="91" spans="1:16" ht="14.25" customHeight="1">
      <c r="A91" s="31" t="s">
        <v>210</v>
      </c>
      <c r="B91" s="31">
        <v>2.19722457733622</v>
      </c>
      <c r="C91" s="31">
        <v>26.793193027800299</v>
      </c>
      <c r="D91" s="31">
        <v>0.41899999999999998</v>
      </c>
      <c r="E91" s="31">
        <v>0.164642048275946</v>
      </c>
      <c r="F91" s="31">
        <v>1.9</v>
      </c>
    </row>
    <row r="92" spans="1:16" ht="14.25" customHeight="1">
      <c r="A92" s="31" t="s">
        <v>187</v>
      </c>
      <c r="B92" s="31">
        <v>2.19722457733622</v>
      </c>
      <c r="C92" s="31">
        <v>25.3707914813467</v>
      </c>
      <c r="D92" s="31">
        <v>0.45800000000000002</v>
      </c>
      <c r="E92" s="31">
        <v>0.14502264283971</v>
      </c>
      <c r="F92" s="31">
        <v>0.31</v>
      </c>
    </row>
    <row r="93" spans="1:16" ht="14.25" customHeight="1">
      <c r="A93" s="31" t="s">
        <v>161</v>
      </c>
      <c r="B93" s="31">
        <v>2.0794415416798402</v>
      </c>
      <c r="C93" s="31">
        <v>24.2260018201912</v>
      </c>
      <c r="D93" s="31">
        <v>0.47599999999999998</v>
      </c>
      <c r="E93" s="31">
        <v>0.25360973043767598</v>
      </c>
      <c r="F93" s="31">
        <v>0.124</v>
      </c>
      <c r="J93" s="37" t="s">
        <v>263</v>
      </c>
    </row>
    <row r="94" spans="1:16" ht="14.25" customHeight="1">
      <c r="A94" s="31" t="s">
        <v>194</v>
      </c>
      <c r="B94" s="31">
        <v>2.0794415416798402</v>
      </c>
      <c r="C94" s="31">
        <v>26.724135331365002</v>
      </c>
      <c r="D94" s="31">
        <v>0.624</v>
      </c>
      <c r="E94" s="31">
        <v>0.21707630680975201</v>
      </c>
      <c r="F94" s="31">
        <v>0.88800000000000001</v>
      </c>
    </row>
    <row r="95" spans="1:16" ht="14.25" customHeight="1">
      <c r="A95" s="31" t="s">
        <v>168</v>
      </c>
      <c r="B95" s="31">
        <v>2.0794415416798402</v>
      </c>
      <c r="C95" s="31">
        <v>24.845046878243</v>
      </c>
      <c r="D95" s="31">
        <v>0.53</v>
      </c>
      <c r="E95" s="31">
        <v>0.188590393326456</v>
      </c>
      <c r="F95" s="31">
        <v>0.63300000000000001</v>
      </c>
      <c r="J95" s="38" t="s">
        <v>248</v>
      </c>
      <c r="K95" s="38" t="s">
        <v>264</v>
      </c>
      <c r="L95" s="38" t="s">
        <v>265</v>
      </c>
      <c r="M95" s="38" t="s">
        <v>266</v>
      </c>
    </row>
    <row r="96" spans="1:16" ht="14.25" customHeight="1">
      <c r="A96" s="31" t="s">
        <v>214</v>
      </c>
      <c r="B96" s="31">
        <v>2.0794415416798402</v>
      </c>
      <c r="C96" s="31">
        <v>26.639107160006802</v>
      </c>
      <c r="D96" s="31">
        <v>0.47199999999999998</v>
      </c>
      <c r="E96" s="31">
        <v>0.17334584282714599</v>
      </c>
      <c r="F96" s="31">
        <v>2.4</v>
      </c>
      <c r="J96">
        <v>1</v>
      </c>
      <c r="K96">
        <v>12.3269400114969</v>
      </c>
      <c r="L96">
        <v>-5.3470433980660197E-2</v>
      </c>
      <c r="M96" s="37">
        <f t="shared" ref="M96:M127" si="0">L96^2</f>
        <v>2.8590873100801406E-3</v>
      </c>
    </row>
    <row r="97" spans="1:13" ht="14.25" customHeight="1">
      <c r="A97" s="31" t="s">
        <v>169</v>
      </c>
      <c r="B97" s="31">
        <v>2.0794415416798402</v>
      </c>
      <c r="C97" s="31">
        <v>23.883655849970701</v>
      </c>
      <c r="D97" s="31">
        <v>0.5</v>
      </c>
      <c r="E97" s="31">
        <v>0.13640900923791699</v>
      </c>
      <c r="F97" s="31">
        <v>0.114</v>
      </c>
      <c r="J97">
        <v>2</v>
      </c>
      <c r="K97">
        <v>3.98916106362321</v>
      </c>
      <c r="L97">
        <v>1.83388483185981</v>
      </c>
      <c r="M97" s="37">
        <f t="shared" si="0"/>
        <v>3.3631335765254837</v>
      </c>
    </row>
    <row r="98" spans="1:13" ht="14.25" customHeight="1">
      <c r="A98" s="31" t="s">
        <v>176</v>
      </c>
      <c r="B98" s="31">
        <v>1.9459101490553099</v>
      </c>
      <c r="C98" s="31">
        <v>24.862019466408402</v>
      </c>
      <c r="D98" s="31">
        <v>0.52300000000000002</v>
      </c>
      <c r="E98" s="31">
        <v>0.380631170803853</v>
      </c>
      <c r="F98" s="31">
        <v>0.30299999999999999</v>
      </c>
      <c r="J98">
        <v>3</v>
      </c>
      <c r="K98">
        <v>2.5239360339600401</v>
      </c>
      <c r="L98">
        <v>2.71250592886991</v>
      </c>
      <c r="M98" s="37">
        <f t="shared" si="0"/>
        <v>7.3576884141544134</v>
      </c>
    </row>
    <row r="99" spans="1:13" ht="14.25" customHeight="1">
      <c r="A99" s="31" t="s">
        <v>171</v>
      </c>
      <c r="B99" s="31">
        <v>1.9459101490553099</v>
      </c>
      <c r="C99" s="31">
        <v>26.515478926105299</v>
      </c>
      <c r="D99" s="31">
        <v>0.63600000000000001</v>
      </c>
      <c r="E99" s="31">
        <v>0.170705823331918</v>
      </c>
      <c r="F99" s="31">
        <v>0.84299999999999997</v>
      </c>
      <c r="J99">
        <v>4</v>
      </c>
      <c r="K99">
        <v>2.2869576572042298</v>
      </c>
      <c r="L99">
        <v>2.2980098214663398</v>
      </c>
      <c r="M99" s="37">
        <f t="shared" si="0"/>
        <v>5.2808491395557589</v>
      </c>
    </row>
    <row r="100" spans="1:13" ht="14.25" customHeight="1">
      <c r="A100" s="31" t="s">
        <v>198</v>
      </c>
      <c r="B100" s="31">
        <v>1.9459101490553099</v>
      </c>
      <c r="C100" s="31">
        <v>26.038969556506</v>
      </c>
      <c r="D100" s="31">
        <v>0.625</v>
      </c>
      <c r="E100" s="31">
        <v>0.12114748270298401</v>
      </c>
      <c r="F100" s="31">
        <v>0.61299999999999999</v>
      </c>
      <c r="J100">
        <v>5</v>
      </c>
      <c r="K100">
        <v>3.03679937577277</v>
      </c>
      <c r="L100">
        <v>1.4291087428818201</v>
      </c>
      <c r="M100" s="37">
        <f t="shared" si="0"/>
        <v>2.0423517989812563</v>
      </c>
    </row>
    <row r="101" spans="1:13" ht="14.25" customHeight="1">
      <c r="A101" s="31" t="s">
        <v>193</v>
      </c>
      <c r="B101" s="31">
        <v>1.7917594692280601</v>
      </c>
      <c r="C101" s="31">
        <v>26.9256352811576</v>
      </c>
      <c r="D101" s="31">
        <v>0.56000000000000005</v>
      </c>
      <c r="E101" s="31">
        <v>0.22190254206424401</v>
      </c>
      <c r="F101" s="31">
        <v>1.3</v>
      </c>
      <c r="J101">
        <v>6</v>
      </c>
      <c r="K101">
        <v>3.6979584778544501</v>
      </c>
      <c r="L101">
        <v>0.61952963568185704</v>
      </c>
      <c r="M101" s="37">
        <f t="shared" si="0"/>
        <v>0.38381696948809452</v>
      </c>
    </row>
    <row r="102" spans="1:13" ht="14.25" customHeight="1">
      <c r="A102" s="31" t="s">
        <v>212</v>
      </c>
      <c r="B102" s="31">
        <v>1.7917594692280601</v>
      </c>
      <c r="C102" s="31">
        <v>27.6462315118319</v>
      </c>
      <c r="D102" s="31">
        <v>0.47799999999999998</v>
      </c>
      <c r="E102" s="31">
        <v>0.17199325964641701</v>
      </c>
      <c r="F102" s="31">
        <v>2.2000000000000002</v>
      </c>
      <c r="J102">
        <v>7</v>
      </c>
      <c r="K102">
        <v>4.0493720557637296</v>
      </c>
      <c r="L102">
        <v>0.14028268626269699</v>
      </c>
      <c r="M102" s="37">
        <f t="shared" si="0"/>
        <v>1.9679232065078274E-2</v>
      </c>
    </row>
    <row r="103" spans="1:13" ht="14.25" customHeight="1">
      <c r="A103" s="31" t="s">
        <v>164</v>
      </c>
      <c r="B103" s="31">
        <v>1.7917594692280601</v>
      </c>
      <c r="C103" s="31">
        <v>28.1901251855789</v>
      </c>
      <c r="D103" s="31">
        <v>0.497</v>
      </c>
      <c r="E103" s="31">
        <v>0.15585865449956299</v>
      </c>
      <c r="F103" s="31">
        <v>2.7</v>
      </c>
      <c r="J103">
        <v>8</v>
      </c>
      <c r="K103">
        <v>2.9006640016872498</v>
      </c>
      <c r="L103">
        <v>1.1768734422184699</v>
      </c>
      <c r="M103" s="37">
        <f t="shared" si="0"/>
        <v>1.3850310989991501</v>
      </c>
    </row>
    <row r="104" spans="1:13" ht="14.25" customHeight="1">
      <c r="A104" s="31" t="s">
        <v>160</v>
      </c>
      <c r="B104" s="31">
        <v>1.7917594692280601</v>
      </c>
      <c r="C104" s="31">
        <v>26.680032381744301</v>
      </c>
      <c r="D104" s="31">
        <v>0.623</v>
      </c>
      <c r="E104" s="31">
        <v>0.114425322844793</v>
      </c>
      <c r="F104" s="31">
        <v>7.3</v>
      </c>
      <c r="J104">
        <v>9</v>
      </c>
      <c r="K104">
        <v>3.1301767918064098</v>
      </c>
      <c r="L104">
        <v>0.69846460468268401</v>
      </c>
      <c r="M104" s="37">
        <f t="shared" si="0"/>
        <v>0.48785280399453806</v>
      </c>
    </row>
    <row r="105" spans="1:13" ht="14.25" customHeight="1">
      <c r="A105" s="31" t="s">
        <v>180</v>
      </c>
      <c r="B105" s="31">
        <v>1.6094379124341001</v>
      </c>
      <c r="C105" s="31">
        <v>23.693241674644099</v>
      </c>
      <c r="D105" s="31">
        <v>0.5</v>
      </c>
      <c r="E105" s="31">
        <v>0.2182440917913</v>
      </c>
      <c r="F105" s="31">
        <v>4.2999999999999997E-2</v>
      </c>
      <c r="J105">
        <v>10</v>
      </c>
      <c r="K105">
        <v>2.9245924561484902</v>
      </c>
      <c r="L105">
        <v>0.76428699796545096</v>
      </c>
      <c r="M105" s="37">
        <f t="shared" si="0"/>
        <v>0.5841346152590412</v>
      </c>
    </row>
    <row r="106" spans="1:13" ht="14.25" customHeight="1">
      <c r="A106" s="31" t="s">
        <v>184</v>
      </c>
      <c r="B106" s="31">
        <v>1.6094379124341001</v>
      </c>
      <c r="C106" s="31">
        <v>28.1876220504987</v>
      </c>
      <c r="D106" s="31">
        <v>0.53500000000000003</v>
      </c>
      <c r="E106" s="31">
        <v>0.20098075915250399</v>
      </c>
      <c r="F106" s="31">
        <v>0.73499999999999999</v>
      </c>
      <c r="J106">
        <v>11</v>
      </c>
      <c r="K106">
        <v>2.3510758915958898</v>
      </c>
      <c r="L106">
        <v>1.2598420210483401</v>
      </c>
      <c r="M106" s="37">
        <f t="shared" si="0"/>
        <v>1.5872019179991661</v>
      </c>
    </row>
    <row r="107" spans="1:13" ht="14.25" customHeight="1">
      <c r="A107" s="31" t="s">
        <v>170</v>
      </c>
      <c r="B107" s="31">
        <v>1.6094379124341001</v>
      </c>
      <c r="C107" s="31">
        <v>26.036984496457102</v>
      </c>
      <c r="D107" s="31">
        <v>0.56299999999999994</v>
      </c>
      <c r="E107" s="31">
        <v>0.175700436419362</v>
      </c>
      <c r="F107" s="31">
        <v>0.41199999999999998</v>
      </c>
      <c r="J107">
        <v>12</v>
      </c>
      <c r="K107">
        <v>2.7460322832664898</v>
      </c>
      <c r="L107">
        <v>0.86488562937773406</v>
      </c>
      <c r="M107" s="37">
        <f t="shared" si="0"/>
        <v>0.74802715190411917</v>
      </c>
    </row>
    <row r="108" spans="1:13" ht="14.25" customHeight="1">
      <c r="A108" s="31" t="s">
        <v>172</v>
      </c>
      <c r="B108" s="31">
        <v>1.6094379124341001</v>
      </c>
      <c r="C108" s="31">
        <v>23.991668619433302</v>
      </c>
      <c r="D108" s="31">
        <v>0.58099999999999996</v>
      </c>
      <c r="E108" s="31">
        <v>0.16877990754007999</v>
      </c>
      <c r="F108" s="31">
        <v>0.10100000000000001</v>
      </c>
      <c r="J108">
        <v>13</v>
      </c>
      <c r="K108">
        <v>2.5326337708916</v>
      </c>
      <c r="L108">
        <v>0.96387379057487699</v>
      </c>
      <c r="M108" s="37">
        <f t="shared" si="0"/>
        <v>0.92905268415718179</v>
      </c>
    </row>
    <row r="109" spans="1:13" ht="14.25" customHeight="1">
      <c r="A109" s="31" t="s">
        <v>163</v>
      </c>
      <c r="B109" s="31">
        <v>1.6094379124341001</v>
      </c>
      <c r="C109" s="31">
        <v>22.582157332641099</v>
      </c>
      <c r="D109" s="31">
        <v>1</v>
      </c>
      <c r="E109" s="31">
        <v>0.157472432939704</v>
      </c>
      <c r="F109" s="31">
        <v>0.1</v>
      </c>
      <c r="J109">
        <v>14</v>
      </c>
      <c r="K109">
        <v>3.2995066052729198</v>
      </c>
      <c r="L109">
        <v>0.19700095619356001</v>
      </c>
      <c r="M109" s="37">
        <f t="shared" si="0"/>
        <v>3.8809376741176946E-2</v>
      </c>
    </row>
    <row r="110" spans="1:13" ht="14.25" customHeight="1">
      <c r="A110" s="31" t="s">
        <v>205</v>
      </c>
      <c r="B110" s="31">
        <v>1.3862943611198899</v>
      </c>
      <c r="C110" s="31">
        <v>24.597061256773301</v>
      </c>
      <c r="D110" s="31">
        <v>0.5</v>
      </c>
      <c r="E110" s="31">
        <v>0.19717774762550899</v>
      </c>
      <c r="F110" s="31">
        <v>0.22800000000000001</v>
      </c>
      <c r="J110">
        <v>15</v>
      </c>
      <c r="K110">
        <v>2.60131335266373</v>
      </c>
      <c r="L110">
        <v>0.76598247732274605</v>
      </c>
      <c r="M110" s="37">
        <f t="shared" si="0"/>
        <v>0.58672915556549121</v>
      </c>
    </row>
    <row r="111" spans="1:13" ht="14.25" customHeight="1">
      <c r="A111" s="31" t="s">
        <v>179</v>
      </c>
      <c r="B111" s="31">
        <v>1.3862943611198899</v>
      </c>
      <c r="C111" s="31">
        <v>25.6656001548345</v>
      </c>
      <c r="D111" s="31">
        <v>0.59299999999999997</v>
      </c>
      <c r="E111" s="31">
        <v>0.17003769971874799</v>
      </c>
      <c r="F111" s="31">
        <v>0.51800000000000002</v>
      </c>
      <c r="J111">
        <v>16</v>
      </c>
      <c r="K111">
        <v>3.3252886694803299</v>
      </c>
      <c r="L111">
        <v>-0.18979445355118199</v>
      </c>
      <c r="M111" s="37">
        <f t="shared" si="0"/>
        <v>3.6021934598791779E-2</v>
      </c>
    </row>
    <row r="112" spans="1:13" ht="14.25" customHeight="1">
      <c r="A112" s="31" t="s">
        <v>195</v>
      </c>
      <c r="B112" s="31">
        <v>1.3862943611198899</v>
      </c>
      <c r="C112" s="31">
        <v>25.0583318827568</v>
      </c>
      <c r="D112" s="31">
        <v>0.41699999999999998</v>
      </c>
      <c r="E112" s="31">
        <v>0.143677248076967</v>
      </c>
      <c r="F112" s="31">
        <v>0.126</v>
      </c>
      <c r="J112">
        <v>17</v>
      </c>
      <c r="K112">
        <v>3.4841022610313699</v>
      </c>
      <c r="L112">
        <v>-0.43957982330795098</v>
      </c>
      <c r="M112" s="37">
        <f t="shared" si="0"/>
        <v>0.1932304210594494</v>
      </c>
    </row>
    <row r="113" spans="1:13" ht="14.25" customHeight="1">
      <c r="A113" s="31" t="s">
        <v>202</v>
      </c>
      <c r="B113" s="31">
        <v>1.09861228866811</v>
      </c>
      <c r="C113" s="31">
        <v>27.9789449825711</v>
      </c>
      <c r="D113" s="31">
        <v>0.51100000000000001</v>
      </c>
      <c r="E113" s="31">
        <v>0.222900932918703</v>
      </c>
      <c r="F113" s="31">
        <v>1.5</v>
      </c>
      <c r="J113">
        <v>18</v>
      </c>
      <c r="K113">
        <v>3.08981894293222</v>
      </c>
      <c r="L113">
        <v>-9.4086669378228294E-2</v>
      </c>
      <c r="M113" s="37">
        <f t="shared" si="0"/>
        <v>8.852301354688041E-3</v>
      </c>
    </row>
    <row r="114" spans="1:13" ht="14.25" customHeight="1">
      <c r="A114" s="31" t="s">
        <v>174</v>
      </c>
      <c r="B114" s="31">
        <v>1.09861228866811</v>
      </c>
      <c r="C114" s="31">
        <v>22.193441682046998</v>
      </c>
      <c r="D114" s="31">
        <v>0.5</v>
      </c>
      <c r="E114" s="31">
        <v>0.210983310780334</v>
      </c>
      <c r="F114" s="31">
        <v>0.05</v>
      </c>
      <c r="J114">
        <v>19</v>
      </c>
      <c r="K114">
        <v>3.3199735826263699</v>
      </c>
      <c r="L114">
        <v>-0.375534603459935</v>
      </c>
      <c r="M114" s="37">
        <f t="shared" si="0"/>
        <v>0.14102623839581063</v>
      </c>
    </row>
    <row r="115" spans="1:13" ht="14.25" customHeight="1">
      <c r="A115" s="31" t="s">
        <v>181</v>
      </c>
      <c r="B115" s="31">
        <v>1.09861228866811</v>
      </c>
      <c r="C115" s="31">
        <v>27.6582498795749</v>
      </c>
      <c r="D115" s="31">
        <v>0.46600000000000003</v>
      </c>
      <c r="E115" s="31">
        <v>0.20398818806197899</v>
      </c>
      <c r="F115" s="31">
        <v>5</v>
      </c>
      <c r="J115">
        <v>20</v>
      </c>
      <c r="K115">
        <v>2.66484323717181</v>
      </c>
      <c r="L115">
        <v>0.10774548506797001</v>
      </c>
      <c r="M115" s="37">
        <f t="shared" si="0"/>
        <v>1.1609089552532148E-2</v>
      </c>
    </row>
    <row r="116" spans="1:13" ht="14.25" customHeight="1">
      <c r="A116" s="31" t="s">
        <v>211</v>
      </c>
      <c r="B116" s="31">
        <v>1.09861228866811</v>
      </c>
      <c r="C116" s="31">
        <v>23.758880042912502</v>
      </c>
      <c r="D116" s="31">
        <v>0.5</v>
      </c>
      <c r="E116" s="31">
        <v>0.19639881049638899</v>
      </c>
      <c r="F116" s="31">
        <v>0.46100000000000002</v>
      </c>
      <c r="J116">
        <v>21</v>
      </c>
      <c r="K116">
        <v>2.8100773912113799</v>
      </c>
      <c r="L116">
        <v>-3.74886689715948E-2</v>
      </c>
      <c r="M116" s="37">
        <f t="shared" si="0"/>
        <v>1.4054003012618148E-3</v>
      </c>
    </row>
    <row r="117" spans="1:13" ht="14.25" customHeight="1">
      <c r="A117" s="31" t="s">
        <v>201</v>
      </c>
      <c r="B117" s="31">
        <v>1.09861228866811</v>
      </c>
      <c r="C117" s="31">
        <v>25.807255823788701</v>
      </c>
      <c r="D117" s="31">
        <v>0.46700000000000003</v>
      </c>
      <c r="E117" s="31">
        <v>0.15131733021077301</v>
      </c>
      <c r="F117" s="31">
        <v>0.27900000000000003</v>
      </c>
      <c r="J117">
        <v>22</v>
      </c>
      <c r="K117">
        <v>2.826708555413</v>
      </c>
      <c r="L117">
        <v>-0.118658354310785</v>
      </c>
      <c r="M117" s="37">
        <f t="shared" si="0"/>
        <v>1.4079805047743791E-2</v>
      </c>
    </row>
    <row r="118" spans="1:13" ht="14.25" customHeight="1">
      <c r="A118" s="31" t="s">
        <v>218</v>
      </c>
      <c r="B118" s="31">
        <v>1.09861228866811</v>
      </c>
      <c r="C118" s="31">
        <v>22.105552176668802</v>
      </c>
      <c r="D118" s="31">
        <v>1</v>
      </c>
      <c r="E118" s="31">
        <v>6.6733886025842098E-2</v>
      </c>
      <c r="F118" s="31">
        <v>2.1999999999999999E-2</v>
      </c>
      <c r="J118">
        <v>23</v>
      </c>
      <c r="K118">
        <v>3.00558401633121</v>
      </c>
      <c r="L118">
        <v>-0.29753381522899902</v>
      </c>
      <c r="M118" s="37">
        <f t="shared" si="0"/>
        <v>8.8526371204724133E-2</v>
      </c>
    </row>
    <row r="119" spans="1:13" ht="14.25" customHeight="1">
      <c r="A119" s="31" t="s">
        <v>189</v>
      </c>
      <c r="B119" s="31">
        <v>0.69314718055994495</v>
      </c>
      <c r="C119" s="31">
        <v>23.162593975798501</v>
      </c>
      <c r="D119" s="31">
        <v>0.5</v>
      </c>
      <c r="E119" s="31">
        <v>0.365473464304367</v>
      </c>
      <c r="F119" s="31">
        <v>3.1E-2</v>
      </c>
      <c r="J119">
        <v>24</v>
      </c>
      <c r="K119">
        <v>2.8249785422227598</v>
      </c>
      <c r="L119">
        <v>-0.42708326942438901</v>
      </c>
      <c r="M119" s="37">
        <f t="shared" si="0"/>
        <v>0.18240011902222525</v>
      </c>
    </row>
    <row r="120" spans="1:13" ht="14.25" customHeight="1">
      <c r="A120" s="31" t="s">
        <v>177</v>
      </c>
      <c r="B120" s="31">
        <v>0.69314718055994495</v>
      </c>
      <c r="C120" s="31">
        <v>22.3833455194703</v>
      </c>
      <c r="D120" s="31">
        <v>0.5</v>
      </c>
      <c r="E120" s="31">
        <v>0.14777534646243601</v>
      </c>
      <c r="F120" s="31">
        <v>0.01</v>
      </c>
      <c r="J120">
        <v>25</v>
      </c>
      <c r="K120">
        <v>1.9480635138162301</v>
      </c>
      <c r="L120">
        <v>0.35452157917781302</v>
      </c>
      <c r="M120" s="37">
        <f t="shared" si="0"/>
        <v>0.12568555010273033</v>
      </c>
    </row>
    <row r="121" spans="1:13" ht="14.25" customHeight="1">
      <c r="J121">
        <v>26</v>
      </c>
      <c r="K121">
        <v>2.3723095272169399</v>
      </c>
      <c r="L121">
        <v>-6.9724434222889098E-2</v>
      </c>
      <c r="M121" s="37">
        <f t="shared" si="0"/>
        <v>4.8614967277019888E-3</v>
      </c>
    </row>
    <row r="122" spans="1:13" ht="14.25" customHeight="1">
      <c r="J122">
        <v>27</v>
      </c>
      <c r="K122">
        <v>2.6963186656428899</v>
      </c>
      <c r="L122">
        <v>-0.39373357264884801</v>
      </c>
      <c r="M122" s="37">
        <f t="shared" si="0"/>
        <v>0.15502612623082568</v>
      </c>
    </row>
    <row r="123" spans="1:13" ht="14.25" customHeight="1">
      <c r="J123">
        <v>28</v>
      </c>
      <c r="K123">
        <v>2.3979277846585401</v>
      </c>
      <c r="L123">
        <v>-0.200703207322322</v>
      </c>
      <c r="M123" s="37">
        <f t="shared" si="0"/>
        <v>4.0281777429466967E-2</v>
      </c>
    </row>
    <row r="124" spans="1:13" ht="14.25" customHeight="1">
      <c r="J124">
        <v>29</v>
      </c>
      <c r="K124">
        <v>2.1180690065242702</v>
      </c>
      <c r="L124">
        <v>7.9155570811945394E-2</v>
      </c>
      <c r="M124" s="37">
        <f t="shared" si="0"/>
        <v>6.2656043905649017E-3</v>
      </c>
    </row>
    <row r="125" spans="1:13" ht="14.25" customHeight="1">
      <c r="J125">
        <v>30</v>
      </c>
      <c r="K125">
        <v>1.26912970088608</v>
      </c>
      <c r="L125">
        <v>0.81031184079375396</v>
      </c>
      <c r="M125" s="37">
        <f t="shared" si="0"/>
        <v>0.65660527933056201</v>
      </c>
    </row>
    <row r="126" spans="1:13" ht="14.25" customHeight="1">
      <c r="J126">
        <v>31</v>
      </c>
      <c r="K126">
        <v>2.4305807263018302</v>
      </c>
      <c r="L126">
        <v>-0.351139184621998</v>
      </c>
      <c r="M126" s="37">
        <f t="shared" si="0"/>
        <v>0.1232987269770016</v>
      </c>
    </row>
    <row r="127" spans="1:13" ht="14.25" customHeight="1">
      <c r="J127">
        <v>32</v>
      </c>
      <c r="K127">
        <v>1.8632019431506801</v>
      </c>
      <c r="L127">
        <v>0.216239598529157</v>
      </c>
      <c r="M127" s="37">
        <f t="shared" si="0"/>
        <v>4.6759563972050999E-2</v>
      </c>
    </row>
    <row r="128" spans="1:13" ht="14.25" customHeight="1">
      <c r="J128">
        <v>33</v>
      </c>
      <c r="K128">
        <v>2.39724899106008</v>
      </c>
      <c r="L128">
        <v>-0.31780744938024802</v>
      </c>
      <c r="M128" s="37">
        <f t="shared" ref="M128:M159" si="1">L128^2</f>
        <v>0.1010015748815789</v>
      </c>
    </row>
    <row r="129" spans="10:13" ht="14.25" customHeight="1">
      <c r="J129">
        <v>34</v>
      </c>
      <c r="K129">
        <v>1.7829686003666301</v>
      </c>
      <c r="L129">
        <v>0.29647294131320501</v>
      </c>
      <c r="M129" s="37">
        <f t="shared" si="1"/>
        <v>8.7896204930903096E-2</v>
      </c>
    </row>
    <row r="130" spans="10:13" ht="14.25" customHeight="1">
      <c r="J130">
        <v>35</v>
      </c>
      <c r="K130">
        <v>0.90706726702745299</v>
      </c>
      <c r="L130">
        <v>1.0388428820278599</v>
      </c>
      <c r="M130" s="37">
        <f t="shared" si="1"/>
        <v>1.07919453353995</v>
      </c>
    </row>
    <row r="131" spans="10:13" ht="14.25" customHeight="1">
      <c r="J131">
        <v>36</v>
      </c>
      <c r="K131">
        <v>2.6156744554173699</v>
      </c>
      <c r="L131">
        <v>-0.66976430636205497</v>
      </c>
      <c r="M131" s="37">
        <f t="shared" si="1"/>
        <v>0.44858422607664461</v>
      </c>
    </row>
    <row r="132" spans="10:13" ht="14.25" customHeight="1">
      <c r="J132">
        <v>37</v>
      </c>
      <c r="K132">
        <v>2.6990847616226898</v>
      </c>
      <c r="L132">
        <v>-0.75317461256737495</v>
      </c>
      <c r="M132" s="37">
        <f t="shared" si="1"/>
        <v>0.56727199701601538</v>
      </c>
    </row>
    <row r="133" spans="10:13" ht="14.25" customHeight="1">
      <c r="J133">
        <v>38</v>
      </c>
      <c r="K133">
        <v>2.3702256262052899</v>
      </c>
      <c r="L133">
        <v>-0.57846615697723802</v>
      </c>
      <c r="M133" s="37">
        <f t="shared" si="1"/>
        <v>0.33462309476801461</v>
      </c>
    </row>
    <row r="134" spans="10:13" ht="14.25" customHeight="1">
      <c r="J134">
        <v>39</v>
      </c>
      <c r="K134">
        <v>2.7104155810416599</v>
      </c>
      <c r="L134">
        <v>-0.91865611181360496</v>
      </c>
      <c r="M134" s="37">
        <f t="shared" si="1"/>
        <v>0.84392905177249067</v>
      </c>
    </row>
    <row r="135" spans="10:13" ht="14.25" customHeight="1">
      <c r="J135">
        <v>40</v>
      </c>
      <c r="K135">
        <v>2.9861281969475799</v>
      </c>
      <c r="L135">
        <v>-1.1943687277195201</v>
      </c>
      <c r="M135" s="37">
        <f t="shared" si="1"/>
        <v>1.4265166577543451</v>
      </c>
    </row>
    <row r="136" spans="10:13" ht="14.25" customHeight="1">
      <c r="J136">
        <v>41</v>
      </c>
      <c r="K136">
        <v>2.9844092199109999</v>
      </c>
      <c r="L136">
        <v>-1.1926497506829401</v>
      </c>
      <c r="M136" s="37">
        <f t="shared" si="1"/>
        <v>1.4224134278040792</v>
      </c>
    </row>
    <row r="137" spans="10:13" ht="14.25" customHeight="1">
      <c r="J137">
        <v>42</v>
      </c>
      <c r="K137">
        <v>1.3221986206754599</v>
      </c>
      <c r="L137">
        <v>0.28723929175864199</v>
      </c>
      <c r="M137" s="37">
        <f t="shared" si="1"/>
        <v>8.2506410730006252E-2</v>
      </c>
    </row>
    <row r="138" spans="10:13" ht="14.25" customHeight="1">
      <c r="J138">
        <v>43</v>
      </c>
      <c r="K138">
        <v>2.80339201593093</v>
      </c>
      <c r="L138">
        <v>-1.19395410349683</v>
      </c>
      <c r="M138" s="37">
        <f t="shared" si="1"/>
        <v>1.4255264012569189</v>
      </c>
    </row>
    <row r="139" spans="10:13" ht="14.25" customHeight="1">
      <c r="J139">
        <v>44</v>
      </c>
      <c r="K139">
        <v>2.3302817679564001</v>
      </c>
      <c r="L139">
        <v>-0.72084385552230301</v>
      </c>
      <c r="M139" s="37">
        <f t="shared" si="1"/>
        <v>0.51961586404425886</v>
      </c>
    </row>
    <row r="140" spans="10:13" ht="14.25" customHeight="1">
      <c r="J140">
        <v>45</v>
      </c>
      <c r="K140">
        <v>1.78233856403696</v>
      </c>
      <c r="L140">
        <v>-0.172900651602856</v>
      </c>
      <c r="M140" s="37">
        <f t="shared" si="1"/>
        <v>2.9894635324692193E-2</v>
      </c>
    </row>
    <row r="141" spans="10:13" ht="14.25" customHeight="1">
      <c r="J141">
        <v>46</v>
      </c>
      <c r="K141">
        <v>2.0768079196717801</v>
      </c>
      <c r="L141">
        <v>-0.46737000723767902</v>
      </c>
      <c r="M141" s="37">
        <f t="shared" si="1"/>
        <v>0.21843472366534814</v>
      </c>
    </row>
    <row r="142" spans="10:13" ht="14.25" customHeight="1">
      <c r="J142">
        <v>47</v>
      </c>
      <c r="K142">
        <v>1.69623425238174</v>
      </c>
      <c r="L142">
        <v>-0.30993989126185001</v>
      </c>
      <c r="M142" s="37">
        <f t="shared" si="1"/>
        <v>9.6062736195407408E-2</v>
      </c>
    </row>
    <row r="143" spans="10:13" ht="14.25" customHeight="1">
      <c r="J143">
        <v>48</v>
      </c>
      <c r="K143">
        <v>2.2960232050052598</v>
      </c>
      <c r="L143">
        <v>-0.90972884388536701</v>
      </c>
      <c r="M143" s="37">
        <f t="shared" si="1"/>
        <v>0.8276065693970065</v>
      </c>
    </row>
    <row r="144" spans="10:13" ht="14.25" customHeight="1">
      <c r="J144">
        <v>49</v>
      </c>
      <c r="K144">
        <v>1.9658315673373901</v>
      </c>
      <c r="L144">
        <v>-0.57953720621749605</v>
      </c>
      <c r="M144" s="37">
        <f t="shared" si="1"/>
        <v>0.33586337339038053</v>
      </c>
    </row>
    <row r="145" spans="10:13" ht="14.25" customHeight="1">
      <c r="J145">
        <v>50</v>
      </c>
      <c r="K145">
        <v>2.6031284481446901</v>
      </c>
      <c r="L145">
        <v>-1.5045161594765799</v>
      </c>
      <c r="M145" s="37">
        <f t="shared" si="1"/>
        <v>2.2635688741261575</v>
      </c>
    </row>
    <row r="146" spans="10:13" ht="14.25" customHeight="1">
      <c r="J146">
        <v>51</v>
      </c>
      <c r="K146">
        <v>0.91276013176285897</v>
      </c>
      <c r="L146">
        <v>0.185852156905251</v>
      </c>
      <c r="M146" s="37">
        <f t="shared" si="1"/>
        <v>3.4541024226334038E-2</v>
      </c>
    </row>
    <row r="147" spans="10:13" ht="14.25" customHeight="1">
      <c r="J147">
        <v>52</v>
      </c>
      <c r="K147">
        <v>2.5645943855856999</v>
      </c>
      <c r="L147">
        <v>-1.4659820969175901</v>
      </c>
      <c r="M147" s="37">
        <f t="shared" si="1"/>
        <v>2.1491035084828947</v>
      </c>
    </row>
    <row r="148" spans="10:13" ht="14.25" customHeight="1">
      <c r="J148">
        <v>53</v>
      </c>
      <c r="K148">
        <v>1.45347200028399</v>
      </c>
      <c r="L148">
        <v>-0.35485971161587798</v>
      </c>
      <c r="M148" s="37">
        <f t="shared" si="1"/>
        <v>0.12592541492810408</v>
      </c>
    </row>
    <row r="149" spans="10:13" ht="14.25" customHeight="1">
      <c r="J149">
        <v>54</v>
      </c>
      <c r="K149">
        <v>2.2304366278824501</v>
      </c>
      <c r="L149">
        <v>-1.1318243392143399</v>
      </c>
      <c r="M149" s="37">
        <f t="shared" si="1"/>
        <v>1.2810263348379771</v>
      </c>
    </row>
    <row r="150" spans="10:13" ht="14.25" customHeight="1">
      <c r="J150">
        <v>55</v>
      </c>
      <c r="K150">
        <v>2.3819877736170301</v>
      </c>
      <c r="L150">
        <v>-1.2833754849489201</v>
      </c>
      <c r="M150" s="37">
        <f t="shared" si="1"/>
        <v>1.6470526353678758</v>
      </c>
    </row>
    <row r="151" spans="10:13" ht="14.25" customHeight="1">
      <c r="J151">
        <v>56</v>
      </c>
      <c r="K151">
        <v>0.43851093591080398</v>
      </c>
      <c r="L151">
        <v>0.25463624464914197</v>
      </c>
      <c r="M151" s="37">
        <f t="shared" si="1"/>
        <v>6.4839617089017684E-2</v>
      </c>
    </row>
    <row r="152" spans="10:13" ht="14.25" customHeight="1">
      <c r="J152" s="42">
        <v>57</v>
      </c>
      <c r="K152" s="42">
        <v>1.28044638067049</v>
      </c>
      <c r="L152" s="42">
        <v>-0.58729920011054104</v>
      </c>
      <c r="M152" s="37">
        <f t="shared" si="1"/>
        <v>0.34492035045048131</v>
      </c>
    </row>
    <row r="153" spans="10:13" ht="14.25" customHeight="1">
      <c r="L153">
        <f>SUM(L96:L152)</f>
        <v>4.7961634663806763E-14</v>
      </c>
    </row>
  </sheetData>
  <mergeCells count="8">
    <mergeCell ref="J68:O68"/>
    <mergeCell ref="J71:K71"/>
    <mergeCell ref="M74:O75"/>
    <mergeCell ref="A1:Q1"/>
    <mergeCell ref="A2:H2"/>
    <mergeCell ref="J2:Q2"/>
    <mergeCell ref="J12:Q14"/>
    <mergeCell ref="A62:F62"/>
  </mergeCells>
  <pageMargins left="0.7" right="0.7" top="0.75" bottom="0.75" header="0.511811023622047" footer="0.511811023622047"/>
  <pageSetup orientation="landscape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59"/>
  <sheetViews>
    <sheetView zoomScaleNormal="100" workbookViewId="0">
      <selection activeCell="B2" sqref="B2"/>
    </sheetView>
  </sheetViews>
  <sheetFormatPr defaultColWidth="12.625" defaultRowHeight="14.25"/>
  <cols>
    <col min="2" max="2" width="16.375" customWidth="1"/>
    <col min="6" max="6" width="15.75" customWidth="1"/>
  </cols>
  <sheetData>
    <row r="1" spans="1:6" ht="42.75">
      <c r="A1" s="33" t="s">
        <v>0</v>
      </c>
      <c r="B1" s="43" t="s">
        <v>267</v>
      </c>
      <c r="C1" s="33" t="s">
        <v>231</v>
      </c>
      <c r="D1" s="33" t="s">
        <v>233</v>
      </c>
      <c r="E1" s="33" t="s">
        <v>6</v>
      </c>
      <c r="F1" s="33" t="s">
        <v>268</v>
      </c>
    </row>
    <row r="2" spans="1:6" ht="15">
      <c r="A2" s="31" t="s">
        <v>216</v>
      </c>
      <c r="B2" s="44">
        <f ca="1">Model!$K$85+Model!$K$86*C2+Model!$K$87*1+Model!$K$88*$E$2+Model!$K$89*F2</f>
        <v>19.169921555255968</v>
      </c>
      <c r="C2" s="31">
        <v>30.588379385769599</v>
      </c>
      <c r="D2" s="31">
        <v>1</v>
      </c>
      <c r="E2" s="31">
        <v>1.01237775531183E-2</v>
      </c>
      <c r="F2" s="39">
        <f ca="1">IFERROR(__xludf.dummyfunction("QUERY('Archive_ Marketplace_customer'!A:B, ""SELECT B WHERE A = '""&amp;A2&amp;""'"",0)"),1439.875)</f>
        <v>1439.875</v>
      </c>
    </row>
    <row r="3" spans="1:6" ht="15">
      <c r="A3" s="31" t="s">
        <v>164</v>
      </c>
      <c r="B3" s="44">
        <f ca="1">Model!$K$85+Model!$K$86*C3+Model!$K$87*1+Model!$K$88*$E$2+Model!$K$89*F3</f>
        <v>8.0514729943462395</v>
      </c>
      <c r="C3" s="31">
        <v>28.1901251855789</v>
      </c>
      <c r="D3" s="31">
        <v>0.497</v>
      </c>
      <c r="E3" s="31">
        <v>0.15585865449956299</v>
      </c>
      <c r="F3" s="39">
        <f ca="1">IFERROR(__xludf.dummyfunction("QUERY('Archive_ Marketplace_customer'!A:B, ""SELECT B WHERE A = '""&amp;A3&amp;""'"",0)"),368.858)</f>
        <v>368.858</v>
      </c>
    </row>
    <row r="4" spans="1:6" ht="15">
      <c r="A4" s="31" t="s">
        <v>215</v>
      </c>
      <c r="B4" s="44">
        <f ca="1">Model!$K$85+Model!$K$86*C4+Model!$K$87*1+Model!$K$88*$E$2+Model!$K$89*F4</f>
        <v>7.9037491124343813</v>
      </c>
      <c r="C4" s="31">
        <v>28.689545823531201</v>
      </c>
      <c r="D4" s="31">
        <v>1</v>
      </c>
      <c r="E4" s="31">
        <v>0.138784050515629</v>
      </c>
      <c r="F4" s="39">
        <f ca="1">IFERROR(__xludf.dummyfunction("QUERY('Archive_ Marketplace_customer'!A:B, ""SELECT B WHERE A = '""&amp;A4&amp;""'"",0)"),338.393)</f>
        <v>338.39299999999997</v>
      </c>
    </row>
    <row r="5" spans="1:6" ht="15">
      <c r="A5" s="31" t="s">
        <v>181</v>
      </c>
      <c r="B5" s="44">
        <f ca="1">Model!$K$85+Model!$K$86*C5+Model!$K$87*1+Model!$K$88*$E$2+Model!$K$89*F5</f>
        <v>7.3912848662887409</v>
      </c>
      <c r="C5" s="31">
        <v>27.6582498795749</v>
      </c>
      <c r="D5" s="31">
        <v>0.46600000000000003</v>
      </c>
      <c r="E5" s="31">
        <v>0.20398818806197899</v>
      </c>
      <c r="F5" s="39">
        <f ca="1">IFERROR(__xludf.dummyfunction("QUERY('Archive_ Marketplace_customer'!A:B, ""SELECT B WHERE A = '""&amp;A5&amp;""'"",0)"),317.165)</f>
        <v>317.16500000000002</v>
      </c>
    </row>
    <row r="6" spans="1:6" ht="15">
      <c r="A6" s="31" t="s">
        <v>175</v>
      </c>
      <c r="B6" s="44">
        <f ca="1">Model!$K$85+Model!$K$86*C6+Model!$K$87*1+Model!$K$88*$E$2+Model!$K$89*F6</f>
        <v>7.2929376023943382</v>
      </c>
      <c r="C6" s="31">
        <v>28.864873833533199</v>
      </c>
      <c r="D6" s="31">
        <v>0.61599999999999999</v>
      </c>
      <c r="E6" s="31">
        <v>0.13079247131833599</v>
      </c>
      <c r="F6" s="39">
        <f ca="1">IFERROR(__xludf.dummyfunction("QUERY('Archive_ Marketplace_customer'!A:B, ""SELECT B WHERE A = '""&amp;A6&amp;""'"",0)"),270.171)</f>
        <v>270.17099999999999</v>
      </c>
    </row>
    <row r="7" spans="1:6" ht="15">
      <c r="A7" s="31" t="s">
        <v>185</v>
      </c>
      <c r="B7" s="44">
        <f ca="1">Model!$K$85+Model!$K$86*C7+Model!$K$87*1+Model!$K$88*$E$2+Model!$K$89*F7</f>
        <v>7.1739112787221933</v>
      </c>
      <c r="C7" s="31">
        <v>29.108242549273001</v>
      </c>
      <c r="D7" s="31">
        <v>0.48699999999999999</v>
      </c>
      <c r="E7" s="31">
        <v>0.13628571734681899</v>
      </c>
      <c r="F7" s="39">
        <f ca="1">IFERROR(__xludf.dummyfunction("QUERY('Archive_ Marketplace_customer'!A:B, ""SELECT B WHERE A = '""&amp;A7&amp;""'"",0)"),250.484)</f>
        <v>250.48400000000001</v>
      </c>
    </row>
    <row r="8" spans="1:6" ht="15">
      <c r="A8" s="31" t="s">
        <v>212</v>
      </c>
      <c r="B8" s="44">
        <f ca="1">Model!$K$85+Model!$K$86*C8+Model!$K$87*1+Model!$K$88*$E$2+Model!$K$89*F8</f>
        <v>6.1491929042496913</v>
      </c>
      <c r="C8" s="31">
        <v>27.6462315118319</v>
      </c>
      <c r="D8" s="31">
        <v>0.47799999999999998</v>
      </c>
      <c r="E8" s="31">
        <v>0.17199325964641701</v>
      </c>
      <c r="F8" s="39">
        <f ca="1">IFERROR(__xludf.dummyfunction("QUERY('Archive_ Marketplace_customer'!A:B, ""SELECT B WHERE A = '""&amp;A8&amp;""'"",0)"),189.697)</f>
        <v>189.697</v>
      </c>
    </row>
    <row r="9" spans="1:6" ht="15">
      <c r="A9" s="31" t="s">
        <v>165</v>
      </c>
      <c r="B9" s="44">
        <f ca="1">Model!$K$85+Model!$K$86*C9+Model!$K$87*1+Model!$K$88*$E$2+Model!$K$89*F9</f>
        <v>5.8002103540755572</v>
      </c>
      <c r="C9" s="31">
        <v>28.1012317204341</v>
      </c>
      <c r="D9" s="31">
        <v>1</v>
      </c>
      <c r="E9" s="31">
        <v>0.123846718069013</v>
      </c>
      <c r="F9" s="39">
        <f ca="1">IFERROR(__xludf.dummyfunction("QUERY('Archive_ Marketplace_customer'!A:B, ""SELECT B WHERE A = '""&amp;A9&amp;""'"",0)"),139.876)</f>
        <v>139.876</v>
      </c>
    </row>
    <row r="10" spans="1:6" ht="15">
      <c r="A10" s="31" t="s">
        <v>184</v>
      </c>
      <c r="B10" s="44">
        <f ca="1">Model!$K$85+Model!$K$86*C10+Model!$K$87*1+Model!$K$88*$E$2+Model!$K$89*F10</f>
        <v>5.3746238473135337</v>
      </c>
      <c r="C10" s="31">
        <v>28.1876220504987</v>
      </c>
      <c r="D10" s="31">
        <v>0.53500000000000003</v>
      </c>
      <c r="E10" s="31">
        <v>0.20098075915250399</v>
      </c>
      <c r="F10" s="39">
        <f ca="1">IFERROR(__xludf.dummyfunction("QUERY('Archive_ Marketplace_customer'!A:B, ""SELECT B WHERE A = '""&amp;A10&amp;""'"",0)"),93.435)</f>
        <v>93.435000000000002</v>
      </c>
    </row>
    <row r="11" spans="1:6" ht="15">
      <c r="A11" s="31" t="s">
        <v>207</v>
      </c>
      <c r="B11" s="44">
        <f ca="1">Model!$K$85+Model!$K$86*C11+Model!$K$87*1+Model!$K$88*$E$2+Model!$K$89*F11</f>
        <v>5.3662001087099069</v>
      </c>
      <c r="C11" s="31">
        <v>27.7971542084119</v>
      </c>
      <c r="D11" s="31">
        <v>0.54</v>
      </c>
      <c r="E11" s="31">
        <v>0.17918919908690301</v>
      </c>
      <c r="F11" s="39">
        <f ca="1">IFERROR(__xludf.dummyfunction("QUERY('Archive_ Marketplace_customer'!A:B, ""SELECT B WHERE A = '""&amp;A11&amp;""'"",0)"),104.5)</f>
        <v>104.5</v>
      </c>
    </row>
    <row r="12" spans="1:6" ht="15">
      <c r="A12" s="31" t="s">
        <v>199</v>
      </c>
      <c r="B12" s="44">
        <f ca="1">Model!$K$85+Model!$K$86*C12+Model!$K$87*1+Model!$K$88*$E$2+Model!$K$89*F12</f>
        <v>5.3364056845612247</v>
      </c>
      <c r="C12" s="31">
        <f>LN(594200000000)</f>
        <v>27.11048179997492</v>
      </c>
      <c r="D12" s="31">
        <v>0.5</v>
      </c>
      <c r="E12" s="45" t="s">
        <v>269</v>
      </c>
      <c r="F12" s="39">
        <f ca="1">IFERROR(__xludf.dummyfunction("QUERY('Archive_ Marketplace_customer'!A:B, ""SELECT B WHERE A = '""&amp;A12&amp;""'"",0)"),122.417)</f>
        <v>122.417</v>
      </c>
    </row>
    <row r="13" spans="1:6" ht="15">
      <c r="A13" s="31" t="s">
        <v>173</v>
      </c>
      <c r="B13" s="44">
        <f ca="1">Model!$K$85+Model!$K$86*C13+Model!$K$87*1+Model!$K$88*$E$2+Model!$K$89*F13</f>
        <v>5.1127554720891748</v>
      </c>
      <c r="C13" s="31">
        <v>28.510766383176801</v>
      </c>
      <c r="D13" s="31">
        <v>0.55900000000000005</v>
      </c>
      <c r="E13" s="31">
        <v>0.169933800372775</v>
      </c>
      <c r="F13" s="39">
        <f ca="1">IFERROR(__xludf.dummyfunction("QUERY('Archive_ Marketplace_customer'!A:B, ""SELECT B WHERE A = '""&amp;A13&amp;""'"",0)"),56.609)</f>
        <v>56.609000000000002</v>
      </c>
    </row>
    <row r="14" spans="1:6" ht="15">
      <c r="A14" s="31" t="s">
        <v>158</v>
      </c>
      <c r="B14" s="44">
        <f ca="1">Model!$K$85+Model!$K$86*C14+Model!$K$87*1+Model!$K$88*$E$2+Model!$K$89*F14</f>
        <v>4.8486294239993901</v>
      </c>
      <c r="C14" s="31">
        <v>28.030446579571901</v>
      </c>
      <c r="D14" s="31">
        <v>1</v>
      </c>
      <c r="E14" s="31">
        <v>0.17095343999769799</v>
      </c>
      <c r="F14" s="39">
        <f ca="1">IFERROR(__xludf.dummyfunction("QUERY('Archive_ Marketplace_customer'!A:B, ""SELECT B WHERE A = '""&amp;A14&amp;""'"",0)"),44.103)</f>
        <v>44.103000000000002</v>
      </c>
    </row>
    <row r="15" spans="1:6" ht="15">
      <c r="A15" s="31" t="s">
        <v>191</v>
      </c>
      <c r="B15" s="44">
        <f ca="1">Model!$K$85+Model!$K$86*C15+Model!$K$87*1+Model!$K$88*$E$2+Model!$K$89*F15</f>
        <v>4.8406309210467064</v>
      </c>
      <c r="C15" s="31">
        <v>27.417837004040301</v>
      </c>
      <c r="D15" s="31">
        <v>0.66300000000000003</v>
      </c>
      <c r="E15" s="31">
        <v>0.156047831815885</v>
      </c>
      <c r="F15" s="39">
        <f ca="1">IFERROR(__xludf.dummyfunction("QUERY('Archive_ Marketplace_customer'!A:B, ""SELECT B WHERE A = '""&amp;A15&amp;""'"",0)"),62)</f>
        <v>62</v>
      </c>
    </row>
    <row r="16" spans="1:6" ht="15">
      <c r="A16" s="31" t="s">
        <v>190</v>
      </c>
      <c r="B16" s="44">
        <f ca="1">Model!$K$85+Model!$K$86*C16+Model!$K$87*1+Model!$K$88*$E$2+Model!$K$89*F16</f>
        <v>4.8228317072855047</v>
      </c>
      <c r="C16" s="31">
        <v>27.769694873590499</v>
      </c>
      <c r="D16" s="31">
        <v>0.436</v>
      </c>
      <c r="E16" s="31">
        <v>0.112490198996807</v>
      </c>
      <c r="F16" s="39">
        <f ca="1">IFERROR(__xludf.dummyfunction("QUERY('Archive_ Marketplace_customer'!A:B, ""SELECT B WHERE A = '""&amp;A16&amp;""'"",0)"),49.416)</f>
        <v>49.415999999999997</v>
      </c>
    </row>
    <row r="17" spans="1:6" ht="15">
      <c r="A17" s="31" t="s">
        <v>209</v>
      </c>
      <c r="B17" s="44">
        <f ca="1">Model!$K$85+Model!$K$86*C17+Model!$K$87*1+Model!$K$88*$E$2+Model!$K$89*F17</f>
        <v>4.6601155755088515</v>
      </c>
      <c r="C17" s="31">
        <v>27.355404627353199</v>
      </c>
      <c r="D17" s="31">
        <v>0.5</v>
      </c>
      <c r="E17" s="31">
        <v>0.13887554060547799</v>
      </c>
      <c r="F17" s="39">
        <f ca="1">IFERROR(__xludf.dummyfunction("QUERY('Archive_ Marketplace_customer'!A:B, ""SELECT B WHERE A = '""&amp;A17&amp;""'"",0)"),45.3293)</f>
        <v>45.329300000000003</v>
      </c>
    </row>
    <row r="18" spans="1:6" ht="15">
      <c r="A18" s="31" t="s">
        <v>210</v>
      </c>
      <c r="B18" s="44">
        <f ca="1">Model!$K$85+Model!$K$86*C18+Model!$K$87*1+Model!$K$88*$E$2+Model!$K$89*F18</f>
        <v>4.5288532146080289</v>
      </c>
      <c r="C18" s="31">
        <v>26.793193027800299</v>
      </c>
      <c r="D18" s="31">
        <v>0.41899999999999998</v>
      </c>
      <c r="E18" s="31">
        <v>0.164642048275946</v>
      </c>
      <c r="F18" s="39">
        <f ca="1">IFERROR(__xludf.dummyfunction("QUERY('Archive_ Marketplace_customer'!A:B, ""SELECT B WHERE A = '""&amp;A18&amp;""'"",0)"),49)</f>
        <v>49</v>
      </c>
    </row>
    <row r="19" spans="1:6" ht="15">
      <c r="A19" s="31" t="s">
        <v>186</v>
      </c>
      <c r="B19" s="44">
        <f ca="1">Model!$K$85+Model!$K$86*C19+Model!$K$87*1+Model!$K$88*$E$2+Model!$K$89*F19</f>
        <v>4.4584221931793691</v>
      </c>
      <c r="C19" s="31">
        <v>28.120214439567398</v>
      </c>
      <c r="D19" s="31">
        <v>0.52900000000000003</v>
      </c>
      <c r="E19" s="31">
        <v>9.5322089747459496E-2</v>
      </c>
      <c r="F19" s="39">
        <f ca="1">IFERROR(__xludf.dummyfunction("QUERY('Archive_ Marketplace_customer'!A:B, ""SELECT B WHERE A = '""&amp;A19&amp;""'"",0)"),1.2)</f>
        <v>1.2</v>
      </c>
    </row>
    <row r="20" spans="1:6" ht="15">
      <c r="A20" s="31" t="s">
        <v>202</v>
      </c>
      <c r="B20" s="44">
        <f ca="1">Model!$K$85+Model!$K$86*C20+Model!$K$87*1+Model!$K$88*$E$2+Model!$K$89*F20</f>
        <v>4.4193923018021337</v>
      </c>
      <c r="C20" s="31">
        <v>27.9789449825711</v>
      </c>
      <c r="D20" s="31">
        <v>0.51100000000000001</v>
      </c>
      <c r="E20" s="31">
        <v>0.222900932918703</v>
      </c>
      <c r="F20" s="39">
        <f ca="1">IFERROR(__xludf.dummyfunction("QUERY('Archive_ Marketplace_customer'!A:B, ""SELECT B WHERE A = '""&amp;A20&amp;""'"",0)"),1.5)</f>
        <v>1.5</v>
      </c>
    </row>
    <row r="21" spans="1:6" ht="15">
      <c r="A21" s="31" t="s">
        <v>203</v>
      </c>
      <c r="B21" s="44">
        <f ca="1">Model!$K$85+Model!$K$86*C21+Model!$K$87*1+Model!$K$88*$E$2+Model!$K$89*F21</f>
        <v>4.2228767858792393</v>
      </c>
      <c r="C21" s="31">
        <v>27.2013369835059</v>
      </c>
      <c r="D21" s="31">
        <v>0.40400000000000003</v>
      </c>
      <c r="E21" s="31">
        <v>0.15732550549368901</v>
      </c>
      <c r="F21" s="39">
        <f ca="1">IFERROR(__xludf.dummyfunction("QUERY('Archive_ Marketplace_customer'!A:B, ""SELECT B WHERE A = '""&amp;A21&amp;""'"",0)"),5.037)</f>
        <v>5.0369999999999999</v>
      </c>
    </row>
    <row r="22" spans="1:6" ht="15">
      <c r="A22" s="31" t="s">
        <v>162</v>
      </c>
      <c r="B22" s="44">
        <f ca="1">Model!$K$85+Model!$K$86*C22+Model!$K$87*1+Model!$K$88*$E$2+Model!$K$89*F22</f>
        <v>4.1991262350610912</v>
      </c>
      <c r="C22" s="31">
        <v>26.868843080556001</v>
      </c>
      <c r="D22" s="31">
        <v>0.629</v>
      </c>
      <c r="E22" s="31">
        <v>0.14706050119785499</v>
      </c>
      <c r="F22" s="39">
        <f ca="1">IFERROR(__xludf.dummyfunction("QUERY('Archive_ Marketplace_customer'!A:B, ""SELECT B WHERE A = '""&amp;A22&amp;""'"",0)"),12.753)</f>
        <v>12.753</v>
      </c>
    </row>
    <row r="23" spans="1:6" ht="15">
      <c r="A23" s="31" t="s">
        <v>197</v>
      </c>
      <c r="B23" s="44">
        <f ca="1">Model!$K$85+Model!$K$86*C23+Model!$K$87*1+Model!$K$88*$E$2+Model!$K$89*F23</f>
        <v>4.1498530287005728</v>
      </c>
      <c r="C23" s="31">
        <v>26.604619911472</v>
      </c>
      <c r="D23" s="31">
        <v>0.59199999999999997</v>
      </c>
      <c r="E23" s="31">
        <v>0.173180462901392</v>
      </c>
      <c r="F23" s="39">
        <f ca="1">IFERROR(__xludf.dummyfunction("QUERY('Archive_ Marketplace_customer'!A:B, ""SELECT B WHERE A = '""&amp;A23&amp;""'"",0)"),15.756)</f>
        <v>15.756</v>
      </c>
    </row>
    <row r="24" spans="1:6" ht="15">
      <c r="A24" s="31" t="s">
        <v>166</v>
      </c>
      <c r="B24" s="44">
        <f ca="1">Model!$K$85+Model!$K$86*C24+Model!$K$87*1+Model!$K$88*$E$2+Model!$K$89*F24</f>
        <v>4.1451346936599984</v>
      </c>
      <c r="C24" s="31">
        <v>26.235238362938901</v>
      </c>
      <c r="D24" s="31">
        <v>0.51600000000000001</v>
      </c>
      <c r="E24" s="31">
        <v>0.17396401937418299</v>
      </c>
      <c r="F24" s="39">
        <f ca="1">IFERROR(__xludf.dummyfunction("QUERY('Archive_ Marketplace_customer'!A:B, ""SELECT B WHERE A = '""&amp;A24&amp;""'"",0)"),26.558)</f>
        <v>26.558</v>
      </c>
    </row>
    <row r="25" spans="1:6" ht="15">
      <c r="A25" s="31" t="s">
        <v>160</v>
      </c>
      <c r="B25" s="44">
        <f ca="1">Model!$K$85+Model!$K$86*C25+Model!$K$87*1+Model!$K$88*$E$2+Model!$K$89*F25</f>
        <v>4.1424439605658652</v>
      </c>
      <c r="C25" s="31">
        <v>26.680032381744301</v>
      </c>
      <c r="D25" s="31">
        <v>0.623</v>
      </c>
      <c r="E25" s="31">
        <v>0.114425322844793</v>
      </c>
      <c r="F25" s="39">
        <f ca="1">IFERROR(__xludf.dummyfunction("QUERY('Archive_ Marketplace_customer'!A:B, ""SELECT B WHERE A = '""&amp;A25&amp;""'"",0)"),12.689)</f>
        <v>12.689</v>
      </c>
    </row>
    <row r="26" spans="1:6" ht="15">
      <c r="A26" s="31" t="s">
        <v>208</v>
      </c>
      <c r="B26" s="44">
        <f ca="1">Model!$K$85+Model!$K$86*C26+Model!$K$87*1+Model!$K$88*$E$2+Model!$K$89*F26</f>
        <v>4.1324388865396129</v>
      </c>
      <c r="C26" s="31">
        <v>27.002934534163799</v>
      </c>
      <c r="D26" s="31">
        <v>0.623</v>
      </c>
      <c r="E26" s="31">
        <v>0.18066464379564201</v>
      </c>
      <c r="F26" s="39">
        <f ca="1">IFERROR(__xludf.dummyfunction("QUERY('Archive_ Marketplace_customer'!A:B, ""SELECT B WHERE A = '""&amp;A26&amp;""'"",0)"),1.792)</f>
        <v>1.792</v>
      </c>
    </row>
    <row r="27" spans="1:6" ht="15">
      <c r="A27" s="31" t="s">
        <v>193</v>
      </c>
      <c r="B27" s="44">
        <f ca="1">Model!$K$85+Model!$K$86*C27+Model!$K$87*1+Model!$K$88*$E$2+Model!$K$89*F27</f>
        <v>4.1289981302132972</v>
      </c>
      <c r="C27" s="31">
        <v>26.9256352811576</v>
      </c>
      <c r="D27" s="31">
        <v>0.56000000000000005</v>
      </c>
      <c r="E27" s="31">
        <v>0.22190254206424401</v>
      </c>
      <c r="F27" s="39">
        <f ca="1">IFERROR(__xludf.dummyfunction("QUERY('Archive_ Marketplace_customer'!A:B, ""SELECT B WHERE A = '""&amp;A27&amp;""'"",0)"),3.8)</f>
        <v>3.8</v>
      </c>
    </row>
    <row r="28" spans="1:6" ht="15">
      <c r="A28" s="31" t="s">
        <v>188</v>
      </c>
      <c r="B28" s="44">
        <f ca="1">Model!$K$85+Model!$K$86*C28+Model!$K$87*1+Model!$K$88*$E$2+Model!$K$89*F28</f>
        <v>4.1273473292127978</v>
      </c>
      <c r="C28" s="31">
        <v>26.5641962522608</v>
      </c>
      <c r="D28" s="31">
        <v>0.54700000000000004</v>
      </c>
      <c r="E28" s="31">
        <v>0.197552430954438</v>
      </c>
      <c r="F28" s="39">
        <f ca="1">IFERROR(__xludf.dummyfunction("QUERY('Archive_ Marketplace_customer'!A:B, ""SELECT B WHERE A = '""&amp;A28&amp;""'"",0)"),14.675)</f>
        <v>14.675000000000001</v>
      </c>
    </row>
    <row r="29" spans="1:6" ht="15">
      <c r="A29" s="31" t="s">
        <v>167</v>
      </c>
      <c r="B29" s="44">
        <f ca="1">Model!$K$85+Model!$K$86*C29+Model!$K$87*1+Model!$K$88*$E$2+Model!$K$89*F29</f>
        <v>4.1211612598779537</v>
      </c>
      <c r="C29" s="31">
        <v>26.426469676024901</v>
      </c>
      <c r="D29" s="31">
        <v>0.46500000000000002</v>
      </c>
      <c r="E29" s="31">
        <v>0.137748018898045</v>
      </c>
      <c r="F29" s="39">
        <f ca="1">IFERROR(__xludf.dummyfunction("QUERY('Archive_ Marketplace_customer'!A:B, ""SELECT B WHERE A = '""&amp;A29&amp;""'"",0)"),18.247)</f>
        <v>18.247</v>
      </c>
    </row>
    <row r="30" spans="1:6" ht="15">
      <c r="A30" s="31" t="s">
        <v>214</v>
      </c>
      <c r="B30" s="44">
        <f ca="1">Model!$K$85+Model!$K$86*C30+Model!$K$87*1+Model!$K$88*$E$2+Model!$K$89*F30</f>
        <v>4.059470247153242</v>
      </c>
      <c r="C30" s="31">
        <v>26.639107160006802</v>
      </c>
      <c r="D30" s="31">
        <v>0.47199999999999998</v>
      </c>
      <c r="E30" s="31">
        <v>0.17334584282714599</v>
      </c>
      <c r="F30" s="39">
        <f ca="1">IFERROR(__xludf.dummyfunction("QUERY('Archive_ Marketplace_customer'!A:B, ""SELECT B WHERE A = '""&amp;A30&amp;""'"",0)"),5.4)</f>
        <v>5.4</v>
      </c>
    </row>
    <row r="31" spans="1:6" ht="15">
      <c r="A31" s="31" t="s">
        <v>178</v>
      </c>
      <c r="B31" s="44">
        <f ca="1">Model!$K$85+Model!$K$86*C31+Model!$K$87*1+Model!$K$88*$E$2+Model!$K$89*F31</f>
        <v>4.0427502395729791</v>
      </c>
      <c r="C31" s="31">
        <v>26.569704612004099</v>
      </c>
      <c r="D31" s="31">
        <v>0.54200000000000004</v>
      </c>
      <c r="E31" s="31">
        <v>8.7374677439823994E-2</v>
      </c>
      <c r="F31" s="39">
        <f ca="1">IFERROR(__xludf.dummyfunction("QUERY('Archive_ Marketplace_customer'!A:B, ""SELECT B WHERE A = '""&amp;A31&amp;""'"",0)"),5.8)</f>
        <v>5.8</v>
      </c>
    </row>
    <row r="32" spans="1:6" ht="15">
      <c r="A32" s="31" t="s">
        <v>194</v>
      </c>
      <c r="B32" s="44">
        <f ca="1">Model!$K$85+Model!$K$86*C32+Model!$K$87*1+Model!$K$88*$E$2+Model!$K$89*F32</f>
        <v>4.0408760856035553</v>
      </c>
      <c r="C32" s="31">
        <v>26.724135331365002</v>
      </c>
      <c r="D32" s="31">
        <v>0.624</v>
      </c>
      <c r="E32" s="31">
        <v>0.21707630680975201</v>
      </c>
      <c r="F32" s="39">
        <f ca="1">IFERROR(__xludf.dummyfunction("QUERY('Archive_ Marketplace_customer'!A:B, ""SELECT B WHERE A = '""&amp;A32&amp;""'"",0)"),0.888)</f>
        <v>0.88800000000000001</v>
      </c>
    </row>
    <row r="33" spans="1:6" ht="15">
      <c r="A33" s="31" t="s">
        <v>182</v>
      </c>
      <c r="B33" s="44">
        <f ca="1">Model!$K$85+Model!$K$86*C33+Model!$K$87*1+Model!$K$88*$E$2+Model!$K$89*F33</f>
        <v>4.0401242475627139</v>
      </c>
      <c r="C33" s="31">
        <v>26.695488984897398</v>
      </c>
      <c r="D33" s="31">
        <v>1</v>
      </c>
      <c r="E33" s="31">
        <v>0.15393148005799201</v>
      </c>
      <c r="F33" s="39">
        <f ca="1">IFERROR(__xludf.dummyfunction("QUERY('Archive_ Marketplace_customer'!A:B, ""SELECT B WHERE A = '""&amp;A33&amp;""'"",0)"),1.686)</f>
        <v>1.6859999999999999</v>
      </c>
    </row>
    <row r="34" spans="1:6" ht="15">
      <c r="A34" s="31" t="s">
        <v>206</v>
      </c>
      <c r="B34" s="44">
        <f ca="1">Model!$K$85+Model!$K$86*C34+Model!$K$87*1+Model!$K$88*$E$2+Model!$K$89*F34</f>
        <v>4.0170510640341037</v>
      </c>
      <c r="C34" s="31">
        <v>26.5393054425721</v>
      </c>
      <c r="D34" s="31">
        <v>0.60699999999999998</v>
      </c>
      <c r="E34" s="31">
        <v>0.15778614609935199</v>
      </c>
      <c r="F34" s="39">
        <f ca="1">IFERROR(__xludf.dummyfunction("QUERY('Archive_ Marketplace_customer'!A:B, ""SELECT B WHERE A = '""&amp;A34&amp;""'"",0)"),4.084)</f>
        <v>4.0839999999999996</v>
      </c>
    </row>
    <row r="35" spans="1:6" ht="15">
      <c r="A35" s="31" t="s">
        <v>204</v>
      </c>
      <c r="B35" s="44">
        <f ca="1">Model!$K$85+Model!$K$86*C35+Model!$K$87*1+Model!$K$88*$E$2+Model!$K$89*F35</f>
        <v>4.0112928906392815</v>
      </c>
      <c r="C35" s="31">
        <v>26.5226608588227</v>
      </c>
      <c r="D35" s="31">
        <v>0.63500000000000001</v>
      </c>
      <c r="E35" s="31">
        <v>0.10986294745075099</v>
      </c>
      <c r="F35" s="39">
        <f ca="1">IFERROR(__xludf.dummyfunction("QUERY('Archive_ Marketplace_customer'!A:B, ""SELECT B WHERE A = '""&amp;A35&amp;""'"",0)"),4)</f>
        <v>4</v>
      </c>
    </row>
    <row r="36" spans="1:6" ht="15">
      <c r="A36" s="31" t="s">
        <v>183</v>
      </c>
      <c r="B36" s="44">
        <f ca="1">Model!$K$85+Model!$K$86*C36+Model!$K$87*1+Model!$K$88*$E$2+Model!$K$89*F36</f>
        <v>4.0005060676670601</v>
      </c>
      <c r="C36" s="31">
        <v>26.568142297546899</v>
      </c>
      <c r="D36" s="31">
        <v>0.5</v>
      </c>
      <c r="E36" s="31">
        <v>0.19857217656449699</v>
      </c>
      <c r="F36" s="39">
        <f ca="1">IFERROR(__xludf.dummyfunction("QUERY('Archive_ Marketplace_customer'!A:B, ""SELECT B WHERE A = '""&amp;A36&amp;""'"",0)"),1.5)</f>
        <v>1.5</v>
      </c>
    </row>
    <row r="37" spans="1:6" ht="15">
      <c r="A37" s="31" t="s">
        <v>171</v>
      </c>
      <c r="B37" s="44">
        <f ca="1">Model!$K$85+Model!$K$86*C37+Model!$K$87*1+Model!$K$88*$E$2+Model!$K$89*F37</f>
        <v>3.9784859653869002</v>
      </c>
      <c r="C37" s="31">
        <v>26.515478926105299</v>
      </c>
      <c r="D37" s="31">
        <v>0.63600000000000001</v>
      </c>
      <c r="E37" s="31">
        <v>0.170705823331918</v>
      </c>
      <c r="F37" s="39">
        <f ca="1">IFERROR(__xludf.dummyfunction("QUERY('Archive_ Marketplace_customer'!A:B, ""SELECT B WHERE A = '""&amp;A37&amp;""'"",0)"),0.843)</f>
        <v>0.84299999999999997</v>
      </c>
    </row>
    <row r="38" spans="1:6" ht="15">
      <c r="A38" s="31" t="s">
        <v>196</v>
      </c>
      <c r="B38" s="44">
        <f ca="1">Model!$K$85+Model!$K$86*C38+Model!$K$87*1+Model!$K$88*$E$2+Model!$K$89*F38</f>
        <v>3.9383682935364521</v>
      </c>
      <c r="C38" s="31">
        <v>25.975429985559099</v>
      </c>
      <c r="D38" s="31">
        <v>0.505</v>
      </c>
      <c r="E38" s="31">
        <v>0.23319931074095299</v>
      </c>
      <c r="F38" s="39">
        <f ca="1">IFERROR(__xludf.dummyfunction("QUERY('Archive_ Marketplace_customer'!A:B, ""SELECT B WHERE A = '""&amp;A38&amp;""'"",0)"),13.217)</f>
        <v>13.217000000000001</v>
      </c>
    </row>
    <row r="39" spans="1:6" ht="15">
      <c r="A39" s="31" t="s">
        <v>192</v>
      </c>
      <c r="B39" s="44">
        <f ca="1">Model!$K$85+Model!$K$86*C39+Model!$K$87*1+Model!$K$88*$E$2+Model!$K$89*F39</f>
        <v>3.9171930419607279</v>
      </c>
      <c r="C39" s="31">
        <v>26.043747576205799</v>
      </c>
      <c r="D39" s="31">
        <v>1</v>
      </c>
      <c r="E39" s="31">
        <v>0.15484728890408</v>
      </c>
      <c r="F39" s="39">
        <f ca="1">IFERROR(__xludf.dummyfunction("QUERY('Archive_ Marketplace_customer'!A:B, ""SELECT B WHERE A = '""&amp;A39&amp;""'"",0)"),8.95)</f>
        <v>8.9499999999999993</v>
      </c>
    </row>
    <row r="40" spans="1:6" ht="15">
      <c r="A40" s="31" t="s">
        <v>198</v>
      </c>
      <c r="B40" s="44">
        <f ca="1">Model!$K$85+Model!$K$86*C40+Model!$K$87*1+Model!$K$88*$E$2+Model!$K$89*F40</f>
        <v>3.8994703505762294</v>
      </c>
      <c r="C40" s="31">
        <v>26.038969556506</v>
      </c>
      <c r="D40" s="31">
        <v>0.625</v>
      </c>
      <c r="E40" s="31">
        <v>0.12114748270298401</v>
      </c>
      <c r="F40" s="39">
        <f ca="1">IFERROR(__xludf.dummyfunction("QUERY('Archive_ Marketplace_customer'!A:B, ""SELECT B WHERE A = '""&amp;A40&amp;""'"",0)"),7.272)</f>
        <v>7.2720000000000002</v>
      </c>
    </row>
    <row r="41" spans="1:6" ht="15">
      <c r="A41" s="31" t="s">
        <v>170</v>
      </c>
      <c r="B41" s="44">
        <f ca="1">Model!$K$85+Model!$K$86*C41+Model!$K$87*1+Model!$K$88*$E$2+Model!$K$89*F41</f>
        <v>3.8322268069344454</v>
      </c>
      <c r="C41" s="31">
        <v>26.036984496457102</v>
      </c>
      <c r="D41" s="31">
        <v>0.56299999999999994</v>
      </c>
      <c r="E41" s="31">
        <v>0.175700436419362</v>
      </c>
      <c r="F41" s="39">
        <f ca="1">IFERROR(__xludf.dummyfunction("QUERY('Archive_ Marketplace_customer'!A:B, ""SELECT B WHERE A = '""&amp;A41&amp;""'"",0)"),0.412)</f>
        <v>0.41199999999999998</v>
      </c>
    </row>
    <row r="42" spans="1:6" ht="15">
      <c r="A42" s="31" t="s">
        <v>201</v>
      </c>
      <c r="B42" s="44">
        <f ca="1">Model!$K$85+Model!$K$86*C42+Model!$K$87*1+Model!$K$88*$E$2+Model!$K$89*F42</f>
        <v>3.7627250092801297</v>
      </c>
      <c r="C42" s="31">
        <v>25.807255823788701</v>
      </c>
      <c r="D42" s="31">
        <v>0.46700000000000003</v>
      </c>
      <c r="E42" s="31">
        <v>0.15131733021077301</v>
      </c>
      <c r="F42" s="39">
        <f ca="1">IFERROR(__xludf.dummyfunction("QUERY('Archive_ Marketplace_customer'!A:B, ""SELECT B WHERE A = '""&amp;A42&amp;""'"",0)"),0.279)</f>
        <v>0.27900000000000003</v>
      </c>
    </row>
    <row r="43" spans="1:6" ht="15">
      <c r="A43" s="31" t="s">
        <v>179</v>
      </c>
      <c r="B43" s="44">
        <f ca="1">Model!$K$85+Model!$K$86*C43+Model!$K$87*1+Model!$K$88*$E$2+Model!$K$89*F43</f>
        <v>3.7229877491178502</v>
      </c>
      <c r="C43" s="31">
        <v>25.6656001548345</v>
      </c>
      <c r="D43" s="31">
        <v>0.59299999999999997</v>
      </c>
      <c r="E43" s="31">
        <v>0.17003769971874799</v>
      </c>
      <c r="F43" s="39">
        <f ca="1">IFERROR(__xludf.dummyfunction("QUERY('Archive_ Marketplace_customer'!A:B, ""SELECT B WHERE A = '""&amp;A43&amp;""'"",0)"),0.518)</f>
        <v>0.51800000000000002</v>
      </c>
    </row>
    <row r="44" spans="1:6" ht="15">
      <c r="A44" s="31" t="s">
        <v>187</v>
      </c>
      <c r="B44" s="44">
        <f ca="1">Model!$K$85+Model!$K$86*C44+Model!$K$87*1+Model!$K$88*$E$2+Model!$K$89*F44</f>
        <v>3.6334341004264554</v>
      </c>
      <c r="C44" s="31">
        <v>25.3707914813467</v>
      </c>
      <c r="D44" s="31">
        <v>0.45800000000000002</v>
      </c>
      <c r="E44" s="31">
        <v>0.14502264283971</v>
      </c>
      <c r="F44" s="39">
        <f ca="1">IFERROR(__xludf.dummyfunction("QUERY('Archive_ Marketplace_customer'!A:B, ""SELECT B WHERE A = '""&amp;A44&amp;""'"",0)"),0.31)</f>
        <v>0.31</v>
      </c>
    </row>
    <row r="45" spans="1:6" ht="15">
      <c r="A45" s="31" t="s">
        <v>200</v>
      </c>
      <c r="B45" s="44">
        <f ca="1">Model!$K$85+Model!$K$86*C45+Model!$K$87*1+Model!$K$88*$E$2+Model!$K$89*F45</f>
        <v>3.6074154176688547</v>
      </c>
      <c r="C45" s="31">
        <v>25.252203543963599</v>
      </c>
      <c r="D45" s="31">
        <v>0.5</v>
      </c>
      <c r="E45" s="31">
        <v>2.4901484027835999E-2</v>
      </c>
      <c r="F45" s="39">
        <f ca="1">IFERROR(__xludf.dummyfunction("QUERY('Archive_ Marketplace_customer'!A:B, ""SELECT B WHERE A = '""&amp;A45&amp;""'"",0)"),1.256)</f>
        <v>1.256</v>
      </c>
    </row>
    <row r="46" spans="1:6" ht="15">
      <c r="A46" s="31" t="s">
        <v>195</v>
      </c>
      <c r="B46" s="44">
        <f ca="1">Model!$K$85+Model!$K$86*C46+Model!$K$87*1+Model!$K$88*$E$2+Model!$K$89*F46</f>
        <v>3.5388728477682205</v>
      </c>
      <c r="C46" s="31">
        <v>25.0583318827568</v>
      </c>
      <c r="D46" s="31">
        <v>0.41699999999999998</v>
      </c>
      <c r="E46" s="31">
        <v>0.143677248076967</v>
      </c>
      <c r="F46" s="39">
        <f ca="1">IFERROR(__xludf.dummyfunction("QUERY('Archive_ Marketplace_customer'!A:B, ""SELECT B WHERE A = '""&amp;A46&amp;""'"",0)"),0.126)</f>
        <v>0.126</v>
      </c>
    </row>
    <row r="47" spans="1:6" ht="15">
      <c r="A47" s="31" t="s">
        <v>176</v>
      </c>
      <c r="B47" s="44">
        <f ca="1">Model!$K$85+Model!$K$86*C47+Model!$K$87*1+Model!$K$88*$E$2+Model!$K$89*F47</f>
        <v>3.4823048528067679</v>
      </c>
      <c r="C47" s="31">
        <v>24.862019466408402</v>
      </c>
      <c r="D47" s="31">
        <v>0.52300000000000002</v>
      </c>
      <c r="E47" s="31">
        <v>0.380631170803853</v>
      </c>
      <c r="F47" s="39">
        <f ca="1">IFERROR(__xludf.dummyfunction("QUERY('Archive_ Marketplace_customer'!A:B, ""SELECT B WHERE A = '""&amp;A47&amp;""'"",0)"),0.303)</f>
        <v>0.30299999999999999</v>
      </c>
    </row>
    <row r="48" spans="1:6" ht="15">
      <c r="A48" s="31" t="s">
        <v>168</v>
      </c>
      <c r="B48" s="44">
        <f ca="1">Model!$K$85+Model!$K$86*C48+Model!$K$87*1+Model!$K$88*$E$2+Model!$K$89*F48</f>
        <v>3.480471858901613</v>
      </c>
      <c r="C48" s="31">
        <v>24.845046878243</v>
      </c>
      <c r="D48" s="31">
        <v>0.53</v>
      </c>
      <c r="E48" s="31">
        <v>0.188590393326456</v>
      </c>
      <c r="F48" s="39">
        <f ca="1">IFERROR(__xludf.dummyfunction("QUERY('Archive_ Marketplace_customer'!A:B, ""SELECT B WHERE A = '""&amp;A48&amp;""'"",0)"),0.633)</f>
        <v>0.63300000000000001</v>
      </c>
    </row>
    <row r="49" spans="1:6" ht="15">
      <c r="A49" s="31" t="s">
        <v>205</v>
      </c>
      <c r="B49" s="44">
        <f ca="1">Model!$K$85+Model!$K$86*C49+Model!$K$87*1+Model!$K$88*$E$2+Model!$K$89*F49</f>
        <v>3.4029064814765011</v>
      </c>
      <c r="C49" s="31">
        <v>24.597061256773301</v>
      </c>
      <c r="D49" s="31">
        <v>0.5</v>
      </c>
      <c r="E49" s="31">
        <v>0.19717774762550899</v>
      </c>
      <c r="F49" s="39">
        <f ca="1">IFERROR(__xludf.dummyfunction("QUERY('Archive_ Marketplace_customer'!A:B, ""SELECT B WHERE A = '""&amp;A49&amp;""'"",0)"),0.228)</f>
        <v>0.22800000000000001</v>
      </c>
    </row>
    <row r="50" spans="1:6" ht="15">
      <c r="A50" s="31" t="s">
        <v>161</v>
      </c>
      <c r="B50" s="44">
        <f ca="1">Model!$K$85+Model!$K$86*C50+Model!$K$87*1+Model!$K$88*$E$2+Model!$K$89*F50</f>
        <v>3.2917234590771614</v>
      </c>
      <c r="C50" s="31">
        <v>24.2260018201912</v>
      </c>
      <c r="D50" s="31">
        <v>0.47599999999999998</v>
      </c>
      <c r="E50" s="31">
        <v>0.25360973043767598</v>
      </c>
      <c r="F50" s="39">
        <f ca="1">IFERROR(__xludf.dummyfunction("QUERY('Archive_ Marketplace_customer'!A:B, ""SELECT B WHERE A = '""&amp;A50&amp;""'"",0)"),0.124)</f>
        <v>0.124</v>
      </c>
    </row>
    <row r="51" spans="1:6" ht="15">
      <c r="A51" s="31" t="s">
        <v>172</v>
      </c>
      <c r="B51" s="44">
        <f ca="1">Model!$K$85+Model!$K$86*C51+Model!$K$87*1+Model!$K$88*$E$2+Model!$K$89*F51</f>
        <v>3.2219233136594445</v>
      </c>
      <c r="C51" s="31">
        <v>23.991668619433302</v>
      </c>
      <c r="D51" s="31">
        <v>0.58099999999999996</v>
      </c>
      <c r="E51" s="31">
        <v>0.16877990754007999</v>
      </c>
      <c r="F51" s="39">
        <f ca="1">IFERROR(__xludf.dummyfunction("QUERY('Archive_ Marketplace_customer'!A:B, ""SELECT B WHERE A = '""&amp;A51&amp;""'"",0)"),0.101)</f>
        <v>0.10100000000000001</v>
      </c>
    </row>
    <row r="52" spans="1:6" ht="15">
      <c r="A52" s="31" t="s">
        <v>169</v>
      </c>
      <c r="B52" s="44">
        <f ca="1">Model!$K$85+Model!$K$86*C52+Model!$K$87*1+Model!$K$88*$E$2+Model!$K$89*F52</f>
        <v>3.1899791866354557</v>
      </c>
      <c r="C52" s="31">
        <v>23.883655849970701</v>
      </c>
      <c r="D52" s="31">
        <v>0.5</v>
      </c>
      <c r="E52" s="31">
        <v>0.13640900923791699</v>
      </c>
      <c r="F52" s="39">
        <f ca="1">IFERROR(__xludf.dummyfunction("QUERY('Archive_ Marketplace_customer'!A:B, ""SELECT B WHERE A = '""&amp;A52&amp;""'"",0)"),0.114)</f>
        <v>0.114</v>
      </c>
    </row>
    <row r="53" spans="1:6" ht="15">
      <c r="A53" s="31" t="s">
        <v>211</v>
      </c>
      <c r="B53" s="44">
        <f ca="1">Model!$K$85+Model!$K$86*C53+Model!$K$87*1+Model!$K$88*$E$2+Model!$K$89*F53</f>
        <v>3.156303149475435</v>
      </c>
      <c r="C53" s="31">
        <v>23.758880042912502</v>
      </c>
      <c r="D53" s="31">
        <v>0.5</v>
      </c>
      <c r="E53" s="31">
        <v>0.19639881049638899</v>
      </c>
      <c r="F53" s="39">
        <f ca="1">IFERROR(__xludf.dummyfunction("QUERY('Archive_ Marketplace_customer'!A:B, ""SELECT B WHERE A = '""&amp;A53&amp;""'"",0)"),0.461)</f>
        <v>0.46100000000000002</v>
      </c>
    </row>
    <row r="54" spans="1:6" ht="15">
      <c r="A54" s="31" t="s">
        <v>180</v>
      </c>
      <c r="B54" s="44">
        <f ca="1">Model!$K$85+Model!$K$86*C54+Model!$K$87*1+Model!$K$88*$E$2+Model!$K$89*F54</f>
        <v>3.1327528040209818</v>
      </c>
      <c r="C54" s="31">
        <v>23.693241674644099</v>
      </c>
      <c r="D54" s="31">
        <v>0.5</v>
      </c>
      <c r="E54" s="31">
        <v>0.2182440917913</v>
      </c>
      <c r="F54" s="39">
        <f ca="1">IFERROR(__xludf.dummyfunction("QUERY('Archive_ Marketplace_customer'!A:B, ""SELECT B WHERE A = '""&amp;A54&amp;""'"",0)"),0.043)</f>
        <v>4.2999999999999997E-2</v>
      </c>
    </row>
    <row r="55" spans="1:6" ht="15">
      <c r="A55" s="31" t="s">
        <v>189</v>
      </c>
      <c r="B55" s="44">
        <f ca="1">Model!$K$85+Model!$K$86*C55+Model!$K$87*1+Model!$K$88*$E$2+Model!$K$89*F55</f>
        <v>2.9750797907820039</v>
      </c>
      <c r="C55" s="31">
        <v>23.162593975798501</v>
      </c>
      <c r="D55" s="31">
        <v>0.5</v>
      </c>
      <c r="E55" s="31">
        <v>0.365473464304367</v>
      </c>
      <c r="F55" s="39">
        <f ca="1">IFERROR(__xludf.dummyfunction("QUERY('Archive_ Marketplace_customer'!A:B, ""SELECT B WHERE A = '""&amp;A55&amp;""'"",0)"),0.031)</f>
        <v>3.1E-2</v>
      </c>
    </row>
    <row r="56" spans="1:6" ht="15">
      <c r="A56" s="31" t="s">
        <v>163</v>
      </c>
      <c r="B56" s="44">
        <f ca="1">Model!$K$85+Model!$K$86*C56+Model!$K$87*1+Model!$K$88*$E$2+Model!$K$89*F56</f>
        <v>2.8034107966265616</v>
      </c>
      <c r="C56" s="31">
        <v>22.582157332641099</v>
      </c>
      <c r="D56" s="31">
        <v>1</v>
      </c>
      <c r="E56" s="31">
        <v>0.157472432939704</v>
      </c>
      <c r="F56" s="39">
        <f ca="1">IFERROR(__xludf.dummyfunction("QUERY('Archive_ Marketplace_customer'!A:B, ""SELECT B WHERE A = '""&amp;A56&amp;""'"",0)"),0.1)</f>
        <v>0.1</v>
      </c>
    </row>
    <row r="57" spans="1:6" ht="15">
      <c r="A57" s="31" t="s">
        <v>177</v>
      </c>
      <c r="B57" s="44">
        <f ca="1">Model!$K$85+Model!$K$86*C57+Model!$K$87*1+Model!$K$88*$E$2+Model!$K$89*F57</f>
        <v>2.7435064321082048</v>
      </c>
      <c r="C57" s="31">
        <v>22.3833455194703</v>
      </c>
      <c r="D57" s="31">
        <v>0.5</v>
      </c>
      <c r="E57" s="31">
        <v>0.14777534646243601</v>
      </c>
      <c r="F57" s="39">
        <f ca="1">IFERROR(__xludf.dummyfunction("QUERY('Archive_ Marketplace_customer'!A:B, ""SELECT B WHERE A = '""&amp;A57&amp;""'"",0)"),0.01)</f>
        <v>0.01</v>
      </c>
    </row>
    <row r="58" spans="1:6" ht="15">
      <c r="A58" s="31" t="s">
        <v>174</v>
      </c>
      <c r="B58" s="44">
        <f ca="1">Model!$K$85+Model!$K$86*C58+Model!$K$87*1+Model!$K$88*$E$2+Model!$K$89*F58</f>
        <v>2.6875100903758002</v>
      </c>
      <c r="C58" s="31">
        <v>22.193441682046998</v>
      </c>
      <c r="D58" s="31">
        <v>0.5</v>
      </c>
      <c r="E58" s="31">
        <v>0.210983310780334</v>
      </c>
      <c r="F58" s="39">
        <f ca="1">IFERROR(__xludf.dummyfunction("QUERY('Archive_ Marketplace_customer'!A:B, ""SELECT B WHERE A = '""&amp;A58&amp;""'"",0)"),0.05)</f>
        <v>0.05</v>
      </c>
    </row>
    <row r="59" spans="1:6" ht="15">
      <c r="A59" t="s">
        <v>218</v>
      </c>
      <c r="B59" s="44">
        <f ca="1">Model!$K$85+Model!$K$86*C59+Model!$K$87*1+Model!$K$88*$E$2+Model!$K$89*F59</f>
        <v>2.661142459983791</v>
      </c>
      <c r="C59">
        <v>22.105552176668802</v>
      </c>
      <c r="D59">
        <v>1</v>
      </c>
      <c r="E59">
        <v>6.6733886025842098E-2</v>
      </c>
      <c r="F59" s="39">
        <f ca="1">IFERROR(__xludf.dummyfunction("QUERY('Archive_ Marketplace_customer'!A:B, ""SELECT B WHERE A = '""&amp;A59&amp;""'"",0)"),0.022)</f>
        <v>2.1999999999999999E-2</v>
      </c>
    </row>
  </sheetData>
  <autoFilter ref="A1:F59" xr:uid="{00000000-0009-0000-0000-000004000000}"/>
  <pageMargins left="0.74791666666666701" right="0.74791666666666701" top="0.98402777777777795" bottom="0.98402777777777795" header="0.511811023622047" footer="0.511811023622047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9"/>
  <sheetViews>
    <sheetView zoomScaleNormal="100" workbookViewId="0"/>
  </sheetViews>
  <sheetFormatPr defaultColWidth="12.625" defaultRowHeight="14.25"/>
  <cols>
    <col min="1" max="1" width="28.25" customWidth="1"/>
  </cols>
  <sheetData>
    <row r="1" spans="1:5" ht="15">
      <c r="A1" s="37" t="s">
        <v>216</v>
      </c>
      <c r="B1" s="37">
        <v>19.169921555256</v>
      </c>
      <c r="D1" s="37" t="s">
        <v>96</v>
      </c>
      <c r="E1" s="37">
        <v>14.244394971595501</v>
      </c>
    </row>
    <row r="2" spans="1:5" ht="15">
      <c r="A2" s="37" t="s">
        <v>164</v>
      </c>
      <c r="B2" s="37">
        <v>8.0514729943462395</v>
      </c>
      <c r="D2" s="37" t="s">
        <v>151</v>
      </c>
      <c r="E2" s="37">
        <v>7.6122977540535697</v>
      </c>
    </row>
    <row r="3" spans="1:5" ht="15">
      <c r="A3" s="37" t="s">
        <v>215</v>
      </c>
      <c r="B3" s="37">
        <v>7.9037491124343804</v>
      </c>
      <c r="D3" s="37" t="s">
        <v>92</v>
      </c>
      <c r="E3" s="37">
        <v>7.0102892481594896</v>
      </c>
    </row>
    <row r="4" spans="1:5" ht="15">
      <c r="A4" s="37" t="s">
        <v>181</v>
      </c>
      <c r="B4" s="37">
        <v>7.3912848662887303</v>
      </c>
      <c r="D4" s="37" t="s">
        <v>114</v>
      </c>
      <c r="E4" s="37">
        <v>6.9289252156916898</v>
      </c>
    </row>
    <row r="5" spans="1:5" ht="15">
      <c r="A5" s="37" t="s">
        <v>175</v>
      </c>
      <c r="B5" s="37">
        <v>7.2929376023943497</v>
      </c>
      <c r="D5" s="37" t="s">
        <v>110</v>
      </c>
      <c r="E5" s="37">
        <v>6.6837642804613404</v>
      </c>
    </row>
    <row r="6" spans="1:5" ht="15">
      <c r="A6" s="37" t="s">
        <v>185</v>
      </c>
      <c r="B6" s="37">
        <v>7.1739112787222101</v>
      </c>
      <c r="D6" s="37" t="s">
        <v>89</v>
      </c>
      <c r="E6" s="37">
        <v>6.4660802004646101</v>
      </c>
    </row>
    <row r="7" spans="1:5" ht="15">
      <c r="A7" s="37" t="s">
        <v>212</v>
      </c>
      <c r="B7" s="37">
        <v>6.1491929042496896</v>
      </c>
      <c r="D7" s="37" t="s">
        <v>143</v>
      </c>
      <c r="E7" s="37">
        <v>6.4391335800151399</v>
      </c>
    </row>
    <row r="8" spans="1:5" ht="15">
      <c r="A8" s="37" t="s">
        <v>165</v>
      </c>
      <c r="B8" s="37">
        <v>5.8002103540755598</v>
      </c>
      <c r="D8" s="37" t="s">
        <v>95</v>
      </c>
      <c r="E8" s="37">
        <v>6.42651569534776</v>
      </c>
    </row>
    <row r="9" spans="1:5" ht="15">
      <c r="A9" s="37" t="s">
        <v>184</v>
      </c>
      <c r="B9" s="37">
        <v>5.3746238473135204</v>
      </c>
      <c r="D9" s="37" t="s">
        <v>146</v>
      </c>
      <c r="E9" s="37">
        <v>6.3318072065658404</v>
      </c>
    </row>
    <row r="10" spans="1:5" ht="15">
      <c r="A10" s="37" t="s">
        <v>207</v>
      </c>
      <c r="B10" s="37">
        <v>5.3662001087098998</v>
      </c>
      <c r="D10" s="37" t="s">
        <v>153</v>
      </c>
      <c r="E10" s="37">
        <v>5.6186439810728803</v>
      </c>
    </row>
    <row r="11" spans="1:5" ht="15">
      <c r="A11" s="37" t="s">
        <v>199</v>
      </c>
      <c r="B11" s="37">
        <v>5.3364056845612202</v>
      </c>
      <c r="D11" s="37" t="s">
        <v>108</v>
      </c>
      <c r="E11" s="37">
        <v>5.4714883545640003</v>
      </c>
    </row>
    <row r="12" spans="1:5" ht="15">
      <c r="A12" s="37" t="s">
        <v>173</v>
      </c>
      <c r="B12" s="37">
        <v>5.1127554720891801</v>
      </c>
      <c r="D12" s="37" t="s">
        <v>148</v>
      </c>
      <c r="E12" s="37">
        <v>5.4460563712424799</v>
      </c>
    </row>
    <row r="13" spans="1:5" ht="15">
      <c r="A13" s="37" t="s">
        <v>158</v>
      </c>
      <c r="B13" s="37">
        <v>4.8486294239993804</v>
      </c>
      <c r="D13" s="37" t="s">
        <v>126</v>
      </c>
      <c r="E13" s="37">
        <v>5.4185482795084603</v>
      </c>
    </row>
    <row r="14" spans="1:5" ht="15">
      <c r="A14" s="37" t="s">
        <v>191</v>
      </c>
      <c r="B14" s="37">
        <v>4.8406309210467002</v>
      </c>
      <c r="D14" s="37" t="s">
        <v>84</v>
      </c>
      <c r="E14" s="37">
        <v>5.3654362790454604</v>
      </c>
    </row>
    <row r="15" spans="1:5" ht="15">
      <c r="A15" s="37" t="s">
        <v>190</v>
      </c>
      <c r="B15" s="37">
        <v>4.8228317072855003</v>
      </c>
      <c r="D15" s="37" t="s">
        <v>91</v>
      </c>
      <c r="E15" s="37">
        <v>5.3549354168724399</v>
      </c>
    </row>
    <row r="16" spans="1:5" ht="15">
      <c r="A16" s="37" t="s">
        <v>209</v>
      </c>
      <c r="B16" s="37">
        <v>4.6601155755088604</v>
      </c>
      <c r="D16" s="37" t="s">
        <v>112</v>
      </c>
      <c r="E16" s="37">
        <v>5.3291399919084599</v>
      </c>
    </row>
    <row r="17" spans="1:5" ht="15">
      <c r="A17" s="37" t="s">
        <v>210</v>
      </c>
      <c r="B17" s="37">
        <v>4.52885321460802</v>
      </c>
      <c r="D17" s="37" t="s">
        <v>97</v>
      </c>
      <c r="E17" s="37">
        <v>5.3259849961391303</v>
      </c>
    </row>
    <row r="18" spans="1:5" ht="15">
      <c r="A18" s="37" t="s">
        <v>186</v>
      </c>
      <c r="B18" s="37">
        <v>4.4584221931793797</v>
      </c>
      <c r="D18" s="37" t="s">
        <v>130</v>
      </c>
      <c r="E18" s="37">
        <v>5.2749983119995898</v>
      </c>
    </row>
    <row r="19" spans="1:5" ht="15">
      <c r="A19" s="37" t="s">
        <v>202</v>
      </c>
      <c r="B19" s="37">
        <v>4.4193923018021399</v>
      </c>
      <c r="D19" s="37" t="s">
        <v>121</v>
      </c>
      <c r="E19" s="37">
        <v>5.2668057937091302</v>
      </c>
    </row>
  </sheetData>
  <pageMargins left="0.74791666666666701" right="0.74791666666666701" top="0.98402777777777795" bottom="0.98402777777777795" header="0.511811023622047" footer="0.511811023622047"/>
  <pageSetup paperSize="9" orientation="portrait" horizontalDpi="300" verticalDpi="30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U64"/>
  <sheetViews>
    <sheetView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defaultColWidth="12.625" defaultRowHeight="14.25"/>
  <sheetData>
    <row r="1" spans="1:73" ht="15">
      <c r="A1" s="37" t="s">
        <v>0</v>
      </c>
      <c r="B1" s="37" t="s">
        <v>83</v>
      </c>
      <c r="C1" s="37" t="s">
        <v>128</v>
      </c>
      <c r="D1" s="37" t="s">
        <v>132</v>
      </c>
      <c r="E1" s="46" t="s">
        <v>141</v>
      </c>
      <c r="F1" s="37" t="s">
        <v>97</v>
      </c>
      <c r="G1" s="37" t="s">
        <v>144</v>
      </c>
      <c r="H1" s="37" t="s">
        <v>143</v>
      </c>
      <c r="I1" s="37" t="s">
        <v>103</v>
      </c>
      <c r="J1" s="37" t="s">
        <v>115</v>
      </c>
      <c r="K1" s="37" t="s">
        <v>116</v>
      </c>
      <c r="L1" s="37" t="s">
        <v>139</v>
      </c>
      <c r="M1" s="46" t="s">
        <v>96</v>
      </c>
      <c r="N1" s="37" t="s">
        <v>95</v>
      </c>
      <c r="O1" s="37" t="s">
        <v>92</v>
      </c>
      <c r="P1" s="37" t="s">
        <v>89</v>
      </c>
      <c r="Q1" s="37" t="s">
        <v>91</v>
      </c>
      <c r="R1" s="37" t="s">
        <v>88</v>
      </c>
      <c r="S1" s="37" t="s">
        <v>90</v>
      </c>
      <c r="T1" s="37" t="s">
        <v>87</v>
      </c>
      <c r="U1" s="37" t="s">
        <v>93</v>
      </c>
      <c r="V1" s="37" t="s">
        <v>86</v>
      </c>
      <c r="W1" s="37" t="s">
        <v>150</v>
      </c>
      <c r="X1" s="37" t="s">
        <v>146</v>
      </c>
      <c r="Y1" s="46" t="s">
        <v>84</v>
      </c>
      <c r="Z1" s="37" t="s">
        <v>148</v>
      </c>
      <c r="AA1" s="37" t="s">
        <v>126</v>
      </c>
      <c r="AB1" s="37" t="s">
        <v>108</v>
      </c>
      <c r="AC1" s="37" t="s">
        <v>153</v>
      </c>
      <c r="AD1" s="37" t="s">
        <v>130</v>
      </c>
      <c r="AE1" s="37" t="s">
        <v>121</v>
      </c>
      <c r="AF1" s="37" t="s">
        <v>100</v>
      </c>
      <c r="AG1" s="37" t="s">
        <v>98</v>
      </c>
      <c r="AH1" s="37" t="s">
        <v>136</v>
      </c>
      <c r="AI1" s="37" t="s">
        <v>124</v>
      </c>
      <c r="AJ1" s="37" t="s">
        <v>102</v>
      </c>
      <c r="AK1" s="37" t="s">
        <v>109</v>
      </c>
      <c r="AL1" s="37" t="s">
        <v>134</v>
      </c>
      <c r="AM1" s="37" t="s">
        <v>133</v>
      </c>
      <c r="AN1" s="37" t="s">
        <v>149</v>
      </c>
      <c r="AO1" s="37" t="s">
        <v>120</v>
      </c>
      <c r="AP1" s="37" t="s">
        <v>118</v>
      </c>
      <c r="AQ1" s="37" t="s">
        <v>104</v>
      </c>
      <c r="AR1" s="37" t="s">
        <v>85</v>
      </c>
      <c r="AS1" s="37" t="s">
        <v>135</v>
      </c>
      <c r="AT1" s="37" t="s">
        <v>123</v>
      </c>
      <c r="AU1" s="46" t="s">
        <v>122</v>
      </c>
      <c r="AV1" s="37" t="s">
        <v>145</v>
      </c>
      <c r="AW1" s="37" t="s">
        <v>140</v>
      </c>
      <c r="AX1" s="37" t="s">
        <v>113</v>
      </c>
      <c r="AY1" s="37" t="s">
        <v>119</v>
      </c>
      <c r="AZ1" s="37" t="s">
        <v>125</v>
      </c>
      <c r="BA1" s="37" t="s">
        <v>114</v>
      </c>
      <c r="BB1" s="46" t="s">
        <v>110</v>
      </c>
      <c r="BC1" s="46" t="s">
        <v>112</v>
      </c>
      <c r="BD1" s="46" t="s">
        <v>111</v>
      </c>
      <c r="BE1" s="46" t="s">
        <v>151</v>
      </c>
      <c r="BF1" s="46" t="s">
        <v>152</v>
      </c>
      <c r="BG1" s="46" t="s">
        <v>105</v>
      </c>
      <c r="BH1" s="37" t="s">
        <v>127</v>
      </c>
      <c r="BI1" s="37" t="s">
        <v>101</v>
      </c>
      <c r="BJ1" s="37" t="s">
        <v>99</v>
      </c>
      <c r="BK1" s="37" t="s">
        <v>137</v>
      </c>
      <c r="BL1" s="37" t="s">
        <v>129</v>
      </c>
      <c r="BM1" s="37" t="s">
        <v>94</v>
      </c>
      <c r="BN1" s="37" t="s">
        <v>107</v>
      </c>
      <c r="BO1" s="47" t="s">
        <v>131</v>
      </c>
      <c r="BP1" s="37" t="s">
        <v>147</v>
      </c>
      <c r="BQ1" s="37" t="s">
        <v>117</v>
      </c>
      <c r="BR1" s="37" t="s">
        <v>142</v>
      </c>
      <c r="BS1" s="37" t="s">
        <v>138</v>
      </c>
      <c r="BT1" s="37" t="s">
        <v>106</v>
      </c>
      <c r="BU1" s="47" t="s">
        <v>154</v>
      </c>
    </row>
    <row r="2" spans="1:73" ht="15">
      <c r="A2" s="37" t="s">
        <v>83</v>
      </c>
      <c r="B2" s="37">
        <f t="shared" ref="B2:B33" si="0">SUM(C2:BU2)</f>
        <v>4357.2860000000019</v>
      </c>
      <c r="C2" s="37">
        <f>2.2+2.9+1.5+2.7</f>
        <v>9.3000000000000007</v>
      </c>
      <c r="D2" s="37">
        <f>5.6+3.9+2.6+16.3+29.5+0.757+1.7</f>
        <v>60.356999999999999</v>
      </c>
      <c r="E2" s="37">
        <f>17.5+6+0.165</f>
        <v>23.664999999999999</v>
      </c>
      <c r="F2" s="37">
        <v>88.4</v>
      </c>
      <c r="G2" s="37">
        <v>10.199999999999999</v>
      </c>
      <c r="H2" s="37">
        <f>88.3+40.1+H55+H62+10.3+11.5+2.5+67.7+1.2+0.4+0.24</f>
        <v>302.74</v>
      </c>
      <c r="I2" s="37">
        <v>35.299999999999997</v>
      </c>
      <c r="J2" s="37">
        <v>14.4</v>
      </c>
      <c r="K2" s="37">
        <v>17.100000000000001</v>
      </c>
      <c r="L2" s="37">
        <v>8.9</v>
      </c>
      <c r="M2" s="37">
        <v>940</v>
      </c>
      <c r="N2" s="37">
        <v>187.2</v>
      </c>
      <c r="O2" s="37">
        <v>233.8</v>
      </c>
      <c r="P2" s="37">
        <v>187.4</v>
      </c>
      <c r="Q2" s="37">
        <v>91.5</v>
      </c>
      <c r="R2" s="37">
        <v>48.2</v>
      </c>
      <c r="S2" s="37">
        <v>82.6</v>
      </c>
      <c r="T2" s="37">
        <v>29.4</v>
      </c>
      <c r="U2" s="37">
        <v>16.399999999999999</v>
      </c>
      <c r="V2" s="37">
        <v>8.6999999999999993</v>
      </c>
      <c r="W2" s="37">
        <v>90.5</v>
      </c>
      <c r="X2" s="37">
        <v>120.5</v>
      </c>
      <c r="Y2" s="37">
        <v>124.2</v>
      </c>
      <c r="Z2" s="37">
        <v>117.1</v>
      </c>
      <c r="AA2" s="37">
        <v>25.4</v>
      </c>
      <c r="AB2" s="37">
        <v>31.6</v>
      </c>
      <c r="AC2" s="37">
        <v>46.4</v>
      </c>
      <c r="AD2" s="37">
        <v>80.8</v>
      </c>
      <c r="AE2" s="37">
        <v>98.9</v>
      </c>
      <c r="AF2" s="37">
        <v>42.3</v>
      </c>
      <c r="AG2" s="37">
        <v>50.8</v>
      </c>
      <c r="AH2" s="37">
        <v>31.8</v>
      </c>
      <c r="AI2" s="37">
        <v>23.3</v>
      </c>
      <c r="AJ2" s="37">
        <v>16.8</v>
      </c>
      <c r="AK2" s="37">
        <v>9.5</v>
      </c>
      <c r="AL2" s="37">
        <v>0.55800000000000005</v>
      </c>
      <c r="AM2" s="37">
        <v>0.628</v>
      </c>
      <c r="AN2" s="37">
        <v>4.7</v>
      </c>
      <c r="AO2" s="37">
        <v>0.81899999999999995</v>
      </c>
      <c r="AP2" s="37">
        <v>0.31900000000000001</v>
      </c>
      <c r="AQ2" s="37">
        <v>2.9</v>
      </c>
      <c r="AR2" s="37">
        <v>2.6</v>
      </c>
      <c r="AS2" s="37">
        <v>5</v>
      </c>
      <c r="AT2" s="37">
        <v>2.8</v>
      </c>
      <c r="AU2" s="37">
        <v>5</v>
      </c>
      <c r="AV2" s="37">
        <v>5.9</v>
      </c>
      <c r="AW2" s="37">
        <v>2.7</v>
      </c>
      <c r="AX2" s="37">
        <v>27</v>
      </c>
      <c r="AY2" s="37">
        <v>2.6</v>
      </c>
      <c r="AZ2" s="37">
        <v>15.5</v>
      </c>
      <c r="BA2" s="37">
        <v>194</v>
      </c>
      <c r="BB2" s="37">
        <v>159</v>
      </c>
      <c r="BC2" s="37">
        <v>73.3</v>
      </c>
      <c r="BD2" s="37">
        <v>55.3</v>
      </c>
      <c r="BE2" s="37">
        <v>252</v>
      </c>
      <c r="BF2" s="37">
        <v>22</v>
      </c>
      <c r="BG2" s="37">
        <v>47.7</v>
      </c>
      <c r="BH2" s="37">
        <v>37.1</v>
      </c>
      <c r="BI2" s="37">
        <v>39.9</v>
      </c>
      <c r="BJ2" s="37">
        <v>31.8</v>
      </c>
      <c r="BK2" s="37">
        <v>0.1</v>
      </c>
      <c r="BL2" s="37">
        <v>10.7</v>
      </c>
      <c r="BM2" s="37">
        <v>4.5</v>
      </c>
      <c r="BN2" s="37">
        <v>8.1999999999999993</v>
      </c>
      <c r="BO2" s="37">
        <v>15.6</v>
      </c>
      <c r="BP2" s="37">
        <v>2.6</v>
      </c>
      <c r="BQ2" s="37">
        <v>5.5</v>
      </c>
      <c r="BR2" s="37">
        <v>3</v>
      </c>
      <c r="BS2" s="37">
        <v>1.6</v>
      </c>
      <c r="BT2" s="37">
        <v>4.7</v>
      </c>
      <c r="BU2" s="37">
        <v>4.2</v>
      </c>
    </row>
    <row r="3" spans="1:73" ht="15">
      <c r="A3" s="31" t="s">
        <v>158</v>
      </c>
      <c r="B3" s="37">
        <f t="shared" si="0"/>
        <v>44.103000000000009</v>
      </c>
      <c r="M3" s="37">
        <v>7.3</v>
      </c>
      <c r="V3" s="37">
        <v>8.5</v>
      </c>
      <c r="AM3" s="37">
        <v>0.61699999999999999</v>
      </c>
      <c r="AO3" s="37">
        <v>0.79100000000000004</v>
      </c>
      <c r="AP3" s="37">
        <v>0.30599999999999999</v>
      </c>
      <c r="AQ3" s="37">
        <v>2.8</v>
      </c>
      <c r="AZ3" s="37">
        <v>15.3</v>
      </c>
      <c r="BA3" s="37">
        <v>6.9</v>
      </c>
      <c r="BB3" s="37">
        <v>1.1000000000000001</v>
      </c>
      <c r="BC3" s="37">
        <v>0.127</v>
      </c>
      <c r="BD3" s="37"/>
      <c r="BE3" s="37">
        <v>0.36199999999999999</v>
      </c>
      <c r="BF3" s="37"/>
      <c r="BG3" s="37"/>
      <c r="BH3" s="37"/>
      <c r="BI3" s="37"/>
      <c r="BJ3" s="37"/>
      <c r="BK3" s="37"/>
      <c r="BL3" s="37"/>
      <c r="BM3" s="37"/>
      <c r="BN3" s="37"/>
      <c r="BO3" s="37"/>
      <c r="BP3" s="37"/>
      <c r="BQ3" s="37"/>
      <c r="BR3" s="37"/>
      <c r="BS3" s="37"/>
      <c r="BT3" s="37"/>
      <c r="BU3" s="37"/>
    </row>
    <row r="4" spans="1:73" ht="15">
      <c r="A4" s="31" t="s">
        <v>159</v>
      </c>
      <c r="B4" s="37">
        <f t="shared" si="0"/>
        <v>22.294</v>
      </c>
      <c r="D4" s="37">
        <v>17.3</v>
      </c>
      <c r="M4" s="37">
        <v>3.1</v>
      </c>
      <c r="S4" s="37">
        <v>1.2</v>
      </c>
      <c r="BB4" s="37">
        <v>0.40400000000000003</v>
      </c>
      <c r="BC4" s="37"/>
      <c r="BD4" s="37">
        <v>0.28999999999999998</v>
      </c>
      <c r="BE4" s="37"/>
      <c r="BF4" s="37"/>
      <c r="BG4" s="37"/>
      <c r="BH4" s="37"/>
      <c r="BI4" s="37"/>
      <c r="BJ4" s="37"/>
      <c r="BK4" s="37"/>
      <c r="BL4" s="37"/>
      <c r="BM4" s="37"/>
      <c r="BN4" s="37"/>
      <c r="BO4" s="37"/>
      <c r="BP4" s="37"/>
      <c r="BQ4" s="37"/>
      <c r="BR4" s="37"/>
      <c r="BS4" s="37"/>
      <c r="BT4" s="37"/>
      <c r="BU4" s="37"/>
    </row>
    <row r="5" spans="1:73" ht="15">
      <c r="A5" s="31" t="s">
        <v>160</v>
      </c>
      <c r="B5" s="37">
        <f t="shared" si="0"/>
        <v>12.689</v>
      </c>
      <c r="M5" s="37">
        <v>0.16700000000000001</v>
      </c>
      <c r="P5" s="37">
        <v>11.5</v>
      </c>
      <c r="AH5" s="37">
        <v>0.51500000000000001</v>
      </c>
      <c r="BA5" s="37">
        <v>0.50700000000000001</v>
      </c>
    </row>
    <row r="6" spans="1:73" ht="15">
      <c r="A6" s="31" t="s">
        <v>161</v>
      </c>
      <c r="B6" s="37">
        <f t="shared" si="0"/>
        <v>0.124</v>
      </c>
      <c r="M6" s="37">
        <v>0.124</v>
      </c>
    </row>
    <row r="7" spans="1:73" ht="15">
      <c r="A7" s="31" t="s">
        <v>162</v>
      </c>
      <c r="B7" s="37">
        <f t="shared" si="0"/>
        <v>12.752999999999997</v>
      </c>
      <c r="M7" s="37">
        <v>0.71599999999999997</v>
      </c>
      <c r="AF7" s="37">
        <v>8.1999999999999993</v>
      </c>
      <c r="AG7" s="37"/>
      <c r="AH7" s="37"/>
      <c r="AI7" s="37"/>
      <c r="AJ7" s="37"/>
      <c r="AK7" s="37"/>
      <c r="AL7" s="37"/>
      <c r="AM7" s="37"/>
      <c r="AN7" s="37"/>
      <c r="AO7" s="37"/>
      <c r="AP7" s="37"/>
      <c r="AQ7" s="37"/>
      <c r="AR7" s="37"/>
      <c r="AS7" s="37"/>
      <c r="AT7" s="37"/>
      <c r="AU7" s="37"/>
      <c r="AV7" s="37"/>
      <c r="AW7" s="37"/>
      <c r="AX7" s="37"/>
      <c r="AY7" s="37"/>
      <c r="AZ7" s="37"/>
      <c r="BA7" s="37">
        <v>0.52400000000000002</v>
      </c>
      <c r="BB7" s="37"/>
      <c r="BC7" s="37"/>
      <c r="BD7" s="37"/>
      <c r="BE7" s="37"/>
      <c r="BF7" s="37"/>
      <c r="BG7" s="37">
        <v>0.53300000000000003</v>
      </c>
      <c r="BH7" s="37"/>
      <c r="BI7" s="37"/>
      <c r="BJ7" s="37"/>
      <c r="BK7" s="37"/>
      <c r="BL7" s="37"/>
      <c r="BM7" s="37">
        <v>2</v>
      </c>
      <c r="BN7" s="37"/>
      <c r="BO7" s="37">
        <v>0.78</v>
      </c>
      <c r="BP7" s="37"/>
      <c r="BQ7" s="37"/>
      <c r="BR7" s="37"/>
      <c r="BS7" s="37"/>
      <c r="BT7" s="37"/>
      <c r="BU7" s="37"/>
    </row>
    <row r="8" spans="1:73" ht="15">
      <c r="A8" s="31" t="s">
        <v>163</v>
      </c>
      <c r="B8" s="37">
        <f t="shared" si="0"/>
        <v>0.1</v>
      </c>
      <c r="M8" s="37">
        <v>0.1</v>
      </c>
    </row>
    <row r="9" spans="1:73" ht="15">
      <c r="A9" s="31" t="s">
        <v>164</v>
      </c>
      <c r="B9" s="37">
        <f t="shared" si="0"/>
        <v>368.858</v>
      </c>
      <c r="D9" s="37">
        <v>29.2</v>
      </c>
      <c r="F9" s="37">
        <v>88.1</v>
      </c>
      <c r="G9" s="37">
        <v>10.199999999999999</v>
      </c>
      <c r="H9" s="37">
        <v>68.599999999999994</v>
      </c>
      <c r="I9" s="37">
        <v>35.200000000000003</v>
      </c>
      <c r="J9" s="37">
        <v>14.3</v>
      </c>
      <c r="L9" s="37">
        <v>8.8000000000000007</v>
      </c>
      <c r="M9" s="37">
        <v>2.7</v>
      </c>
      <c r="T9" s="37">
        <v>28.9</v>
      </c>
      <c r="AB9" s="37">
        <v>0.84</v>
      </c>
      <c r="AD9" s="37">
        <v>80.400000000000006</v>
      </c>
      <c r="AY9" s="37">
        <v>9.4E-2</v>
      </c>
      <c r="AZ9" s="37"/>
      <c r="BA9" s="37"/>
      <c r="BB9" s="37">
        <v>1.1000000000000001</v>
      </c>
      <c r="BC9" s="37"/>
      <c r="BD9" s="37"/>
      <c r="BE9" s="37">
        <v>0.311</v>
      </c>
      <c r="BF9" s="37"/>
      <c r="BG9" s="37">
        <v>0.113</v>
      </c>
      <c r="BH9" s="37"/>
      <c r="BI9" s="37"/>
      <c r="BJ9" s="37"/>
      <c r="BK9" s="37"/>
      <c r="BL9" s="37"/>
      <c r="BM9" s="37"/>
      <c r="BN9" s="37"/>
      <c r="BO9" s="37"/>
      <c r="BP9" s="37"/>
      <c r="BQ9" s="37"/>
      <c r="BR9" s="37"/>
      <c r="BS9" s="37"/>
      <c r="BT9" s="37"/>
      <c r="BU9" s="37"/>
    </row>
    <row r="10" spans="1:73" ht="15">
      <c r="A10" s="31" t="s">
        <v>165</v>
      </c>
      <c r="B10" s="37">
        <f t="shared" si="0"/>
        <v>139.87599999999998</v>
      </c>
      <c r="E10" s="37">
        <v>0.13</v>
      </c>
      <c r="M10" s="37">
        <v>11.2</v>
      </c>
      <c r="R10" s="37">
        <v>46.8</v>
      </c>
      <c r="AA10" s="37">
        <v>0.10199999999999999</v>
      </c>
      <c r="AI10" s="37">
        <v>22.7</v>
      </c>
      <c r="AJ10" s="37">
        <v>16.600000000000001</v>
      </c>
      <c r="AK10" s="37">
        <v>9.1999999999999993</v>
      </c>
      <c r="AL10" s="37">
        <v>0.54400000000000004</v>
      </c>
      <c r="AM10" s="37"/>
      <c r="AN10" s="37"/>
      <c r="AO10" s="37"/>
      <c r="AP10" s="37"/>
      <c r="AQ10" s="37"/>
      <c r="AR10" s="37"/>
      <c r="AS10" s="37"/>
      <c r="AT10" s="37"/>
      <c r="AU10" s="37"/>
      <c r="AV10" s="37"/>
      <c r="AW10" s="37"/>
      <c r="AX10" s="37"/>
      <c r="AY10" s="37"/>
      <c r="AZ10" s="37"/>
      <c r="BA10" s="37">
        <v>6.8</v>
      </c>
      <c r="BB10" s="37">
        <v>1.2</v>
      </c>
      <c r="BC10" s="37"/>
      <c r="BD10" s="37"/>
      <c r="BE10" s="37">
        <v>3.2</v>
      </c>
      <c r="BF10" s="37">
        <v>21.4</v>
      </c>
      <c r="BG10" s="37"/>
      <c r="BH10" s="37"/>
      <c r="BI10" s="37"/>
      <c r="BJ10" s="37"/>
      <c r="BK10" s="37"/>
      <c r="BL10" s="37"/>
      <c r="BM10" s="37"/>
      <c r="BN10" s="37"/>
      <c r="BO10" s="37"/>
      <c r="BP10" s="37"/>
      <c r="BQ10" s="37"/>
      <c r="BR10" s="37"/>
      <c r="BS10" s="37"/>
      <c r="BT10" s="37"/>
      <c r="BU10" s="37"/>
    </row>
    <row r="11" spans="1:73" ht="15">
      <c r="A11" s="31" t="s">
        <v>166</v>
      </c>
      <c r="B11" s="37">
        <f t="shared" si="0"/>
        <v>26.558</v>
      </c>
      <c r="C11" s="37">
        <v>2.7</v>
      </c>
      <c r="D11" s="37">
        <v>2.6</v>
      </c>
      <c r="H11" s="37">
        <v>0.35</v>
      </c>
      <c r="K11" s="37">
        <v>16.2</v>
      </c>
      <c r="M11" s="37">
        <v>3.2</v>
      </c>
      <c r="S11" s="37">
        <v>0.88</v>
      </c>
      <c r="AX11" s="37">
        <v>6.6000000000000003E-2</v>
      </c>
      <c r="AY11" s="37"/>
      <c r="AZ11" s="37"/>
      <c r="BA11" s="37"/>
      <c r="BB11" s="37">
        <v>0.56200000000000006</v>
      </c>
      <c r="BC11" s="37"/>
      <c r="BD11" s="37"/>
      <c r="BE11" s="37"/>
      <c r="BF11" s="37"/>
      <c r="BG11" s="37"/>
      <c r="BH11" s="37"/>
      <c r="BI11" s="37"/>
      <c r="BJ11" s="37"/>
      <c r="BK11" s="37"/>
      <c r="BL11" s="37"/>
      <c r="BM11" s="37"/>
      <c r="BN11" s="37"/>
      <c r="BO11" s="37"/>
      <c r="BP11" s="37"/>
      <c r="BQ11" s="37"/>
      <c r="BR11" s="37"/>
      <c r="BS11" s="37"/>
      <c r="BT11" s="37"/>
      <c r="BU11" s="37"/>
    </row>
    <row r="12" spans="1:73" ht="15">
      <c r="A12" s="31" t="s">
        <v>167</v>
      </c>
      <c r="B12" s="37">
        <f t="shared" si="0"/>
        <v>18.247</v>
      </c>
      <c r="C12" s="37">
        <v>2.7</v>
      </c>
      <c r="D12" s="37">
        <v>3.6</v>
      </c>
      <c r="H12" s="37">
        <v>0.26400000000000001</v>
      </c>
      <c r="K12" s="37">
        <v>0.5</v>
      </c>
      <c r="M12" s="37">
        <v>5</v>
      </c>
      <c r="S12" s="37">
        <v>1.1000000000000001</v>
      </c>
      <c r="AU12" s="37">
        <v>4.5</v>
      </c>
      <c r="BB12" s="37">
        <v>0.58299999999999996</v>
      </c>
      <c r="BC12" s="37"/>
      <c r="BD12" s="37"/>
      <c r="BE12" s="37"/>
      <c r="BF12" s="37"/>
      <c r="BG12" s="37"/>
      <c r="BH12" s="37"/>
      <c r="BI12" s="37"/>
      <c r="BJ12" s="37"/>
      <c r="BK12" s="37"/>
      <c r="BL12" s="37"/>
      <c r="BM12" s="37"/>
      <c r="BN12" s="37"/>
      <c r="BO12" s="37"/>
      <c r="BP12" s="37"/>
      <c r="BQ12" s="37"/>
      <c r="BR12" s="37"/>
      <c r="BS12" s="37"/>
      <c r="BT12" s="37"/>
      <c r="BU12" s="37"/>
    </row>
    <row r="13" spans="1:73" ht="15">
      <c r="A13" s="31" t="s">
        <v>168</v>
      </c>
      <c r="B13" s="37">
        <f t="shared" si="0"/>
        <v>0.63300000000000001</v>
      </c>
      <c r="M13" s="37">
        <v>0.63300000000000001</v>
      </c>
    </row>
    <row r="14" spans="1:73" ht="15">
      <c r="A14" s="31" t="s">
        <v>169</v>
      </c>
      <c r="B14" s="37">
        <f t="shared" si="0"/>
        <v>0.114</v>
      </c>
      <c r="M14" s="37">
        <v>0.114</v>
      </c>
    </row>
    <row r="15" spans="1:73" ht="15">
      <c r="A15" s="31" t="s">
        <v>170</v>
      </c>
      <c r="B15" s="37">
        <f t="shared" si="0"/>
        <v>0.41199999999999998</v>
      </c>
      <c r="M15" s="37">
        <v>0.41199999999999998</v>
      </c>
    </row>
    <row r="16" spans="1:73" ht="15">
      <c r="A16" s="31" t="s">
        <v>171</v>
      </c>
      <c r="B16" s="37">
        <f t="shared" si="0"/>
        <v>0.84299999999999997</v>
      </c>
      <c r="M16" s="37">
        <v>0.84299999999999997</v>
      </c>
    </row>
    <row r="17" spans="1:73" ht="15">
      <c r="A17" s="31" t="s">
        <v>172</v>
      </c>
      <c r="B17" s="37">
        <f t="shared" si="0"/>
        <v>0.10100000000000001</v>
      </c>
      <c r="M17" s="37">
        <v>0.10100000000000001</v>
      </c>
    </row>
    <row r="18" spans="1:73" ht="15">
      <c r="A18" s="31" t="s">
        <v>173</v>
      </c>
      <c r="B18" s="37">
        <f t="shared" si="0"/>
        <v>56.609000000000002</v>
      </c>
      <c r="E18" s="37">
        <v>5.7</v>
      </c>
      <c r="M18" s="37">
        <v>0.70799999999999996</v>
      </c>
      <c r="BA18" s="37">
        <v>4.0999999999999996</v>
      </c>
      <c r="BC18" s="37">
        <v>0.10100000000000001</v>
      </c>
      <c r="BG18" s="37">
        <v>46</v>
      </c>
      <c r="BH18" s="37"/>
      <c r="BI18" s="37"/>
      <c r="BJ18" s="37"/>
      <c r="BK18" s="37"/>
      <c r="BL18" s="37"/>
      <c r="BM18" s="37"/>
      <c r="BN18" s="37"/>
      <c r="BO18" s="37"/>
      <c r="BP18" s="37"/>
      <c r="BQ18" s="37"/>
      <c r="BR18" s="37"/>
      <c r="BS18" s="37"/>
      <c r="BT18" s="37"/>
      <c r="BU18" s="37"/>
    </row>
    <row r="19" spans="1:73" ht="15">
      <c r="A19" s="31" t="s">
        <v>174</v>
      </c>
      <c r="B19" s="37">
        <f t="shared" si="0"/>
        <v>0.05</v>
      </c>
      <c r="M19" s="37">
        <v>0.05</v>
      </c>
    </row>
    <row r="20" spans="1:73" ht="15">
      <c r="A20" s="31" t="s">
        <v>175</v>
      </c>
      <c r="B20" s="37">
        <f t="shared" si="0"/>
        <v>270.17099999999999</v>
      </c>
      <c r="M20" s="37">
        <v>1.4</v>
      </c>
      <c r="P20" s="37">
        <v>171</v>
      </c>
      <c r="T20" s="37"/>
      <c r="U20" s="37"/>
      <c r="V20" s="37"/>
      <c r="W20" s="37">
        <v>0.435</v>
      </c>
      <c r="Y20" s="37">
        <v>0.83599999999999997</v>
      </c>
      <c r="AH20" s="37">
        <v>30.6</v>
      </c>
      <c r="BA20" s="37">
        <v>12</v>
      </c>
      <c r="BD20" s="37">
        <v>53.9</v>
      </c>
    </row>
    <row r="21" spans="1:73" ht="15">
      <c r="A21" s="31" t="s">
        <v>176</v>
      </c>
      <c r="B21" s="37">
        <f t="shared" si="0"/>
        <v>0.30299999999999999</v>
      </c>
      <c r="M21" s="37">
        <v>0.30299999999999999</v>
      </c>
    </row>
    <row r="22" spans="1:73" ht="15">
      <c r="A22" s="31" t="s">
        <v>177</v>
      </c>
      <c r="B22" s="37">
        <f t="shared" si="0"/>
        <v>0.01</v>
      </c>
      <c r="M22" s="37">
        <v>0.01</v>
      </c>
    </row>
    <row r="23" spans="1:73" ht="15">
      <c r="A23" s="31" t="s">
        <v>178</v>
      </c>
      <c r="B23" s="37">
        <f t="shared" si="0"/>
        <v>5.8000000000000007</v>
      </c>
      <c r="M23" s="37">
        <v>1.4</v>
      </c>
      <c r="AV23" s="37">
        <v>1.8</v>
      </c>
      <c r="AW23" s="37">
        <v>2.6</v>
      </c>
      <c r="AX23" s="37"/>
      <c r="AY23" s="37"/>
      <c r="AZ23" s="37"/>
      <c r="BA23" s="37"/>
      <c r="BB23" s="37"/>
      <c r="BC23" s="37"/>
      <c r="BD23" s="37"/>
      <c r="BE23" s="37"/>
      <c r="BF23" s="37"/>
      <c r="BG23" s="37"/>
      <c r="BH23" s="37"/>
      <c r="BI23" s="37"/>
      <c r="BJ23" s="37"/>
      <c r="BK23" s="37"/>
      <c r="BL23" s="37"/>
      <c r="BM23" s="37"/>
      <c r="BN23" s="37"/>
      <c r="BO23" s="37"/>
      <c r="BP23" s="37"/>
      <c r="BQ23" s="37"/>
      <c r="BR23" s="37"/>
      <c r="BS23" s="37"/>
      <c r="BT23" s="37"/>
      <c r="BU23" s="37"/>
    </row>
    <row r="24" spans="1:73" ht="15">
      <c r="A24" s="31" t="s">
        <v>179</v>
      </c>
      <c r="B24" s="37">
        <f t="shared" si="0"/>
        <v>0.51800000000000002</v>
      </c>
      <c r="M24" s="37">
        <v>0.51800000000000002</v>
      </c>
    </row>
    <row r="25" spans="1:73" ht="15">
      <c r="A25" s="31" t="s">
        <v>180</v>
      </c>
      <c r="B25" s="37">
        <f t="shared" si="0"/>
        <v>4.2999999999999997E-2</v>
      </c>
      <c r="M25" s="37">
        <v>4.2999999999999997E-2</v>
      </c>
    </row>
    <row r="26" spans="1:73" ht="15">
      <c r="A26" s="31" t="s">
        <v>181</v>
      </c>
      <c r="B26" s="37">
        <f t="shared" si="0"/>
        <v>317.16500000000002</v>
      </c>
      <c r="H26" s="37">
        <v>87.6</v>
      </c>
      <c r="M26" s="37">
        <v>5</v>
      </c>
      <c r="Z26" s="37">
        <v>115.8</v>
      </c>
      <c r="BA26" s="37">
        <v>0.53800000000000003</v>
      </c>
      <c r="BC26" s="37">
        <v>0.127</v>
      </c>
      <c r="BH26" s="37">
        <v>37</v>
      </c>
      <c r="BI26" s="37">
        <v>39.5</v>
      </c>
      <c r="BJ26" s="37">
        <v>31.6</v>
      </c>
      <c r="BK26" s="37"/>
      <c r="BL26" s="37"/>
      <c r="BM26" s="37"/>
      <c r="BN26" s="37"/>
      <c r="BO26" s="37"/>
      <c r="BP26" s="37"/>
      <c r="BQ26" s="37"/>
      <c r="BR26" s="37"/>
      <c r="BS26" s="37"/>
      <c r="BT26" s="37"/>
      <c r="BU26" s="37"/>
    </row>
    <row r="27" spans="1:73" ht="15">
      <c r="A27" s="31" t="s">
        <v>182</v>
      </c>
      <c r="B27" s="37">
        <f t="shared" si="0"/>
        <v>1.6859999999999999</v>
      </c>
      <c r="M27" s="37">
        <v>1.1000000000000001</v>
      </c>
      <c r="AG27" s="37">
        <v>0.43</v>
      </c>
      <c r="BC27" s="37">
        <v>0.156</v>
      </c>
    </row>
    <row r="28" spans="1:73" ht="15">
      <c r="A28" s="31" t="s">
        <v>183</v>
      </c>
      <c r="B28" s="37">
        <f t="shared" si="0"/>
        <v>1.5</v>
      </c>
      <c r="M28" s="37">
        <v>1.5</v>
      </c>
    </row>
    <row r="29" spans="1:73" ht="15">
      <c r="A29" s="31" t="s">
        <v>184</v>
      </c>
      <c r="B29" s="37">
        <f t="shared" si="0"/>
        <v>93.435000000000002</v>
      </c>
      <c r="M29" s="37">
        <v>0.73499999999999999</v>
      </c>
      <c r="Q29" s="37">
        <v>90.9</v>
      </c>
      <c r="BA29" s="37">
        <v>1.8</v>
      </c>
    </row>
    <row r="30" spans="1:73" ht="15">
      <c r="A30" s="31" t="s">
        <v>185</v>
      </c>
      <c r="B30" s="37">
        <f t="shared" si="0"/>
        <v>250.48400000000001</v>
      </c>
      <c r="E30" s="37">
        <v>17.5</v>
      </c>
      <c r="M30" s="37">
        <v>0.68400000000000005</v>
      </c>
      <c r="O30" s="37">
        <v>232.3</v>
      </c>
    </row>
    <row r="31" spans="1:73" ht="15">
      <c r="A31" s="31" t="s">
        <v>186</v>
      </c>
      <c r="B31" s="37">
        <f t="shared" si="0"/>
        <v>1.2</v>
      </c>
      <c r="M31" s="37">
        <v>1.2</v>
      </c>
    </row>
    <row r="32" spans="1:73" ht="15">
      <c r="A32" s="31" t="s">
        <v>187</v>
      </c>
      <c r="B32" s="37">
        <f t="shared" si="0"/>
        <v>0.31</v>
      </c>
      <c r="M32" s="37">
        <v>0.31</v>
      </c>
    </row>
    <row r="33" spans="1:73" ht="15">
      <c r="A33" s="31" t="s">
        <v>188</v>
      </c>
      <c r="B33" s="37">
        <f t="shared" si="0"/>
        <v>14.675000000000002</v>
      </c>
      <c r="H33" s="37">
        <v>10.3</v>
      </c>
      <c r="M33" s="37">
        <v>2.2999999999999998</v>
      </c>
      <c r="Z33" s="37">
        <v>0.72</v>
      </c>
      <c r="AV33" s="37">
        <v>0.438</v>
      </c>
      <c r="AW33" s="37"/>
      <c r="AX33" s="37"/>
      <c r="AY33" s="37"/>
      <c r="AZ33" s="37"/>
      <c r="BA33" s="37">
        <v>0.43</v>
      </c>
      <c r="BB33" s="37"/>
      <c r="BC33" s="37"/>
      <c r="BD33" s="37"/>
      <c r="BE33" s="37"/>
      <c r="BF33" s="37"/>
      <c r="BG33" s="37"/>
      <c r="BH33" s="37">
        <v>0.1</v>
      </c>
      <c r="BI33" s="37">
        <v>0.2</v>
      </c>
      <c r="BJ33" s="37">
        <v>0.13</v>
      </c>
      <c r="BK33" s="37">
        <v>5.7000000000000002E-2</v>
      </c>
      <c r="BL33" s="37"/>
      <c r="BM33" s="37"/>
      <c r="BN33" s="37"/>
      <c r="BO33" s="37"/>
      <c r="BP33" s="37"/>
      <c r="BQ33" s="37"/>
      <c r="BR33" s="37"/>
      <c r="BS33" s="37"/>
      <c r="BT33" s="37"/>
      <c r="BU33" s="37"/>
    </row>
    <row r="34" spans="1:73" ht="15">
      <c r="A34" s="31" t="s">
        <v>189</v>
      </c>
      <c r="B34" s="37">
        <f t="shared" ref="B34:B65" si="1">SUM(C34:BU34)</f>
        <v>3.1E-2</v>
      </c>
      <c r="M34" s="37">
        <v>3.1E-2</v>
      </c>
    </row>
    <row r="35" spans="1:73" ht="15">
      <c r="A35" s="31" t="s">
        <v>190</v>
      </c>
      <c r="B35" s="37">
        <f t="shared" si="1"/>
        <v>49.416000000000011</v>
      </c>
      <c r="C35" s="37">
        <v>2.1</v>
      </c>
      <c r="D35" s="37">
        <v>5.3</v>
      </c>
      <c r="H35" s="37">
        <v>1.1000000000000001</v>
      </c>
      <c r="M35" s="37">
        <v>8.6</v>
      </c>
      <c r="S35" s="37">
        <v>2.2000000000000002</v>
      </c>
      <c r="U35" s="37">
        <v>15.8</v>
      </c>
      <c r="AX35" s="37">
        <v>0.17899999999999999</v>
      </c>
      <c r="AY35" s="37"/>
      <c r="AZ35" s="37"/>
      <c r="BA35" s="37">
        <v>0.94799999999999995</v>
      </c>
      <c r="BB35" s="37">
        <v>2.5</v>
      </c>
      <c r="BC35" s="37"/>
      <c r="BD35" s="37"/>
      <c r="BE35" s="37">
        <v>0.38900000000000001</v>
      </c>
      <c r="BF35" s="37"/>
      <c r="BG35" s="37"/>
      <c r="BH35" s="37"/>
      <c r="BI35" s="37"/>
      <c r="BJ35" s="37"/>
      <c r="BK35" s="37"/>
      <c r="BL35" s="37">
        <v>10.3</v>
      </c>
      <c r="BM35" s="37"/>
      <c r="BN35" s="37"/>
      <c r="BO35" s="37"/>
      <c r="BP35" s="37"/>
      <c r="BQ35" s="37"/>
      <c r="BR35" s="37"/>
      <c r="BS35" s="37"/>
      <c r="BT35" s="37"/>
      <c r="BU35" s="37"/>
    </row>
    <row r="36" spans="1:73" ht="15">
      <c r="A36" s="31" t="s">
        <v>191</v>
      </c>
      <c r="B36" s="37">
        <f t="shared" si="1"/>
        <v>62</v>
      </c>
      <c r="M36" s="37">
        <v>1.6</v>
      </c>
      <c r="AF36" s="37">
        <v>33.799999999999997</v>
      </c>
      <c r="AG36" s="37"/>
      <c r="AH36" s="37"/>
      <c r="AI36" s="37"/>
      <c r="AJ36" s="37"/>
      <c r="AK36" s="37"/>
      <c r="AL36" s="37"/>
      <c r="AM36" s="37"/>
      <c r="AN36" s="37"/>
      <c r="AO36" s="37"/>
      <c r="AP36" s="37"/>
      <c r="AQ36" s="37"/>
      <c r="AR36" s="37"/>
      <c r="AS36" s="37"/>
      <c r="AT36" s="37"/>
      <c r="AU36" s="37"/>
      <c r="AV36" s="37"/>
      <c r="AW36" s="37"/>
      <c r="AX36" s="37"/>
      <c r="AY36" s="37"/>
      <c r="AZ36" s="37"/>
      <c r="BA36" s="37">
        <v>1.9</v>
      </c>
      <c r="BB36" s="37"/>
      <c r="BC36" s="37"/>
      <c r="BD36" s="37"/>
      <c r="BE36" s="37"/>
      <c r="BF36" s="37"/>
      <c r="BG36" s="37"/>
      <c r="BH36" s="37"/>
      <c r="BI36" s="37"/>
      <c r="BJ36" s="37"/>
      <c r="BK36" s="37"/>
      <c r="BL36" s="37"/>
      <c r="BM36" s="37">
        <v>2.5</v>
      </c>
      <c r="BN36" s="37">
        <v>7.7</v>
      </c>
      <c r="BO36" s="37">
        <v>14.5</v>
      </c>
      <c r="BP36" s="37"/>
      <c r="BQ36" s="37"/>
      <c r="BR36" s="37"/>
      <c r="BS36" s="37"/>
      <c r="BT36" s="37"/>
      <c r="BU36" s="37"/>
    </row>
    <row r="37" spans="1:73" ht="15">
      <c r="A37" s="31" t="s">
        <v>192</v>
      </c>
      <c r="B37" s="37">
        <f t="shared" si="1"/>
        <v>8.9499999999999993</v>
      </c>
      <c r="M37" s="37">
        <v>1.4</v>
      </c>
      <c r="AN37" s="37">
        <v>4.5999999999999996</v>
      </c>
      <c r="AO37" s="37"/>
      <c r="AP37" s="37"/>
      <c r="AQ37" s="37"/>
      <c r="AR37" s="37"/>
      <c r="AS37" s="37"/>
      <c r="AT37" s="37"/>
      <c r="AU37" s="37"/>
      <c r="AV37" s="37"/>
      <c r="AW37" s="37"/>
      <c r="AX37" s="37"/>
      <c r="AY37" s="37"/>
      <c r="AZ37" s="37">
        <v>5.5E-2</v>
      </c>
      <c r="BA37" s="37">
        <v>0.39500000000000002</v>
      </c>
      <c r="BB37" s="37"/>
      <c r="BC37" s="37"/>
      <c r="BD37" s="37"/>
      <c r="BE37" s="37"/>
      <c r="BF37" s="37"/>
      <c r="BG37" s="37"/>
      <c r="BH37" s="37"/>
      <c r="BI37" s="37"/>
      <c r="BJ37" s="37"/>
      <c r="BK37" s="37"/>
      <c r="BL37" s="37"/>
      <c r="BM37" s="37"/>
      <c r="BN37" s="37"/>
      <c r="BO37" s="37"/>
      <c r="BP37" s="37">
        <v>2.5</v>
      </c>
      <c r="BQ37" s="37"/>
      <c r="BR37" s="37"/>
      <c r="BS37" s="37"/>
      <c r="BT37" s="37"/>
      <c r="BU37" s="37"/>
    </row>
    <row r="38" spans="1:73" ht="15">
      <c r="A38" s="31" t="s">
        <v>193</v>
      </c>
      <c r="B38" s="37">
        <f t="shared" si="1"/>
        <v>3.8</v>
      </c>
      <c r="M38" s="37">
        <v>1.3</v>
      </c>
      <c r="AT38" s="37">
        <v>2.5</v>
      </c>
      <c r="AU38" s="37"/>
      <c r="AV38" s="37"/>
      <c r="AW38" s="37"/>
      <c r="AX38" s="37"/>
      <c r="AY38" s="37"/>
      <c r="AZ38" s="37"/>
      <c r="BA38" s="37"/>
      <c r="BB38" s="37"/>
      <c r="BC38" s="37"/>
      <c r="BD38" s="37"/>
      <c r="BE38" s="37"/>
      <c r="BF38" s="37"/>
      <c r="BG38" s="37"/>
      <c r="BH38" s="37"/>
      <c r="BI38" s="37"/>
      <c r="BJ38" s="37"/>
      <c r="BK38" s="37"/>
      <c r="BL38" s="37"/>
      <c r="BM38" s="37"/>
      <c r="BN38" s="37"/>
      <c r="BO38" s="37"/>
      <c r="BP38" s="37"/>
      <c r="BQ38" s="37"/>
      <c r="BR38" s="37"/>
      <c r="BS38" s="37"/>
      <c r="BT38" s="37"/>
      <c r="BU38" s="37"/>
    </row>
    <row r="39" spans="1:73" ht="15">
      <c r="A39" s="31" t="s">
        <v>194</v>
      </c>
      <c r="B39" s="37">
        <f t="shared" si="1"/>
        <v>0.88800000000000001</v>
      </c>
      <c r="M39" s="37">
        <v>0.88800000000000001</v>
      </c>
    </row>
    <row r="40" spans="1:73" ht="15">
      <c r="A40" s="31" t="s">
        <v>195</v>
      </c>
      <c r="B40" s="37">
        <f t="shared" si="1"/>
        <v>0.126</v>
      </c>
      <c r="M40" s="37">
        <v>0.126</v>
      </c>
    </row>
    <row r="41" spans="1:73" ht="15">
      <c r="A41" s="31" t="s">
        <v>196</v>
      </c>
      <c r="B41" s="37">
        <f t="shared" si="1"/>
        <v>13.216999999999999</v>
      </c>
      <c r="C41" s="37">
        <v>1.4</v>
      </c>
      <c r="D41" s="37">
        <v>0.71699999999999997</v>
      </c>
      <c r="M41" s="37">
        <v>1.5</v>
      </c>
      <c r="BP41" s="37"/>
      <c r="BQ41" s="37">
        <v>5.3</v>
      </c>
      <c r="BR41" s="37">
        <v>2.8</v>
      </c>
      <c r="BS41" s="37">
        <v>1.5</v>
      </c>
      <c r="BT41" s="37"/>
      <c r="BU41" s="37"/>
    </row>
    <row r="42" spans="1:73" ht="15">
      <c r="A42" s="31" t="s">
        <v>197</v>
      </c>
      <c r="B42" s="37">
        <f t="shared" si="1"/>
        <v>15.756</v>
      </c>
      <c r="H42" s="37">
        <v>9.3000000000000007</v>
      </c>
      <c r="M42" s="37">
        <v>5</v>
      </c>
      <c r="BA42" s="37">
        <v>0.82799999999999996</v>
      </c>
      <c r="BE42" s="37">
        <v>0.628</v>
      </c>
      <c r="BF42" s="37"/>
      <c r="BG42" s="37"/>
      <c r="BH42" s="37"/>
      <c r="BI42" s="37"/>
      <c r="BJ42" s="37"/>
      <c r="BK42" s="37"/>
      <c r="BL42" s="37"/>
      <c r="BM42" s="37"/>
      <c r="BN42" s="37"/>
      <c r="BO42" s="37"/>
      <c r="BR42" s="37"/>
      <c r="BS42" s="37"/>
      <c r="BT42" s="37"/>
      <c r="BU42" s="37"/>
    </row>
    <row r="43" spans="1:73" ht="15">
      <c r="A43" s="31" t="s">
        <v>198</v>
      </c>
      <c r="B43" s="37">
        <f t="shared" si="1"/>
        <v>7.2719999999999994</v>
      </c>
      <c r="M43" s="37">
        <v>0.61299999999999999</v>
      </c>
      <c r="AD43" s="37">
        <v>0.159</v>
      </c>
      <c r="AY43" s="37">
        <v>2.4</v>
      </c>
      <c r="AZ43" s="37"/>
      <c r="BA43" s="37"/>
      <c r="BB43" s="37"/>
      <c r="BC43" s="37"/>
      <c r="BD43" s="37"/>
      <c r="BE43" s="37"/>
      <c r="BF43" s="37"/>
      <c r="BG43" s="37"/>
      <c r="BH43" s="37"/>
      <c r="BI43" s="37"/>
      <c r="BJ43" s="37"/>
      <c r="BK43" s="37"/>
      <c r="BL43" s="37"/>
      <c r="BM43" s="37"/>
      <c r="BN43" s="37"/>
      <c r="BO43" s="37"/>
      <c r="BP43" s="37"/>
      <c r="BQ43" s="37"/>
      <c r="BR43" s="37"/>
      <c r="BS43" s="37"/>
      <c r="BT43" s="37"/>
      <c r="BU43" s="37">
        <v>4.0999999999999996</v>
      </c>
    </row>
    <row r="44" spans="1:73" ht="15">
      <c r="A44" s="31" t="s">
        <v>199</v>
      </c>
      <c r="B44" s="37">
        <f t="shared" si="1"/>
        <v>122.417</v>
      </c>
      <c r="M44" s="37">
        <v>0</v>
      </c>
      <c r="Y44" s="37">
        <v>121.7</v>
      </c>
      <c r="BA44" s="37">
        <v>0.71699999999999997</v>
      </c>
    </row>
    <row r="45" spans="1:73" ht="15">
      <c r="A45" s="31" t="s">
        <v>200</v>
      </c>
      <c r="B45" s="37">
        <f t="shared" si="1"/>
        <v>1.256</v>
      </c>
      <c r="M45" s="37">
        <v>0.82</v>
      </c>
      <c r="BB45" s="37">
        <v>0.436</v>
      </c>
      <c r="BC45" s="37"/>
      <c r="BD45" s="37"/>
      <c r="BE45" s="37"/>
      <c r="BF45" s="37"/>
      <c r="BG45" s="37"/>
      <c r="BH45" s="37"/>
      <c r="BI45" s="37"/>
      <c r="BJ45" s="37"/>
      <c r="BK45" s="37"/>
      <c r="BL45" s="37"/>
      <c r="BM45" s="37"/>
      <c r="BN45" s="37"/>
      <c r="BO45" s="37"/>
      <c r="BP45" s="37"/>
      <c r="BQ45" s="37"/>
      <c r="BR45" s="37"/>
      <c r="BS45" s="37"/>
      <c r="BT45" s="37"/>
      <c r="BU45" s="37"/>
    </row>
    <row r="46" spans="1:73" ht="15">
      <c r="A46" s="31" t="s">
        <v>201</v>
      </c>
      <c r="B46" s="37">
        <f t="shared" si="1"/>
        <v>0.27900000000000003</v>
      </c>
      <c r="M46" s="37">
        <v>0.27900000000000003</v>
      </c>
    </row>
    <row r="47" spans="1:73" ht="15">
      <c r="A47" s="31" t="s">
        <v>202</v>
      </c>
      <c r="B47" s="37">
        <f t="shared" si="1"/>
        <v>1.5</v>
      </c>
      <c r="M47" s="37">
        <v>1.5</v>
      </c>
    </row>
    <row r="48" spans="1:73" ht="15">
      <c r="A48" s="31" t="s">
        <v>203</v>
      </c>
      <c r="B48" s="37">
        <f t="shared" si="1"/>
        <v>5.0369999999999999</v>
      </c>
      <c r="M48" s="37">
        <v>2</v>
      </c>
      <c r="AR48" s="37">
        <v>0.23699999999999999</v>
      </c>
      <c r="AS48" s="37">
        <v>2.8</v>
      </c>
      <c r="AT48" s="37"/>
      <c r="AU48" s="37"/>
      <c r="AV48" s="37"/>
      <c r="AW48" s="37"/>
      <c r="AX48" s="37"/>
      <c r="AY48" s="37"/>
      <c r="AZ48" s="37"/>
      <c r="BA48" s="37"/>
      <c r="BB48" s="37"/>
      <c r="BC48" s="37"/>
      <c r="BD48" s="37"/>
      <c r="BE48" s="37"/>
      <c r="BF48" s="37"/>
      <c r="BG48" s="37"/>
      <c r="BH48" s="37"/>
      <c r="BI48" s="37"/>
      <c r="BJ48" s="37"/>
      <c r="BK48" s="37"/>
      <c r="BL48" s="37"/>
      <c r="BM48" s="37"/>
      <c r="BN48" s="37"/>
      <c r="BO48" s="37"/>
      <c r="BP48" s="37"/>
      <c r="BQ48" s="37"/>
      <c r="BR48" s="37"/>
      <c r="BS48" s="37"/>
      <c r="BT48" s="37"/>
      <c r="BU48" s="37"/>
    </row>
    <row r="49" spans="1:73" ht="15">
      <c r="A49" s="31" t="s">
        <v>204</v>
      </c>
      <c r="B49" s="37">
        <f t="shared" si="1"/>
        <v>4</v>
      </c>
      <c r="H49" s="37">
        <v>2.2999999999999998</v>
      </c>
      <c r="M49" s="37">
        <v>1.7</v>
      </c>
    </row>
    <row r="50" spans="1:73" ht="15">
      <c r="A50" s="31" t="s">
        <v>205</v>
      </c>
      <c r="B50" s="37">
        <f t="shared" si="1"/>
        <v>0.22800000000000001</v>
      </c>
      <c r="M50" s="37">
        <v>0.22800000000000001</v>
      </c>
    </row>
    <row r="51" spans="1:73" ht="15">
      <c r="A51" s="31" t="s">
        <v>206</v>
      </c>
      <c r="B51" s="37">
        <f t="shared" si="1"/>
        <v>4.0839999999999996</v>
      </c>
      <c r="M51" s="37">
        <v>3.3</v>
      </c>
      <c r="BA51" s="37">
        <v>0.61599999999999999</v>
      </c>
      <c r="BC51" s="37">
        <v>0.16800000000000001</v>
      </c>
    </row>
    <row r="52" spans="1:73" ht="15">
      <c r="A52" s="31" t="s">
        <v>207</v>
      </c>
      <c r="B52" s="37">
        <f t="shared" si="1"/>
        <v>104.5</v>
      </c>
      <c r="M52" s="37">
        <v>3.2</v>
      </c>
      <c r="S52" s="37">
        <v>74.099999999999994</v>
      </c>
      <c r="AX52" s="37">
        <v>26.1</v>
      </c>
      <c r="AY52" s="37"/>
      <c r="AZ52" s="37"/>
      <c r="BA52" s="37">
        <v>1.1000000000000001</v>
      </c>
      <c r="BB52" s="37"/>
      <c r="BC52" s="37"/>
      <c r="BD52" s="37"/>
      <c r="BE52" s="37"/>
      <c r="BF52" s="37"/>
      <c r="BG52" s="37"/>
      <c r="BH52" s="37"/>
      <c r="BI52" s="37"/>
      <c r="BJ52" s="37"/>
      <c r="BK52" s="37"/>
      <c r="BL52" s="37"/>
      <c r="BM52" s="37"/>
      <c r="BN52" s="37"/>
      <c r="BO52" s="37"/>
      <c r="BP52" s="37"/>
      <c r="BQ52" s="37"/>
      <c r="BR52" s="37"/>
      <c r="BS52" s="37"/>
      <c r="BT52" s="37"/>
      <c r="BU52" s="37"/>
    </row>
    <row r="53" spans="1:73" ht="15">
      <c r="A53" s="31" t="s">
        <v>208</v>
      </c>
      <c r="B53" s="37">
        <f t="shared" si="1"/>
        <v>1.7919999999999998</v>
      </c>
      <c r="M53" s="37">
        <v>1.4</v>
      </c>
      <c r="BA53" s="37">
        <v>0.39200000000000002</v>
      </c>
    </row>
    <row r="54" spans="1:73" ht="15">
      <c r="A54" s="31" t="s">
        <v>209</v>
      </c>
      <c r="B54" s="37">
        <f t="shared" si="1"/>
        <v>45.329299999999996</v>
      </c>
      <c r="H54" s="37">
        <v>39</v>
      </c>
      <c r="M54" s="37">
        <v>0.98499999999999999</v>
      </c>
      <c r="O54" s="37">
        <v>0.34429999999999999</v>
      </c>
      <c r="AV54" s="37">
        <v>2</v>
      </c>
      <c r="AW54" s="37"/>
      <c r="AX54" s="37"/>
      <c r="AY54" s="37"/>
      <c r="AZ54" s="37"/>
      <c r="BA54" s="37"/>
      <c r="BB54" s="37"/>
      <c r="BC54" s="37"/>
      <c r="BD54" s="37"/>
      <c r="BE54" s="37"/>
      <c r="BF54" s="37"/>
      <c r="BG54" s="37"/>
      <c r="BH54" s="37"/>
      <c r="BI54" s="37"/>
      <c r="BJ54" s="37"/>
      <c r="BK54" s="37"/>
      <c r="BL54" s="37"/>
      <c r="BM54" s="37"/>
      <c r="BN54" s="37"/>
      <c r="BO54" s="37"/>
      <c r="BP54" s="37"/>
      <c r="BQ54" s="37"/>
      <c r="BR54" s="37"/>
      <c r="BS54" s="37"/>
      <c r="BT54" s="37">
        <v>3</v>
      </c>
      <c r="BU54" s="37"/>
    </row>
    <row r="55" spans="1:73" ht="15">
      <c r="A55" s="31" t="s">
        <v>210</v>
      </c>
      <c r="B55" s="37">
        <f t="shared" si="1"/>
        <v>49</v>
      </c>
      <c r="H55" s="37">
        <v>47.1</v>
      </c>
      <c r="M55" s="37">
        <v>1.9</v>
      </c>
    </row>
    <row r="56" spans="1:73" ht="15">
      <c r="A56" s="31" t="s">
        <v>211</v>
      </c>
      <c r="B56" s="37">
        <f t="shared" si="1"/>
        <v>0.46100000000000002</v>
      </c>
      <c r="M56" s="37">
        <v>0.46100000000000002</v>
      </c>
    </row>
    <row r="57" spans="1:73" ht="15">
      <c r="A57" s="31" t="s">
        <v>212</v>
      </c>
      <c r="B57" s="37">
        <f t="shared" si="1"/>
        <v>189.69700000000003</v>
      </c>
      <c r="M57" s="37">
        <v>2.2000000000000002</v>
      </c>
      <c r="T57" s="37"/>
      <c r="U57" s="37"/>
      <c r="V57" s="37"/>
      <c r="W57" s="37">
        <v>88.6</v>
      </c>
      <c r="AE57" s="37">
        <v>98</v>
      </c>
      <c r="BA57" s="37">
        <v>0.40500000000000003</v>
      </c>
      <c r="BB57" s="37">
        <v>0.40100000000000002</v>
      </c>
      <c r="BC57" s="37">
        <v>9.0999999999999998E-2</v>
      </c>
      <c r="BD57" s="37"/>
      <c r="BE57" s="37"/>
      <c r="BF57" s="37"/>
      <c r="BG57" s="37"/>
      <c r="BH57" s="37"/>
      <c r="BI57" s="37"/>
      <c r="BJ57" s="37"/>
      <c r="BK57" s="37"/>
      <c r="BL57" s="37"/>
      <c r="BM57" s="37"/>
      <c r="BN57" s="37"/>
      <c r="BO57" s="37"/>
      <c r="BP57" s="37"/>
      <c r="BQ57" s="37"/>
      <c r="BR57" s="37"/>
      <c r="BS57" s="37"/>
      <c r="BT57" s="37"/>
      <c r="BU57" s="37"/>
    </row>
    <row r="58" spans="1:73" ht="15">
      <c r="A58" s="31" t="s">
        <v>213</v>
      </c>
      <c r="B58" s="37">
        <f t="shared" si="1"/>
        <v>1.6</v>
      </c>
      <c r="D58" s="37">
        <v>1.6</v>
      </c>
      <c r="M58" s="37">
        <v>0</v>
      </c>
    </row>
    <row r="59" spans="1:73" ht="15">
      <c r="A59" s="31" t="s">
        <v>214</v>
      </c>
      <c r="B59" s="37">
        <f t="shared" si="1"/>
        <v>5.3999999999999995</v>
      </c>
      <c r="M59" s="37">
        <v>2.4</v>
      </c>
      <c r="AR59" s="37">
        <v>1.7</v>
      </c>
      <c r="AS59" s="37">
        <v>1.3</v>
      </c>
      <c r="AT59" s="37"/>
      <c r="AU59" s="37"/>
      <c r="AV59" s="37"/>
      <c r="AW59" s="37"/>
      <c r="AX59" s="37"/>
      <c r="AY59" s="37"/>
      <c r="AZ59" s="37"/>
      <c r="BA59" s="37"/>
      <c r="BB59" s="37"/>
      <c r="BC59" s="37"/>
      <c r="BD59" s="37"/>
      <c r="BE59" s="37"/>
      <c r="BF59" s="37"/>
      <c r="BG59" s="37"/>
      <c r="BH59" s="37"/>
      <c r="BI59" s="37"/>
      <c r="BJ59" s="37"/>
      <c r="BK59" s="37"/>
      <c r="BL59" s="37"/>
      <c r="BM59" s="37"/>
      <c r="BN59" s="37"/>
      <c r="BO59" s="37"/>
      <c r="BP59" s="37"/>
      <c r="BQ59" s="37"/>
      <c r="BR59" s="37"/>
      <c r="BS59" s="37"/>
      <c r="BT59" s="37"/>
      <c r="BU59" s="37"/>
    </row>
    <row r="60" spans="1:73" ht="15">
      <c r="A60" s="31" t="s">
        <v>215</v>
      </c>
      <c r="B60" s="37">
        <f t="shared" si="1"/>
        <v>338.39299999999997</v>
      </c>
      <c r="M60" s="37">
        <v>7</v>
      </c>
      <c r="N60" s="37">
        <v>179.6</v>
      </c>
      <c r="AB60" s="37">
        <v>0.1</v>
      </c>
      <c r="AG60" s="37">
        <v>49.4</v>
      </c>
      <c r="BA60" s="37">
        <v>30.3</v>
      </c>
      <c r="BB60" s="37">
        <v>0.79300000000000004</v>
      </c>
      <c r="BC60" s="37">
        <v>70</v>
      </c>
      <c r="BD60" s="37"/>
      <c r="BE60" s="37">
        <v>1.2</v>
      </c>
      <c r="BF60" s="37"/>
      <c r="BG60" s="37"/>
      <c r="BH60" s="37"/>
      <c r="BI60" s="37"/>
      <c r="BJ60" s="37"/>
      <c r="BK60" s="37"/>
      <c r="BL60" s="37"/>
      <c r="BM60" s="37"/>
      <c r="BN60" s="37"/>
      <c r="BO60" s="37"/>
      <c r="BP60" s="37"/>
      <c r="BQ60" s="37"/>
      <c r="BR60" s="37"/>
      <c r="BS60" s="37"/>
      <c r="BT60" s="37"/>
      <c r="BU60" s="37"/>
    </row>
    <row r="61" spans="1:73" ht="15">
      <c r="A61" s="31" t="s">
        <v>216</v>
      </c>
      <c r="B61" s="37">
        <f t="shared" si="1"/>
        <v>1439.875</v>
      </c>
      <c r="M61" s="37">
        <v>735.6</v>
      </c>
      <c r="R61" s="37">
        <v>0.63700000000000001</v>
      </c>
      <c r="S61" s="37">
        <v>0.56999999999999995</v>
      </c>
      <c r="X61" s="37">
        <v>112.8</v>
      </c>
      <c r="AA61" s="37">
        <v>24.7</v>
      </c>
      <c r="AB61" s="37">
        <v>29.9</v>
      </c>
      <c r="AC61" s="37">
        <v>44.5</v>
      </c>
      <c r="AG61" s="37">
        <v>0.81</v>
      </c>
      <c r="AI61" s="37">
        <v>0.34</v>
      </c>
      <c r="AJ61" s="37">
        <v>0.112</v>
      </c>
      <c r="AK61" s="37">
        <v>0.1</v>
      </c>
      <c r="AL61" s="37"/>
      <c r="AM61" s="37"/>
      <c r="AN61" s="37"/>
      <c r="AO61" s="37"/>
      <c r="AP61" s="37"/>
      <c r="AQ61" s="37"/>
      <c r="AR61" s="37"/>
      <c r="AS61" s="37"/>
      <c r="AT61" s="37"/>
      <c r="AU61" s="37"/>
      <c r="AV61" s="37"/>
      <c r="AW61" s="37"/>
      <c r="AX61" s="37">
        <v>0.156</v>
      </c>
      <c r="AY61" s="37"/>
      <c r="AZ61" s="37"/>
      <c r="BA61" s="37">
        <v>113.6</v>
      </c>
      <c r="BB61" s="37">
        <v>137.4</v>
      </c>
      <c r="BC61" s="37">
        <v>0.39</v>
      </c>
      <c r="BD61" s="37"/>
      <c r="BE61" s="37">
        <v>238</v>
      </c>
      <c r="BF61" s="37">
        <v>0.26</v>
      </c>
      <c r="BG61" s="37"/>
      <c r="BH61" s="37"/>
      <c r="BI61" s="37"/>
      <c r="BJ61" s="37"/>
      <c r="BK61" s="37"/>
      <c r="BL61" s="37"/>
      <c r="BM61" s="37"/>
      <c r="BN61" s="37"/>
      <c r="BO61" s="37"/>
      <c r="BP61" s="37"/>
      <c r="BQ61" s="37"/>
      <c r="BR61" s="37"/>
      <c r="BS61" s="37"/>
      <c r="BT61" s="37"/>
      <c r="BU61" s="37"/>
    </row>
    <row r="62" spans="1:73" ht="15">
      <c r="A62" s="31" t="s">
        <v>217</v>
      </c>
      <c r="B62" s="37">
        <f t="shared" si="1"/>
        <v>33.4</v>
      </c>
      <c r="H62" s="37">
        <v>33.4</v>
      </c>
      <c r="M62" s="37">
        <v>0</v>
      </c>
    </row>
    <row r="63" spans="1:73" ht="15">
      <c r="A63" s="31" t="s">
        <v>218</v>
      </c>
      <c r="B63" s="37">
        <f t="shared" si="1"/>
        <v>2.1999999999999999E-2</v>
      </c>
      <c r="M63" s="37">
        <v>2.1999999999999999E-2</v>
      </c>
    </row>
    <row r="64" spans="1:73" ht="15">
      <c r="A64" t="s">
        <v>263</v>
      </c>
      <c r="B64" s="37">
        <f t="shared" ref="B64:L64" si="2">B2-SUM(B3:B63)</f>
        <v>185.89570000000276</v>
      </c>
      <c r="C64" s="37">
        <f t="shared" si="2"/>
        <v>0.40000000000000036</v>
      </c>
      <c r="D64" s="37">
        <f t="shared" si="2"/>
        <v>3.9999999999999147E-2</v>
      </c>
      <c r="E64" s="37">
        <f t="shared" si="2"/>
        <v>0.33500000000000085</v>
      </c>
      <c r="F64" s="37">
        <f t="shared" si="2"/>
        <v>0.30000000000001137</v>
      </c>
      <c r="G64" s="37">
        <f t="shared" si="2"/>
        <v>0</v>
      </c>
      <c r="H64" s="37">
        <f t="shared" si="2"/>
        <v>3.4260000000000446</v>
      </c>
      <c r="I64" s="37">
        <f t="shared" si="2"/>
        <v>9.9999999999994316E-2</v>
      </c>
      <c r="J64" s="37">
        <f t="shared" si="2"/>
        <v>9.9999999999999645E-2</v>
      </c>
      <c r="K64" s="37">
        <f t="shared" si="2"/>
        <v>0.40000000000000213</v>
      </c>
      <c r="L64" s="37">
        <f t="shared" si="2"/>
        <v>9.9999999999999645E-2</v>
      </c>
      <c r="M64" s="37">
        <v>100.976</v>
      </c>
      <c r="N64" s="37">
        <f t="shared" ref="N64:AS64" si="3">N2-SUM(N3:N63)</f>
        <v>7.5999999999999943</v>
      </c>
      <c r="O64" s="37">
        <f t="shared" si="3"/>
        <v>1.155699999999996</v>
      </c>
      <c r="P64" s="37">
        <f t="shared" si="3"/>
        <v>4.9000000000000057</v>
      </c>
      <c r="Q64" s="37">
        <f t="shared" si="3"/>
        <v>0.59999999999999432</v>
      </c>
      <c r="R64" s="37">
        <f t="shared" si="3"/>
        <v>0.76300000000000523</v>
      </c>
      <c r="S64" s="37">
        <f t="shared" si="3"/>
        <v>2.5500000000000114</v>
      </c>
      <c r="T64" s="37">
        <f t="shared" si="3"/>
        <v>0.5</v>
      </c>
      <c r="U64" s="37">
        <f t="shared" si="3"/>
        <v>0.59999999999999787</v>
      </c>
      <c r="V64" s="37">
        <f t="shared" si="3"/>
        <v>0.19999999999999929</v>
      </c>
      <c r="W64" s="37">
        <f t="shared" si="3"/>
        <v>1.4650000000000034</v>
      </c>
      <c r="X64" s="37">
        <f t="shared" si="3"/>
        <v>7.7000000000000028</v>
      </c>
      <c r="Y64" s="37">
        <f t="shared" si="3"/>
        <v>1.6640000000000015</v>
      </c>
      <c r="Z64" s="37">
        <f t="shared" si="3"/>
        <v>0.57999999999999829</v>
      </c>
      <c r="AA64" s="37">
        <f t="shared" si="3"/>
        <v>0.59799999999999898</v>
      </c>
      <c r="AB64" s="37">
        <f t="shared" si="3"/>
        <v>0.76000000000000156</v>
      </c>
      <c r="AC64" s="37">
        <f t="shared" si="3"/>
        <v>1.8999999999999986</v>
      </c>
      <c r="AD64" s="37">
        <f t="shared" si="3"/>
        <v>0.24099999999998545</v>
      </c>
      <c r="AE64" s="37">
        <f t="shared" si="3"/>
        <v>0.90000000000000568</v>
      </c>
      <c r="AF64" s="37">
        <f t="shared" si="3"/>
        <v>0.29999999999999716</v>
      </c>
      <c r="AG64" s="37">
        <f t="shared" si="3"/>
        <v>0.15999999999999659</v>
      </c>
      <c r="AH64" s="37">
        <f t="shared" si="3"/>
        <v>0.68499999999999872</v>
      </c>
      <c r="AI64" s="37">
        <f t="shared" si="3"/>
        <v>0.26000000000000156</v>
      </c>
      <c r="AJ64" s="37">
        <f t="shared" si="3"/>
        <v>8.8000000000000966E-2</v>
      </c>
      <c r="AK64" s="37">
        <f t="shared" si="3"/>
        <v>0.20000000000000107</v>
      </c>
      <c r="AL64" s="37">
        <f t="shared" si="3"/>
        <v>1.4000000000000012E-2</v>
      </c>
      <c r="AM64" s="37">
        <f t="shared" si="3"/>
        <v>1.100000000000001E-2</v>
      </c>
      <c r="AN64" s="37">
        <f t="shared" si="3"/>
        <v>0.10000000000000053</v>
      </c>
      <c r="AO64" s="37">
        <f t="shared" si="3"/>
        <v>2.7999999999999914E-2</v>
      </c>
      <c r="AP64" s="37">
        <f t="shared" si="3"/>
        <v>1.3000000000000012E-2</v>
      </c>
      <c r="AQ64" s="37">
        <f t="shared" si="3"/>
        <v>0.10000000000000009</v>
      </c>
      <c r="AR64" s="37">
        <f t="shared" si="3"/>
        <v>0.66300000000000026</v>
      </c>
      <c r="AS64" s="37">
        <f t="shared" si="3"/>
        <v>0.90000000000000036</v>
      </c>
      <c r="AT64" s="37">
        <f t="shared" ref="AT64:BY64" si="4">AT2-SUM(AT3:AT63)</f>
        <v>0.29999999999999982</v>
      </c>
      <c r="AU64" s="37">
        <f t="shared" si="4"/>
        <v>0.5</v>
      </c>
      <c r="AV64" s="37">
        <f t="shared" si="4"/>
        <v>1.6620000000000008</v>
      </c>
      <c r="AW64" s="37">
        <f t="shared" si="4"/>
        <v>0.10000000000000009</v>
      </c>
      <c r="AX64" s="37">
        <f t="shared" si="4"/>
        <v>0.49899999999999878</v>
      </c>
      <c r="AY64" s="37">
        <f t="shared" si="4"/>
        <v>0.10600000000000032</v>
      </c>
      <c r="AZ64" s="37">
        <f t="shared" si="4"/>
        <v>0.14499999999999957</v>
      </c>
      <c r="BA64" s="37">
        <f t="shared" si="4"/>
        <v>9.1999999999999886</v>
      </c>
      <c r="BB64" s="37">
        <f t="shared" si="4"/>
        <v>12.520999999999987</v>
      </c>
      <c r="BC64" s="37">
        <f t="shared" si="4"/>
        <v>2.1400000000000006</v>
      </c>
      <c r="BD64" s="37">
        <f t="shared" si="4"/>
        <v>1.1099999999999994</v>
      </c>
      <c r="BE64" s="37">
        <f t="shared" si="4"/>
        <v>7.9099999999999966</v>
      </c>
      <c r="BF64" s="37">
        <f t="shared" si="4"/>
        <v>0.33999999999999986</v>
      </c>
      <c r="BG64" s="37">
        <f t="shared" si="4"/>
        <v>1.054000000000002</v>
      </c>
      <c r="BH64" s="37">
        <f t="shared" si="4"/>
        <v>0</v>
      </c>
      <c r="BI64" s="37">
        <f t="shared" si="4"/>
        <v>0.19999999999999574</v>
      </c>
      <c r="BJ64" s="37">
        <f t="shared" si="4"/>
        <v>7.0000000000000284E-2</v>
      </c>
      <c r="BK64" s="37">
        <f t="shared" si="4"/>
        <v>4.3000000000000003E-2</v>
      </c>
      <c r="BL64" s="37">
        <f t="shared" si="4"/>
        <v>0.39999999999999858</v>
      </c>
      <c r="BM64" s="37">
        <f t="shared" si="4"/>
        <v>0</v>
      </c>
      <c r="BN64" s="37">
        <f t="shared" si="4"/>
        <v>0.49999999999999911</v>
      </c>
      <c r="BO64" s="37">
        <f t="shared" si="4"/>
        <v>0.32000000000000028</v>
      </c>
      <c r="BP64" s="37">
        <f t="shared" si="4"/>
        <v>0.10000000000000009</v>
      </c>
      <c r="BQ64" s="37">
        <f t="shared" si="4"/>
        <v>0.20000000000000018</v>
      </c>
      <c r="BR64" s="37">
        <f t="shared" si="4"/>
        <v>0.20000000000000018</v>
      </c>
      <c r="BS64" s="37">
        <f t="shared" si="4"/>
        <v>0.10000000000000009</v>
      </c>
      <c r="BT64" s="37">
        <f t="shared" si="4"/>
        <v>1.7000000000000002</v>
      </c>
      <c r="BU64" s="37">
        <f t="shared" si="4"/>
        <v>0.10000000000000053</v>
      </c>
    </row>
  </sheetData>
  <autoFilter ref="A1:A64" xr:uid="{00000000-0009-0000-0000-000006000000}"/>
  <pageMargins left="0.74791666666666701" right="0.74791666666666701" top="0.98402777777777795" bottom="0.98402777777777795" header="0.511811023622047" footer="0.511811023622047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72"/>
  <sheetViews>
    <sheetView zoomScaleNormal="100" workbookViewId="0"/>
  </sheetViews>
  <sheetFormatPr defaultColWidth="12.625" defaultRowHeight="14.25"/>
  <cols>
    <col min="1" max="1" width="24.5" customWidth="1"/>
    <col min="2" max="2" width="16.875" customWidth="1"/>
    <col min="3" max="4" width="23.75" customWidth="1"/>
    <col min="6" max="6" width="12.625" hidden="1"/>
  </cols>
  <sheetData>
    <row r="1" spans="1:6" ht="29.25">
      <c r="A1" s="48" t="s">
        <v>270</v>
      </c>
      <c r="B1" s="43" t="s">
        <v>225</v>
      </c>
      <c r="C1" s="48" t="s">
        <v>0</v>
      </c>
      <c r="D1" s="48" t="s">
        <v>271</v>
      </c>
      <c r="E1" s="48" t="s">
        <v>272</v>
      </c>
      <c r="F1" s="48" t="s">
        <v>156</v>
      </c>
    </row>
    <row r="2" spans="1:6" ht="15">
      <c r="A2" s="39" t="s">
        <v>96</v>
      </c>
      <c r="B2" s="49">
        <f ca="1">Model!$K$85+Model!$K$86*F2+Model!$K$87*1+Model!$K$88*Model!$G$4+Model!$K$89*E2</f>
        <v>14.244394971595554</v>
      </c>
      <c r="C2" s="39" t="s">
        <v>273</v>
      </c>
      <c r="D2" s="50" t="s">
        <v>274</v>
      </c>
      <c r="E2" s="39">
        <f ca="1">IFERROR(__xludf.dummyfunction("QUERY(db_data!L:M, ""SELECT M WHERE L = '""&amp;A2&amp;""'"",0)"),940)</f>
        <v>940</v>
      </c>
      <c r="F2" s="51">
        <f ca="1">IFERROR(__xludf.dummyfunction("QUERY('Data Marketplace_customer'!EQ:ES, ""SELECT ES WHERE EQ = '""&amp;A2&amp;""'"",0)"),30.3574476376951)</f>
        <v>30.357447637695099</v>
      </c>
    </row>
    <row r="3" spans="1:6" ht="15">
      <c r="A3" s="39" t="s">
        <v>151</v>
      </c>
      <c r="B3" s="49">
        <f ca="1">Model!$K$85+Model!$K$86*F3+Model!$K$87*1+Model!$K$88*Model!$G$4+Model!$K$89*E3</f>
        <v>7.6122977540535679</v>
      </c>
      <c r="C3" s="39" t="s">
        <v>12</v>
      </c>
      <c r="D3" s="52" t="s">
        <v>275</v>
      </c>
      <c r="E3" s="39">
        <f ca="1">IFERROR(__xludf.dummyfunction("QUERY(db_data!L:M, ""SELECT M WHERE L = '""&amp;A3&amp;""'"",0)"),252)</f>
        <v>252</v>
      </c>
      <c r="F3" s="51">
        <f ca="1">IFERROR(__xludf.dummyfunction("QUERY('Data Marketplace_customer'!EQ:ES, ""SELECT ES WHERE EQ = '""&amp;A3&amp;""'"",0)"),30.5351113879045)</f>
        <v>30.5351113879045</v>
      </c>
    </row>
    <row r="4" spans="1:6" ht="15">
      <c r="A4" s="39" t="s">
        <v>92</v>
      </c>
      <c r="B4" s="49">
        <f ca="1">Model!$K$85+Model!$K$86*F4+Model!$K$87*1+Model!$K$88*Model!$G$4+Model!$K$89*E4</f>
        <v>7.0102892481595109</v>
      </c>
      <c r="C4" s="39" t="s">
        <v>273</v>
      </c>
      <c r="D4" s="52" t="s">
        <v>276</v>
      </c>
      <c r="E4" s="39">
        <f ca="1">IFERROR(__xludf.dummyfunction("QUERY(db_data!L:M, ""SELECT M WHERE L = '""&amp;A4&amp;""'"",0)"),233.8)</f>
        <v>233.8</v>
      </c>
      <c r="F4" s="51">
        <f ca="1">IFERROR(__xludf.dummyfunction("QUERY('Data Marketplace_customer'!EQ:ES, ""SELECT ES WHERE EQ = '""&amp;A4&amp;""'"",0)"),29.1031418454524)</f>
        <v>29.103141845452399</v>
      </c>
    </row>
    <row r="5" spans="1:6" ht="15">
      <c r="A5" s="39" t="s">
        <v>114</v>
      </c>
      <c r="B5" s="49">
        <f ca="1">Model!$K$85+Model!$K$86*F5+Model!$K$87*1+Model!$K$88*Model!$G$4+Model!$K$89*E5</f>
        <v>6.9289252156916827</v>
      </c>
      <c r="C5" s="39" t="s">
        <v>12</v>
      </c>
      <c r="D5" s="50" t="s">
        <v>277</v>
      </c>
      <c r="E5" s="39">
        <f ca="1">IFERROR(__xludf.dummyfunction("QUERY(db_data!L:M, ""SELECT M WHERE L = '""&amp;A5&amp;""'"",0)"),194)</f>
        <v>194</v>
      </c>
      <c r="F5" s="51">
        <f ca="1">IFERROR(__xludf.dummyfunction("QUERY('Data Marketplace_customer'!EQ:ES, ""SELECT ES WHERE EQ = '""&amp;A5&amp;""'"",0)"),30.1315448763239)</f>
        <v>30.1315448763239</v>
      </c>
    </row>
    <row r="6" spans="1:6" ht="15">
      <c r="A6" s="39" t="s">
        <v>110</v>
      </c>
      <c r="B6" s="49">
        <f ca="1">Model!$K$85+Model!$K$86*F6+Model!$K$87*1+Model!$K$88*Model!$G$4+Model!$K$89*E6</f>
        <v>6.6837642804613484</v>
      </c>
      <c r="C6" s="39" t="s">
        <v>12</v>
      </c>
      <c r="D6" s="50" t="s">
        <v>278</v>
      </c>
      <c r="E6" s="39">
        <f ca="1">IFERROR(__xludf.dummyfunction("QUERY(db_data!L:M, ""SELECT M WHERE L = '""&amp;A6&amp;""'"",0)"),159)</f>
        <v>159</v>
      </c>
      <c r="F6" s="51">
        <f ca="1">IFERROR(__xludf.dummyfunction("QUERY('Data Marketplace_customer'!EQ:ES, ""SELECT ES WHERE EQ = '""&amp;A6&amp;""'"",0)"),30.4512046479631)</f>
        <v>30.451204647963099</v>
      </c>
    </row>
    <row r="7" spans="1:6" ht="15">
      <c r="A7" s="39" t="s">
        <v>89</v>
      </c>
      <c r="B7" s="49">
        <f ca="1">Model!$K$85+Model!$K$86*F7+Model!$K$87*1+Model!$K$88*Model!$G$4+Model!$K$89*E7</f>
        <v>6.4660802004646207</v>
      </c>
      <c r="C7" s="39" t="s">
        <v>273</v>
      </c>
      <c r="D7" s="52" t="s">
        <v>279</v>
      </c>
      <c r="E7" s="39">
        <f ca="1">IFERROR(__xludf.dummyfunction("QUERY(db_data!L:M, ""SELECT M WHERE L = '""&amp;A7&amp;""'"",0)"),187.4)</f>
        <v>187.4</v>
      </c>
      <c r="F7" s="51">
        <f ca="1">IFERROR(__xludf.dummyfunction("QUERY('Data Marketplace_customer'!EQ:ES, ""SELECT ES WHERE EQ = '""&amp;A7&amp;""'"",0)"),28.7886714943619)</f>
        <v>28.7886714943619</v>
      </c>
    </row>
    <row r="8" spans="1:6" ht="15">
      <c r="A8" s="39" t="s">
        <v>143</v>
      </c>
      <c r="B8" s="49">
        <f ca="1">Model!$K$85+Model!$K$86*F8+Model!$K$87*1+Model!$K$88*Model!$G$4+Model!$K$89*E8</f>
        <v>6.4391335800151257</v>
      </c>
      <c r="C8" s="39" t="s">
        <v>280</v>
      </c>
      <c r="D8" s="50" t="s">
        <v>281</v>
      </c>
      <c r="E8" s="39">
        <f ca="1">IFERROR(__xludf.dummyfunction("QUERY(db_data!L:M, ""SELECT M WHERE L = '""&amp;A8&amp;""'"",0)"),222.24)</f>
        <v>222.24</v>
      </c>
      <c r="F8" s="51">
        <f ca="1">IFERROR(__xludf.dummyfunction("QUERY('Data Marketplace_customer'!EQ:ES, ""SELECT ES WHERE EQ = '""&amp;A8&amp;""'"",0)"),27.5577933944268)</f>
        <v>27.557793394426799</v>
      </c>
    </row>
    <row r="9" spans="1:6" ht="15">
      <c r="A9" s="39" t="s">
        <v>95</v>
      </c>
      <c r="B9" s="49">
        <f ca="1">Model!$K$85+Model!$K$86*F9+Model!$K$87*1+Model!$K$88*Model!$G$4+Model!$K$89*E9</f>
        <v>6.4265156953477574</v>
      </c>
      <c r="C9" s="39" t="s">
        <v>273</v>
      </c>
      <c r="D9" s="50" t="s">
        <v>282</v>
      </c>
      <c r="E9" s="39">
        <f ca="1">IFERROR(__xludf.dummyfunction("QUERY(db_data!L:M, ""SELECT M WHERE L = '""&amp;A9&amp;""'"",0)"),187.2)</f>
        <v>187.2</v>
      </c>
      <c r="F9" s="51">
        <f ca="1">IFERROR(__xludf.dummyfunction("QUERY('Data Marketplace_customer'!EQ:ES, ""SELECT ES WHERE EQ = '""&amp;A9&amp;""'"",0)"),28.6619637261586)</f>
        <v>28.6619637261586</v>
      </c>
    </row>
    <row r="10" spans="1:6" ht="15">
      <c r="A10" s="39" t="s">
        <v>146</v>
      </c>
      <c r="B10" s="49">
        <f ca="1">Model!$K$85+Model!$K$86*F10+Model!$K$87*1+Model!$K$88*Model!$G$4+Model!$K$89*E10</f>
        <v>6.331807206565836</v>
      </c>
      <c r="C10" s="39" t="s">
        <v>12</v>
      </c>
      <c r="D10" s="50" t="s">
        <v>283</v>
      </c>
      <c r="E10" s="39">
        <f ca="1">IFERROR(__xludf.dummyfunction("QUERY(db_data!L:M, ""SELECT M WHERE L = '""&amp;A10&amp;""'"",0)"),120.5)</f>
        <v>120.5</v>
      </c>
      <c r="F10" s="51">
        <f ca="1">IFERROR(__xludf.dummyfunction("QUERY('Data Marketplace_customer'!EQ:ES, ""SELECT ES WHERE EQ = '""&amp;A10&amp;""'"",0)"),30.5257124130489)</f>
        <v>30.5257124130489</v>
      </c>
    </row>
    <row r="11" spans="1:6" ht="15">
      <c r="A11" s="39" t="s">
        <v>153</v>
      </c>
      <c r="B11" s="49">
        <f ca="1">Model!$K$85+Model!$K$86*F11+Model!$K$87*1+Model!$K$88*Model!$G$4+Model!$K$89*E11</f>
        <v>5.6186439810728963</v>
      </c>
      <c r="C11" s="39" t="s">
        <v>12</v>
      </c>
      <c r="D11" s="50" t="s">
        <v>284</v>
      </c>
      <c r="E11" s="39">
        <f ca="1">IFERROR(__xludf.dummyfunction("QUERY(db_data!L:M, ""SELECT M WHERE L = '""&amp;A11&amp;""'"",0)"),46.4)</f>
        <v>46.4</v>
      </c>
      <c r="F11" s="51">
        <f ca="1">IFERROR(__xludf.dummyfunction("QUERY('Data Marketplace_customer'!EQ:ES, ""SELECT ES WHERE EQ = '""&amp;A11&amp;""'"",0)"),30.5486760772489)</f>
        <v>30.548676077248899</v>
      </c>
    </row>
    <row r="12" spans="1:6" ht="13.5" customHeight="1">
      <c r="A12" s="39" t="s">
        <v>108</v>
      </c>
      <c r="B12" s="49">
        <f ca="1">Model!$K$85+Model!$K$86*F12+Model!$K$87*1+Model!$K$88*Model!$G$4+Model!$K$89*E12</f>
        <v>5.4714883545639923</v>
      </c>
      <c r="C12" s="39" t="s">
        <v>12</v>
      </c>
      <c r="D12" s="50" t="s">
        <v>285</v>
      </c>
      <c r="E12" s="39">
        <f ca="1">IFERROR(__xludf.dummyfunction("QUERY(db_data!L:M, ""SELECT M WHERE L = '""&amp;A12&amp;""'"",0)"),31.6)</f>
        <v>31.6</v>
      </c>
      <c r="F12" s="51">
        <f ca="1">IFERROR(__xludf.dummyfunction("QUERY('Data Marketplace_customer'!EQ:ES, ""SELECT ES WHERE EQ = '""&amp;A12&amp;""'"",0)"),30.5373809847204)</f>
        <v>30.5373809847204</v>
      </c>
    </row>
    <row r="13" spans="1:6" ht="13.5" customHeight="1">
      <c r="A13" s="39" t="s">
        <v>148</v>
      </c>
      <c r="B13" s="49">
        <f ca="1">Model!$K$85+Model!$K$86*F13+Model!$K$87*1+Model!$K$88*Model!$G$4+Model!$K$89*E13</f>
        <v>5.4460563712424861</v>
      </c>
      <c r="C13" s="39" t="s">
        <v>181</v>
      </c>
      <c r="D13" s="52" t="s">
        <v>286</v>
      </c>
      <c r="E13" s="39">
        <f ca="1">IFERROR(__xludf.dummyfunction("QUERY(db_data!L:M, ""SELECT M WHERE L = '""&amp;A13&amp;""'"",0)"),117.1)</f>
        <v>117.1</v>
      </c>
      <c r="F13" s="51">
        <f ca="1">IFERROR(__xludf.dummyfunction("QUERY('Data Marketplace_customer'!EQ:ES, ""SELECT ES WHERE EQ = '""&amp;A13&amp;""'"",0)"),27.653779975466)</f>
        <v>27.653779975466001</v>
      </c>
    </row>
    <row r="14" spans="1:6" ht="15">
      <c r="A14" s="39" t="s">
        <v>126</v>
      </c>
      <c r="B14" s="49">
        <f ca="1">Model!$K$85+Model!$K$86*F14+Model!$K$87*1+Model!$K$88*Model!$G$4+Model!$K$89*E14</f>
        <v>5.4185482795084505</v>
      </c>
      <c r="C14" s="39" t="s">
        <v>12</v>
      </c>
      <c r="D14" s="50" t="s">
        <v>287</v>
      </c>
      <c r="E14" s="39">
        <f ca="1">IFERROR(__xludf.dummyfunction("QUERY(db_data!L:M, ""SELECT M WHERE L = '""&amp;A14&amp;""'"",0)"),25.4)</f>
        <v>25.4</v>
      </c>
      <c r="F14" s="51">
        <f ca="1">IFERROR(__xludf.dummyfunction("QUERY('Data Marketplace_customer'!EQ:ES, ""SELECT ES WHERE EQ = '""&amp;A14&amp;""'"",0)"),30.5619716135943)</f>
        <v>30.561971613594299</v>
      </c>
    </row>
    <row r="15" spans="1:6" ht="15">
      <c r="A15" s="39" t="s">
        <v>84</v>
      </c>
      <c r="B15" s="49">
        <f ca="1">Model!$K$85+Model!$K$86*F15+Model!$K$87*1+Model!$K$88*Model!$G$4+Model!$K$89*E15</f>
        <v>5.3654362790454755</v>
      </c>
      <c r="C15" s="39" t="s">
        <v>199</v>
      </c>
      <c r="D15" s="50" t="s">
        <v>288</v>
      </c>
      <c r="E15" s="39">
        <f ca="1">IFERROR(__xludf.dummyfunction("QUERY(db_data!L:M, ""SELECT M WHERE L = '""&amp;A15&amp;""'"",0)"),124.2)</f>
        <v>124.2</v>
      </c>
      <c r="F15" s="51">
        <f ca="1">IFERROR(__xludf.dummyfunction("QUERY('Data Marketplace_customer'!EQ:ES, ""SELECT ES WHERE EQ = '""&amp;A15&amp;""'"",0)"),27.1499085966492)</f>
        <v>27.149908596649201</v>
      </c>
    </row>
    <row r="16" spans="1:6" ht="15">
      <c r="A16" s="39" t="s">
        <v>91</v>
      </c>
      <c r="B16" s="49">
        <f ca="1">Model!$K$85+Model!$K$86*F16+Model!$K$87*1+Model!$K$88*Model!$G$4+Model!$K$89*E16</f>
        <v>5.3549354168724586</v>
      </c>
      <c r="C16" s="39" t="s">
        <v>273</v>
      </c>
      <c r="D16" s="50" t="s">
        <v>289</v>
      </c>
      <c r="E16" s="39">
        <f ca="1">IFERROR(__xludf.dummyfunction("QUERY(db_data!L:M, ""SELECT M WHERE L = '""&amp;A16&amp;""'"",0)"),91.5)</f>
        <v>91.5</v>
      </c>
      <c r="F16" s="51">
        <f ca="1">IFERROR(__xludf.dummyfunction("QUERY('Data Marketplace_customer'!EQ:ES, ""SELECT ES WHERE EQ = '""&amp;A16&amp;""'"",0)"),28.1846336521729)</f>
        <v>28.184633652172899</v>
      </c>
    </row>
    <row r="17" spans="1:6" ht="15">
      <c r="A17" s="39" t="s">
        <v>112</v>
      </c>
      <c r="B17" s="49">
        <f ca="1">Model!$K$85+Model!$K$86*F17+Model!$K$87*1+Model!$K$88*Model!$G$4+Model!$K$89*E17</f>
        <v>5.3291399919084732</v>
      </c>
      <c r="C17" s="39" t="s">
        <v>290</v>
      </c>
      <c r="D17" s="50" t="s">
        <v>291</v>
      </c>
      <c r="E17" s="39">
        <f ca="1">IFERROR(__xludf.dummyfunction("QUERY(db_data!L:M, ""SELECT M WHERE L = '""&amp;A17&amp;""'"",0)"),73.3)</f>
        <v>73.3</v>
      </c>
      <c r="F17" s="51">
        <f ca="1">IFERROR(__xludf.dummyfunction("QUERY('Data Marketplace_customer'!EQ:ES, ""SELECT ES WHERE EQ = '""&amp;A17&amp;""'"",0)"),28.6933413043313)</f>
        <v>28.693341304331302</v>
      </c>
    </row>
    <row r="18" spans="1:6" ht="15">
      <c r="A18" s="39" t="s">
        <v>97</v>
      </c>
      <c r="B18" s="49">
        <f ca="1">Model!$K$85+Model!$K$86*F18+Model!$K$87*1+Model!$K$88*Model!$G$4+Model!$K$89*E18</f>
        <v>5.3259849961391197</v>
      </c>
      <c r="C18" s="39" t="s">
        <v>164</v>
      </c>
      <c r="D18" s="50" t="s">
        <v>292</v>
      </c>
      <c r="E18" s="39">
        <f ca="1">IFERROR(__xludf.dummyfunction("QUERY(db_data!L:M, ""SELECT M WHERE L = '""&amp;A18&amp;""'"",0)"),88.4)</f>
        <v>88.4</v>
      </c>
      <c r="F18" s="51">
        <f ca="1">IFERROR(__xludf.dummyfunction("QUERY('Data Marketplace_customer'!EQ:ES, ""SELECT ES WHERE EQ = '""&amp;A18&amp;""'"",0)"),28.1885750723991)</f>
        <v>28.1885750723991</v>
      </c>
    </row>
    <row r="19" spans="1:6" ht="15">
      <c r="A19" s="39" t="s">
        <v>130</v>
      </c>
      <c r="B19" s="49">
        <f ca="1">Model!$K$85+Model!$K$86*F19+Model!$K$87*1+Model!$K$88*Model!$G$4+Model!$K$89*E19</f>
        <v>5.2749983119996049</v>
      </c>
      <c r="C19" s="39" t="s">
        <v>164</v>
      </c>
      <c r="D19" s="50" t="s">
        <v>293</v>
      </c>
      <c r="E19" s="39">
        <f ca="1">IFERROR(__xludf.dummyfunction("QUERY(db_data!L:M, ""SELECT M WHERE L = '""&amp;A19&amp;""'"",0)"),83.2)</f>
        <v>83.2</v>
      </c>
      <c r="F19" s="51">
        <f ca="1">IFERROR(__xludf.dummyfunction("QUERY('Data Marketplace_customer'!EQ:ES, ""SELECT ES WHERE EQ = '""&amp;A19&amp;""'"",0)"),28.1870201731577)</f>
        <v>28.187020173157698</v>
      </c>
    </row>
    <row r="20" spans="1:6" ht="15">
      <c r="A20" s="39" t="s">
        <v>121</v>
      </c>
      <c r="B20" s="49">
        <f ca="1">Model!$K$85+Model!$K$86*F20+Model!$K$87*1+Model!$K$88*Model!$G$4+Model!$K$89*E20</f>
        <v>5.2668057937091444</v>
      </c>
      <c r="C20" s="39" t="s">
        <v>212</v>
      </c>
      <c r="D20" s="50" t="s">
        <v>294</v>
      </c>
      <c r="E20" s="39">
        <f ca="1">IFERROR(__xludf.dummyfunction("QUERY(db_data!L:M, ""SELECT M WHERE L = '""&amp;A20&amp;""'"",0)"),98.9)</f>
        <v>98.9</v>
      </c>
      <c r="F20" s="51">
        <f ca="1">IFERROR(__xludf.dummyfunction("QUERY('Data Marketplace_customer'!EQ:ES, ""SELECT ES WHERE EQ = '""&amp;A20&amp;""'"",0)"),27.6456529273324)</f>
        <v>27.645652927332399</v>
      </c>
    </row>
    <row r="21" spans="1:6" ht="15">
      <c r="A21" s="39" t="s">
        <v>111</v>
      </c>
      <c r="B21" s="49">
        <f ca="1">Model!$K$85+Model!$K$86*F21+Model!$K$87*1+Model!$K$88*Model!$G$4+Model!$K$89*E21</f>
        <v>5.1994274719670068</v>
      </c>
      <c r="C21" s="39" t="s">
        <v>295</v>
      </c>
      <c r="D21" s="52" t="s">
        <v>296</v>
      </c>
      <c r="E21" s="39">
        <f ca="1">IFERROR(__xludf.dummyfunction("QUERY(db_data!L:M, ""SELECT M WHERE L = '""&amp;A21&amp;""'"",0)"),55.3)</f>
        <v>55.3</v>
      </c>
      <c r="F21" s="51">
        <f ca="1">IFERROR(__xludf.dummyfunction("QUERY('Data Marketplace_customer'!EQ:ES, ""SELECT ES WHERE EQ = '""&amp;A21&amp;""'"",0)"),28.8455128026705)</f>
        <v>28.845512802670498</v>
      </c>
    </row>
    <row r="22" spans="1:6" ht="15">
      <c r="A22" s="39" t="s">
        <v>150</v>
      </c>
      <c r="B22" s="49">
        <f ca="1">Model!$K$85+Model!$K$86*F22+Model!$K$87*1+Model!$K$88*Model!$G$4+Model!$K$89*E22</f>
        <v>5.1884390567809167</v>
      </c>
      <c r="C22" s="39" t="s">
        <v>212</v>
      </c>
      <c r="D22" s="50" t="s">
        <v>297</v>
      </c>
      <c r="E22" s="39">
        <f ca="1">IFERROR(__xludf.dummyfunction("QUERY(db_data!L:M, ""SELECT M WHERE L = '""&amp;A22&amp;""'"",0)"),90.5)</f>
        <v>90.5</v>
      </c>
      <c r="F22" s="51">
        <f ca="1">IFERROR(__xludf.dummyfunction("QUERY('Data Marketplace_customer'!EQ:ES, ""SELECT ES WHERE EQ = '""&amp;A22&amp;""'"",0)"),27.6566008764965)</f>
        <v>27.656600876496501</v>
      </c>
    </row>
    <row r="23" spans="1:6" ht="15">
      <c r="A23" s="39" t="s">
        <v>90</v>
      </c>
      <c r="B23" s="49">
        <f ca="1">Model!$K$85+Model!$K$86*F23+Model!$K$87*1+Model!$K$88*Model!$G$4+Model!$K$89*E23</f>
        <v>5.1736906335703168</v>
      </c>
      <c r="C23" s="39" t="s">
        <v>273</v>
      </c>
      <c r="D23" s="50" t="s">
        <v>298</v>
      </c>
      <c r="E23" s="39">
        <f ca="1">IFERROR(__xludf.dummyfunction("QUERY(db_data!L:M, ""SELECT M WHERE L = '""&amp;A23&amp;""'"",0)"),82.6)</f>
        <v>82.6</v>
      </c>
      <c r="F23" s="51">
        <f ca="1">IFERROR(__xludf.dummyfunction("QUERY('Data Marketplace_customer'!EQ:ES, ""SELECT ES WHERE EQ = '""&amp;A23&amp;""'"",0)"),27.8654521119795)</f>
        <v>27.865452111979501</v>
      </c>
    </row>
    <row r="24" spans="1:6" ht="15">
      <c r="A24" s="39" t="s">
        <v>98</v>
      </c>
      <c r="B24" s="49">
        <f ca="1">Model!$K$85+Model!$K$86*F24+Model!$K$87*1+Model!$K$88*Model!$G$4+Model!$K$89*E24</f>
        <v>5.1325520507034978</v>
      </c>
      <c r="C24" s="39" t="s">
        <v>290</v>
      </c>
      <c r="D24" s="50" t="s">
        <v>299</v>
      </c>
      <c r="E24" s="39">
        <f ca="1">IFERROR(__xludf.dummyfunction("QUERY(db_data!L:M, ""SELECT M WHERE L = '""&amp;A24&amp;""'"",0)"),50.8)</f>
        <v>50.8</v>
      </c>
      <c r="F24" s="51">
        <f ca="1">IFERROR(__xludf.dummyfunction("QUERY('Data Marketplace_customer'!EQ:ES, ""SELECT ES WHERE EQ = '""&amp;A24&amp;""'"",0)"),28.7675377061053)</f>
        <v>28.767537706105301</v>
      </c>
    </row>
    <row r="25" spans="1:6" ht="15">
      <c r="A25" s="39" t="s">
        <v>105</v>
      </c>
      <c r="B25" s="49">
        <f ca="1">Model!$K$85+Model!$K$86*F25+Model!$K$87*1+Model!$K$88*Model!$G$4+Model!$K$89*E25</f>
        <v>5.0192714486848402</v>
      </c>
      <c r="C25" s="39" t="s">
        <v>173</v>
      </c>
      <c r="D25" s="50" t="s">
        <v>300</v>
      </c>
      <c r="E25" s="39">
        <f ca="1">IFERROR(__xludf.dummyfunction("QUERY(db_data!L:M, ""SELECT M WHERE L = '""&amp;A25&amp;""'"",0)"),47.7)</f>
        <v>47.7</v>
      </c>
      <c r="F25" s="51">
        <f ca="1">IFERROR(__xludf.dummyfunction("QUERY('Data Marketplace_customer'!EQ:ES, ""SELECT ES WHERE EQ = '""&amp;A25&amp;""'"",0)"),28.4874563141912)</f>
        <v>28.487456314191199</v>
      </c>
    </row>
    <row r="26" spans="1:6" ht="15">
      <c r="A26" s="39" t="s">
        <v>136</v>
      </c>
      <c r="B26" s="49">
        <f ca="1">Model!$K$85+Model!$K$86*F26+Model!$K$87*1+Model!$K$88*Model!$G$4+Model!$K$89*E26</f>
        <v>4.967813198889945</v>
      </c>
      <c r="C26" s="39" t="s">
        <v>295</v>
      </c>
      <c r="D26" s="50" t="s">
        <v>301</v>
      </c>
      <c r="E26" s="39">
        <f ca="1">IFERROR(__xludf.dummyfunction("QUERY(db_data!L:M, ""SELECT M WHERE L = '""&amp;A26&amp;""'"",0)"),31.8)</f>
        <v>31.8</v>
      </c>
      <c r="F26" s="51">
        <f ca="1">IFERROR(__xludf.dummyfunction("QUERY('Data Marketplace_customer'!EQ:ES, ""SELECT ES WHERE EQ = '""&amp;A26&amp;""'"",0)"),28.8344655531116)</f>
        <v>28.834465553111599</v>
      </c>
    </row>
    <row r="27" spans="1:6" ht="15">
      <c r="A27" s="39" t="s">
        <v>88</v>
      </c>
      <c r="B27" s="49">
        <f ca="1">Model!$K$85+Model!$K$86*F27+Model!$K$87*1+Model!$K$88*Model!$G$4+Model!$K$89*E27</f>
        <v>4.9481771426847976</v>
      </c>
      <c r="C27" s="39" t="s">
        <v>273</v>
      </c>
      <c r="D27" s="50" t="s">
        <v>302</v>
      </c>
      <c r="E27" s="39">
        <f ca="1">IFERROR(__xludf.dummyfunction("QUERY(db_data!L:M, ""SELECT M WHERE L = '""&amp;A27&amp;""'"",0)"),48.2)</f>
        <v>48.2</v>
      </c>
      <c r="F27" s="51">
        <f ca="1">IFERROR(__xludf.dummyfunction("QUERY('Data Marketplace_customer'!EQ:ES, ""SELECT ES WHERE EQ = '""&amp;A27&amp;""'"",0)"),28.2316494756196)</f>
        <v>28.231649475619601</v>
      </c>
    </row>
    <row r="28" spans="1:6" ht="15">
      <c r="A28" s="39" t="s">
        <v>141</v>
      </c>
      <c r="B28" s="49">
        <f ca="1">Model!$K$85+Model!$K$86*F28+Model!$K$87*1+Model!$K$88*Model!$G$4+Model!$K$89*E28</f>
        <v>4.931119776670708</v>
      </c>
      <c r="C28" s="39" t="s">
        <v>185</v>
      </c>
      <c r="D28" s="52" t="s">
        <v>303</v>
      </c>
      <c r="E28" s="39">
        <f ca="1">IFERROR(__xludf.dummyfunction("QUERY(db_data!L:M, ""SELECT M WHERE L = '""&amp;A28&amp;""'"",0)"),23.665)</f>
        <v>23.664999999999999</v>
      </c>
      <c r="F28" s="51">
        <f ca="1">IFERROR(__xludf.dummyfunction("QUERY('Data Marketplace_customer'!EQ:ES, ""SELECT ES WHERE EQ = '""&amp;A28&amp;""'"",0)"),28.9770966164142)</f>
        <v>28.977096616414201</v>
      </c>
    </row>
    <row r="29" spans="1:6" ht="15">
      <c r="A29" s="39" t="s">
        <v>132</v>
      </c>
      <c r="B29" s="49">
        <f ca="1">Model!$K$85+Model!$K$86*F29+Model!$K$87*1+Model!$K$88*Model!$G$4+Model!$K$89*E29</f>
        <v>4.9134747966176455</v>
      </c>
      <c r="C29" s="39" t="s">
        <v>304</v>
      </c>
      <c r="D29" s="50" t="s">
        <v>305</v>
      </c>
      <c r="E29" s="39">
        <f ca="1">IFERROR(__xludf.dummyfunction("QUERY(db_data!L:M, ""SELECT M WHERE L = '""&amp;A29&amp;""'"",0)"),60.357)</f>
        <v>60.356999999999999</v>
      </c>
      <c r="F29" s="51">
        <f ca="1">IFERROR(__xludf.dummyfunction("QUERY('Data Marketplace_customer'!EQ:ES, ""SELECT ES WHERE EQ = '""&amp;A29&amp;""'"",0)"),27.7169404936323)</f>
        <v>27.716940493632301</v>
      </c>
    </row>
    <row r="30" spans="1:6" ht="15">
      <c r="A30" s="39" t="s">
        <v>103</v>
      </c>
      <c r="B30" s="49">
        <f ca="1">Model!$K$85+Model!$K$86*F30+Model!$K$87*1+Model!$K$88*Model!$G$4+Model!$K$89*E30</f>
        <v>4.8101229809579467</v>
      </c>
      <c r="C30" s="39" t="s">
        <v>164</v>
      </c>
      <c r="D30" s="50" t="s">
        <v>306</v>
      </c>
      <c r="E30" s="39">
        <f ca="1">IFERROR(__xludf.dummyfunction("QUERY(db_data!L:M, ""SELECT M WHERE L = '""&amp;A30&amp;""'"",0)"),35.3)</f>
        <v>35.299999999999997</v>
      </c>
      <c r="F30" s="51">
        <f ca="1">IFERROR(__xludf.dummyfunction("QUERY('Data Marketplace_customer'!EQ:ES, ""SELECT ES WHERE EQ = '""&amp;A30&amp;""'"",0)"),28.1888313947531)</f>
        <v>28.188831394753102</v>
      </c>
    </row>
    <row r="31" spans="1:6" ht="15">
      <c r="A31" s="39" t="s">
        <v>87</v>
      </c>
      <c r="B31" s="49">
        <f ca="1">Model!$K$85+Model!$K$86*F31+Model!$K$87*1+Model!$K$88*Model!$G$4+Model!$K$89*E31</f>
        <v>4.7508669973181377</v>
      </c>
      <c r="C31" s="39" t="s">
        <v>273</v>
      </c>
      <c r="D31" s="50" t="s">
        <v>307</v>
      </c>
      <c r="E31" s="39">
        <f ca="1">IFERROR(__xludf.dummyfunction("QUERY(db_data!L:M, ""SELECT M WHERE L = '""&amp;A31&amp;""'"",0)"),29.4)</f>
        <v>29.4</v>
      </c>
      <c r="F31" s="51">
        <f ca="1">IFERROR(__xludf.dummyfunction("QUERY('Data Marketplace_customer'!EQ:ES, ""SELECT ES WHERE EQ = '""&amp;A31&amp;""'"",0)"),28.1823327802571)</f>
        <v>28.182332780257099</v>
      </c>
    </row>
    <row r="32" spans="1:6" ht="15">
      <c r="A32" s="39" t="s">
        <v>124</v>
      </c>
      <c r="B32" s="49">
        <f ca="1">Model!$K$85+Model!$K$86*F32+Model!$K$87*1+Model!$K$88*Model!$G$4+Model!$K$89*E32</f>
        <v>4.7106568257408812</v>
      </c>
      <c r="C32" s="39" t="s">
        <v>165</v>
      </c>
      <c r="D32" s="50" t="s">
        <v>308</v>
      </c>
      <c r="E32" s="39">
        <f ca="1">IFERROR(__xludf.dummyfunction("QUERY(db_data!L:M, ""SELECT M WHERE L = '""&amp;A32&amp;""'"",0)"),23.3)</f>
        <v>23.3</v>
      </c>
      <c r="F32" s="51">
        <f ca="1">IFERROR(__xludf.dummyfunction("QUERY('Data Marketplace_customer'!EQ:ES, ""SELECT ES WHERE EQ = '""&amp;A32&amp;""'"",0)"),28.2465250850978)</f>
        <v>28.246525085097801</v>
      </c>
    </row>
    <row r="33" spans="1:6" ht="15">
      <c r="A33" s="39" t="s">
        <v>101</v>
      </c>
      <c r="B33" s="49">
        <f ca="1">Model!$K$85+Model!$K$86*F33+Model!$K$87*1+Model!$K$88*Model!$G$4+Model!$K$89*E33</f>
        <v>4.696178199364029</v>
      </c>
      <c r="C33" s="39" t="s">
        <v>181</v>
      </c>
      <c r="D33" s="52" t="s">
        <v>309</v>
      </c>
      <c r="E33" s="39">
        <f ca="1">IFERROR(__xludf.dummyfunction("QUERY(db_data!L:M, ""SELECT M WHERE L = '""&amp;A33&amp;""'"",0)"),39.9)</f>
        <v>39.9</v>
      </c>
      <c r="F33" s="51">
        <f ca="1">IFERROR(__xludf.dummyfunction("QUERY('Data Marketplace_customer'!EQ:ES, ""SELECT ES WHERE EQ = '""&amp;A33&amp;""'"",0)"),27.6545342515214)</f>
        <v>27.654534251521401</v>
      </c>
    </row>
    <row r="34" spans="1:6" ht="15">
      <c r="A34" s="39" t="s">
        <v>152</v>
      </c>
      <c r="B34" s="49">
        <f ca="1">Model!$K$85+Model!$K$86*F34+Model!$K$87*1+Model!$K$88*Model!$G$4+Model!$K$89*E34</f>
        <v>4.6896053659256562</v>
      </c>
      <c r="C34" s="39" t="s">
        <v>165</v>
      </c>
      <c r="D34" s="50" t="s">
        <v>310</v>
      </c>
      <c r="E34" s="39">
        <f ca="1">IFERROR(__xludf.dummyfunction("QUERY(db_data!L:M, ""SELECT M WHERE L = '""&amp;A34&amp;""'"",0)"),22)</f>
        <v>22</v>
      </c>
      <c r="F34" s="51">
        <f ca="1">IFERROR(__xludf.dummyfunction("QUERY('Data Marketplace_customer'!EQ:ES, ""SELECT ES WHERE EQ = '""&amp;A34&amp;""'"",0)"),28.218165953635)</f>
        <v>28.218165953635001</v>
      </c>
    </row>
    <row r="35" spans="1:6" ht="15">
      <c r="A35" s="39" t="s">
        <v>127</v>
      </c>
      <c r="B35" s="49">
        <f ca="1">Model!$K$85+Model!$K$86*F35+Model!$K$87*1+Model!$K$88*Model!$G$4+Model!$K$89*E35</f>
        <v>4.6695428465532771</v>
      </c>
      <c r="C35" s="39" t="s">
        <v>181</v>
      </c>
      <c r="D35" s="50" t="s">
        <v>311</v>
      </c>
      <c r="E35" s="39">
        <f ca="1">IFERROR(__xludf.dummyfunction("QUERY(db_data!L:M, ""SELECT M WHERE L = '""&amp;A35&amp;""'"",0)"),37.1)</f>
        <v>37.1</v>
      </c>
      <c r="F35" s="51">
        <f ca="1">IFERROR(__xludf.dummyfunction("QUERY('Data Marketplace_customer'!EQ:ES, ""SELECT ES WHERE EQ = '""&amp;A35&amp;""'"",0)"),27.6564554305028)</f>
        <v>27.656455430502799</v>
      </c>
    </row>
    <row r="36" spans="1:6" ht="15">
      <c r="A36" s="39" t="s">
        <v>113</v>
      </c>
      <c r="B36" s="49">
        <f ca="1">Model!$K$85+Model!$K$86*F36+Model!$K$87*1+Model!$K$88*Model!$G$4+Model!$K$89*E36</f>
        <v>4.6377455132115468</v>
      </c>
      <c r="C36" s="39" t="s">
        <v>207</v>
      </c>
      <c r="D36" s="50" t="s">
        <v>312</v>
      </c>
      <c r="E36" s="39">
        <f ca="1">IFERROR(__xludf.dummyfunction("QUERY(db_data!L:M, ""SELECT M WHERE L = '""&amp;A36&amp;""'"",0)"),27.1)</f>
        <v>27.1</v>
      </c>
      <c r="F36" s="51">
        <f ca="1">IFERROR(__xludf.dummyfunction("QUERY('Data Marketplace_customer'!EQ:ES, ""SELECT ES WHERE EQ = '""&amp;A36&amp;""'"",0)"),27.8766076791069)</f>
        <v>27.8766076791069</v>
      </c>
    </row>
    <row r="37" spans="1:6" ht="15">
      <c r="A37" s="39" t="s">
        <v>102</v>
      </c>
      <c r="B37" s="49">
        <f ca="1">Model!$K$85+Model!$K$86*F37+Model!$K$87*1+Model!$K$88*Model!$G$4+Model!$K$89*E37</f>
        <v>4.6248343388720388</v>
      </c>
      <c r="C37" s="39" t="s">
        <v>165</v>
      </c>
      <c r="D37" s="50" t="s">
        <v>313</v>
      </c>
      <c r="E37" s="39">
        <f ca="1">IFERROR(__xludf.dummyfunction("QUERY(db_data!L:M, ""SELECT M WHERE L = '""&amp;A37&amp;""'"",0)"),16.8)</f>
        <v>16.8</v>
      </c>
      <c r="F37" s="51">
        <f ca="1">IFERROR(__xludf.dummyfunction("QUERY('Data Marketplace_customer'!EQ:ES, ""SELECT ES WHERE EQ = '""&amp;A37&amp;""'"",0)"),28.1701855898885)</f>
        <v>28.170185589888501</v>
      </c>
    </row>
    <row r="38" spans="1:6" ht="15">
      <c r="A38" s="39" t="s">
        <v>100</v>
      </c>
      <c r="B38" s="49">
        <f ca="1">Model!$K$85+Model!$K$86*F38+Model!$K$87*1+Model!$K$88*Model!$G$4+Model!$K$89*E38</f>
        <v>4.6242538579346997</v>
      </c>
      <c r="C38" s="39" t="s">
        <v>191</v>
      </c>
      <c r="D38" s="50" t="s">
        <v>314</v>
      </c>
      <c r="E38" s="39">
        <f ca="1">IFERROR(__xludf.dummyfunction("QUERY(db_data!L:M, ""SELECT M WHERE L = '""&amp;A38&amp;""'"",0)"),42.3)</f>
        <v>42.3</v>
      </c>
      <c r="F38" s="51">
        <f ca="1">IFERROR(__xludf.dummyfunction("QUERY('Data Marketplace_customer'!EQ:ES, ""SELECT ES WHERE EQ = '""&amp;A38&amp;""'"",0)"),27.3337552777488)</f>
        <v>27.3337552777488</v>
      </c>
    </row>
    <row r="39" spans="1:6" ht="15">
      <c r="A39" s="39" t="s">
        <v>99</v>
      </c>
      <c r="B39" s="49">
        <f ca="1">Model!$K$85+Model!$K$86*F39+Model!$K$87*1+Model!$K$88*Model!$G$4+Model!$K$89*E39</f>
        <v>4.6177215532522036</v>
      </c>
      <c r="C39" s="39" t="s">
        <v>181</v>
      </c>
      <c r="D39" s="50" t="s">
        <v>315</v>
      </c>
      <c r="E39" s="39">
        <f ca="1">IFERROR(__xludf.dummyfunction("QUERY(db_data!L:M, ""SELECT M WHERE L = '""&amp;A39&amp;""'"",0)"),31.8)</f>
        <v>31.8</v>
      </c>
      <c r="F39" s="51">
        <f ca="1">IFERROR(__xludf.dummyfunction("QUERY('Data Marketplace_customer'!EQ:ES, ""SELECT ES WHERE EQ = '""&amp;A39&amp;""'"",0)"),27.6553620318653)</f>
        <v>27.655362031865302</v>
      </c>
    </row>
    <row r="40" spans="1:6" ht="15">
      <c r="A40" s="39" t="s">
        <v>115</v>
      </c>
      <c r="B40" s="49">
        <f ca="1">Model!$K$85+Model!$K$86*F40+Model!$K$87*1+Model!$K$88*Model!$G$4+Model!$K$89*E40</f>
        <v>4.6064928635123916</v>
      </c>
      <c r="C40" s="39" t="s">
        <v>164</v>
      </c>
      <c r="D40" s="50" t="s">
        <v>316</v>
      </c>
      <c r="E40" s="39">
        <f ca="1">IFERROR(__xludf.dummyfunction("QUERY(db_data!L:M, ""SELECT M WHERE L = '""&amp;A40&amp;""'"",0)"),14.4)</f>
        <v>14.4</v>
      </c>
      <c r="F40" s="51">
        <f ca="1">IFERROR(__xludf.dummyfunction("QUERY('Data Marketplace_customer'!EQ:ES, ""SELECT ES WHERE EQ = '""&amp;A40&amp;""'"",0)"),28.1869506183121)</f>
        <v>28.1869506183121</v>
      </c>
    </row>
    <row r="41" spans="1:6" ht="15">
      <c r="A41" s="39" t="s">
        <v>125</v>
      </c>
      <c r="B41" s="49">
        <f ca="1">Model!$K$85+Model!$K$86*F41+Model!$K$87*1+Model!$K$88*Model!$G$4+Model!$K$89*E41</f>
        <v>4.5687911097059803</v>
      </c>
      <c r="C41" s="39" t="s">
        <v>158</v>
      </c>
      <c r="D41" s="50" t="s">
        <v>317</v>
      </c>
      <c r="E41" s="39">
        <f ca="1">IFERROR(__xludf.dummyfunction("QUERY(db_data!L:M, ""SELECT M WHERE L = '""&amp;A41&amp;""'"",0)"),15.5)</f>
        <v>15.5</v>
      </c>
      <c r="F41" s="51">
        <f ca="1">IFERROR(__xludf.dummyfunction("QUERY('Data Marketplace_customer'!EQ:ES, ""SELECT ES WHERE EQ = '""&amp;A41&amp;""'"",0)"),28.0239746931228)</f>
        <v>28.023974693122799</v>
      </c>
    </row>
    <row r="42" spans="1:6" ht="17.25">
      <c r="A42" s="53" t="s">
        <v>144</v>
      </c>
      <c r="B42" s="49">
        <f ca="1">Model!$K$85+Model!$K$86*F42+Model!$K$87*1+Model!$K$88*Model!$G$4+Model!$K$89*E42</f>
        <v>4.5666267701844463</v>
      </c>
      <c r="C42" s="39" t="s">
        <v>164</v>
      </c>
      <c r="D42" s="50" t="s">
        <v>318</v>
      </c>
      <c r="E42" s="39">
        <f ca="1">IFERROR(__xludf.dummyfunction("QUERY(db_data!L:M, ""SELECT M WHERE L = '""&amp;A42&amp;""'"",0)"),10.2)</f>
        <v>10.199999999999999</v>
      </c>
      <c r="F42" s="51">
        <f ca="1">IFERROR(__xludf.dummyfunction("QUERY('Data Marketplace_customer'!EQ:ES, ""SELECT ES WHERE EQ = '""&amp;A42&amp;""'"",0)"),28.1901251855789)</f>
        <v>28.1901251855789</v>
      </c>
    </row>
    <row r="43" spans="1:6" ht="15">
      <c r="A43" s="39" t="s">
        <v>109</v>
      </c>
      <c r="B43" s="49">
        <f ca="1">Model!$K$85+Model!$K$86*F43+Model!$K$87*1+Model!$K$88*Model!$G$4+Model!$K$89*E43</f>
        <v>4.5637555945634007</v>
      </c>
      <c r="C43" s="39" t="s">
        <v>165</v>
      </c>
      <c r="D43" s="50" t="s">
        <v>319</v>
      </c>
      <c r="E43" s="39">
        <f ca="1">IFERROR(__xludf.dummyfunction("QUERY(db_data!L:M, ""SELECT M WHERE L = '""&amp;A43&amp;""'"",0)"),9.5)</f>
        <v>9.5</v>
      </c>
      <c r="F43" s="51">
        <f ca="1">IFERROR(__xludf.dummyfunction("QUERY('Data Marketplace_customer'!EQ:ES, ""SELECT ES WHERE EQ = '""&amp;A43&amp;""'"",0)"),28.2033622722756)</f>
        <v>28.203362272275601</v>
      </c>
    </row>
    <row r="44" spans="1:6" ht="15">
      <c r="A44" s="39" t="s">
        <v>139</v>
      </c>
      <c r="B44" s="49">
        <f ca="1">Model!$K$85+Model!$K$86*F44+Model!$K$87*1+Model!$K$88*Model!$G$4+Model!$K$89*E44</f>
        <v>4.5524689576219162</v>
      </c>
      <c r="C44" s="39" t="s">
        <v>164</v>
      </c>
      <c r="D44" s="50" t="s">
        <v>320</v>
      </c>
      <c r="E44" s="39">
        <f ca="1">IFERROR(__xludf.dummyfunction("QUERY(db_data!L:M, ""SELECT M WHERE L = '""&amp;A44&amp;""'"",0)"),8.9)</f>
        <v>8.9</v>
      </c>
      <c r="F44" s="51">
        <f ca="1">IFERROR(__xludf.dummyfunction("QUERY('Data Marketplace_customer'!EQ:ES, ""SELECT ES WHERE EQ = '""&amp;A44&amp;""'"",0)"),28.1849837568267)</f>
        <v>28.1849837568267</v>
      </c>
    </row>
    <row r="45" spans="1:6" ht="15">
      <c r="A45" s="39" t="s">
        <v>86</v>
      </c>
      <c r="B45" s="49">
        <f ca="1">Model!$K$85+Model!$K$86*F45+Model!$K$87*1+Model!$K$88*Model!$G$4+Model!$K$89*E45</f>
        <v>4.5021582619397904</v>
      </c>
      <c r="C45" s="39" t="s">
        <v>273</v>
      </c>
      <c r="D45" s="52" t="s">
        <v>321</v>
      </c>
      <c r="E45" s="39">
        <f ca="1">IFERROR(__xludf.dummyfunction("QUERY(db_data!L:M, ""SELECT M WHERE L = '""&amp;A45&amp;""'"",0)"),8.7)</f>
        <v>8.6999999999999993</v>
      </c>
      <c r="F45" s="51">
        <f ca="1">IFERROR(__xludf.dummyfunction("QUERY('Data Marketplace_customer'!EQ:ES, ""SELECT ES WHERE EQ = '""&amp;A45&amp;""'"",0)"),28.0220829766125)</f>
        <v>28.022082976612499</v>
      </c>
    </row>
    <row r="46" spans="1:6" ht="15">
      <c r="A46" s="39" t="s">
        <v>93</v>
      </c>
      <c r="B46" s="49">
        <f ca="1">Model!$K$85+Model!$K$86*F46+Model!$K$87*1+Model!$K$88*Model!$G$4+Model!$K$89*E46</f>
        <v>4.5001588957752645</v>
      </c>
      <c r="C46" s="39" t="s">
        <v>273</v>
      </c>
      <c r="D46" s="50" t="s">
        <v>322</v>
      </c>
      <c r="E46" s="39">
        <f ca="1">IFERROR(__xludf.dummyfunction("QUERY(db_data!L:M, ""SELECT M WHERE L = '""&amp;A46&amp;""'"",0)"),16.4)</f>
        <v>16.399999999999999</v>
      </c>
      <c r="F46" s="51">
        <f ca="1">IFERROR(__xludf.dummyfunction("QUERY('Data Marketplace_customer'!EQ:ES, ""SELECT ES WHERE EQ = '""&amp;A46&amp;""'"",0)"),27.7633703364701)</f>
        <v>27.7633703364701</v>
      </c>
    </row>
    <row r="47" spans="1:6" ht="15">
      <c r="A47" s="39" t="s">
        <v>129</v>
      </c>
      <c r="B47" s="49">
        <f ca="1">Model!$K$85+Model!$K$86*F47+Model!$K$87*1+Model!$K$88*Model!$G$4+Model!$K$89*E47</f>
        <v>4.4447346252859692</v>
      </c>
      <c r="C47" s="39" t="s">
        <v>190</v>
      </c>
      <c r="D47" s="50" t="s">
        <v>323</v>
      </c>
      <c r="E47" s="39">
        <f ca="1">IFERROR(__xludf.dummyfunction("QUERY(db_data!L:M, ""SELECT M WHERE L = '""&amp;A47&amp;""'"",0)"),10.7)</f>
        <v>10.7</v>
      </c>
      <c r="F47" s="51">
        <f ca="1">IFERROR(__xludf.dummyfunction("QUERY('Data Marketplace_customer'!EQ:ES, ""SELECT ES WHERE EQ = '""&amp;A47&amp;""'"",0)"),27.7632319715877)</f>
        <v>27.7632319715877</v>
      </c>
    </row>
    <row r="48" spans="1:6" ht="15">
      <c r="A48" s="39" t="s">
        <v>104</v>
      </c>
      <c r="B48" s="49">
        <f ca="1">Model!$K$85+Model!$K$86*F48+Model!$K$87*1+Model!$K$88*Model!$G$4+Model!$K$89*E48</f>
        <v>4.4445539739578912</v>
      </c>
      <c r="C48" s="39" t="s">
        <v>158</v>
      </c>
      <c r="D48" s="50" t="s">
        <v>324</v>
      </c>
      <c r="E48" s="39">
        <f ca="1">IFERROR(__xludf.dummyfunction("QUERY(db_data!L:M, ""SELECT M WHERE L = '""&amp;A48&amp;""'"",0)"),2.9)</f>
        <v>2.9</v>
      </c>
      <c r="F48" s="51">
        <f ca="1">IFERROR(__xludf.dummyfunction("QUERY('Data Marketplace_customer'!EQ:ES, ""SELECT ES WHERE EQ = '""&amp;A48&amp;""'"",0)"),28.017874796833)</f>
        <v>28.017874796832999</v>
      </c>
    </row>
    <row r="49" spans="1:6" ht="15">
      <c r="A49" s="39" t="s">
        <v>134</v>
      </c>
      <c r="B49" s="49">
        <f ca="1">Model!$K$85+Model!$K$86*F49+Model!$K$87*1+Model!$K$88*Model!$G$4+Model!$K$89*E49</f>
        <v>4.4435090039473089</v>
      </c>
      <c r="C49" s="39" t="s">
        <v>165</v>
      </c>
      <c r="D49" s="50" t="s">
        <v>325</v>
      </c>
      <c r="E49" s="39">
        <f ca="1">IFERROR(__xludf.dummyfunction("QUERY(db_data!L:M, ""SELECT M WHERE L = '""&amp;A49&amp;""'"",0)"),0.558)</f>
        <v>0.55800000000000005</v>
      </c>
      <c r="F49" s="51">
        <f ca="1">IFERROR(__xludf.dummyfunction("QUERY('Data Marketplace_customer'!EQ:ES, ""SELECT ES WHERE EQ = '""&amp;A49&amp;""'"",0)"),28.0909961791029)</f>
        <v>28.090996179102898</v>
      </c>
    </row>
    <row r="50" spans="1:6" ht="15">
      <c r="A50" s="39" t="s">
        <v>120</v>
      </c>
      <c r="B50" s="49">
        <f ca="1">Model!$K$85+Model!$K$86*F50+Model!$K$87*1+Model!$K$88*Model!$G$4+Model!$K$89*E50</f>
        <v>4.4243663554599619</v>
      </c>
      <c r="C50" s="39" t="s">
        <v>158</v>
      </c>
      <c r="D50" s="50" t="s">
        <v>326</v>
      </c>
      <c r="E50" s="39">
        <f ca="1">IFERROR(__xludf.dummyfunction("QUERY(db_data!L:M, ""SELECT M WHERE L = '""&amp;A50&amp;""'"",0)"),0.819)</f>
        <v>0.81899999999999995</v>
      </c>
      <c r="F50" s="51">
        <f ca="1">IFERROR(__xludf.dummyfunction("QUERY('Data Marketplace_customer'!EQ:ES, ""SELECT ES WHERE EQ = '""&amp;A50&amp;""'"",0)"),28.0179829203875)</f>
        <v>28.017982920387499</v>
      </c>
    </row>
    <row r="51" spans="1:6" ht="15">
      <c r="A51" s="39" t="s">
        <v>133</v>
      </c>
      <c r="B51" s="49">
        <f ca="1">Model!$K$85+Model!$K$86*F51+Model!$K$87*1+Model!$K$88*Model!$G$4+Model!$K$89*E51</f>
        <v>4.4243209404966812</v>
      </c>
      <c r="C51" s="39" t="s">
        <v>158</v>
      </c>
      <c r="D51" s="52" t="s">
        <v>327</v>
      </c>
      <c r="E51" s="39">
        <f ca="1">IFERROR(__xludf.dummyfunction("QUERY(db_data!L:M, ""SELECT M WHERE L = '""&amp;A51&amp;""'"",0)"),0.628)</f>
        <v>0.628</v>
      </c>
      <c r="F51" s="51">
        <f ca="1">IFERROR(__xludf.dummyfunction("QUERY('Data Marketplace_customer'!EQ:ES, ""SELECT ES WHERE EQ = '""&amp;A51&amp;""'"",0)"),28.0240803467846)</f>
        <v>28.024080346784601</v>
      </c>
    </row>
    <row r="52" spans="1:6" ht="15">
      <c r="A52" s="39" t="s">
        <v>118</v>
      </c>
      <c r="B52" s="49">
        <f ca="1">Model!$K$85+Model!$K$86*F52+Model!$K$87*1+Model!$K$88*Model!$G$4+Model!$K$89*E52</f>
        <v>4.4187923286766413</v>
      </c>
      <c r="C52" s="39" t="s">
        <v>158</v>
      </c>
      <c r="D52" s="52" t="s">
        <v>328</v>
      </c>
      <c r="E52" s="39">
        <f ca="1">IFERROR(__xludf.dummyfunction("QUERY(db_data!L:M, ""SELECT M WHERE L = '""&amp;A52&amp;""'"",0)"),0.319)</f>
        <v>0.31900000000000001</v>
      </c>
      <c r="F52" s="51">
        <f ca="1">IFERROR(__xludf.dummyfunction("QUERY('Data Marketplace_customer'!EQ:ES, ""SELECT ES WHERE EQ = '""&amp;A52&amp;""'"",0)"),28.0155719400555)</f>
        <v>28.015571940055501</v>
      </c>
    </row>
    <row r="53" spans="1:6" ht="15">
      <c r="A53" s="54" t="s">
        <v>131</v>
      </c>
      <c r="B53" s="49">
        <f ca="1">Model!$K$85+Model!$K$86*F53+Model!$K$87*1+Model!$K$88*Model!$G$4+Model!$K$89*E53</f>
        <v>4.3845507616700061</v>
      </c>
      <c r="C53" s="39" t="s">
        <v>191</v>
      </c>
      <c r="D53" s="52" t="s">
        <v>329</v>
      </c>
      <c r="E53" s="39">
        <f ca="1">IFERROR(__xludf.dummyfunction("QUERY(db_data!L:M, ""SELECT M WHERE L = '""&amp;A53&amp;""'"",0)"),15.6)</f>
        <v>15.6</v>
      </c>
      <c r="F53" s="51">
        <f ca="1">IFERROR(__xludf.dummyfunction("QUERY('Data Marketplace_customer'!EQ:ES, ""SELECT ES WHERE EQ = '""&amp;A53&amp;""'"",0)"),27.400183454591)</f>
        <v>27.400183454591001</v>
      </c>
    </row>
    <row r="54" spans="1:6" ht="15">
      <c r="A54" s="39" t="s">
        <v>107</v>
      </c>
      <c r="B54" s="49">
        <f ca="1">Model!$K$85+Model!$K$86*F54+Model!$K$87*1+Model!$K$88*Model!$G$4+Model!$K$89*E54</f>
        <v>4.3210734965064921</v>
      </c>
      <c r="C54" s="39" t="s">
        <v>191</v>
      </c>
      <c r="D54" s="50" t="s">
        <v>330</v>
      </c>
      <c r="E54" s="39">
        <f ca="1">IFERROR(__xludf.dummyfunction("QUERY(db_data!L:M, ""SELECT M WHERE L = '""&amp;A54&amp;""'"",0)"),8.2)</f>
        <v>8.1999999999999993</v>
      </c>
      <c r="F54" s="51">
        <f ca="1">IFERROR(__xludf.dummyfunction("QUERY('Data Marketplace_customer'!EQ:ES, ""SELECT ES WHERE EQ = '""&amp;A54&amp;""'"",0)"),27.4285544059657)</f>
        <v>27.428554405965698</v>
      </c>
    </row>
    <row r="55" spans="1:6" ht="15">
      <c r="A55" s="39" t="s">
        <v>106</v>
      </c>
      <c r="B55" s="49">
        <f ca="1">Model!$K$85+Model!$K$86*F55+Model!$K$87*1+Model!$K$88*Model!$G$4+Model!$K$89*E55</f>
        <v>4.2912981471191829</v>
      </c>
      <c r="C55" s="39" t="s">
        <v>208</v>
      </c>
      <c r="D55" s="50" t="s">
        <v>331</v>
      </c>
      <c r="E55" s="39">
        <f ca="1">IFERROR(__xludf.dummyfunction("QUERY(db_data!L:M, ""SELECT M WHERE L = '""&amp;A55&amp;""'"",0)"),4.7)</f>
        <v>4.7</v>
      </c>
      <c r="F55" s="51">
        <f ca="1">IFERROR(__xludf.dummyfunction("QUERY('Data Marketplace_customer'!EQ:ES, ""SELECT ES WHERE EQ = '""&amp;A55&amp;""'"",0)"),27.4428072866134)</f>
        <v>27.442807286613402</v>
      </c>
    </row>
    <row r="56" spans="1:6" ht="15">
      <c r="A56" s="39" t="s">
        <v>145</v>
      </c>
      <c r="B56" s="49">
        <f ca="1">Model!$K$85+Model!$K$86*F56+Model!$K$87*1+Model!$K$88*Model!$G$4+Model!$K$89*E56</f>
        <v>4.2337818744464437</v>
      </c>
      <c r="C56" s="39" t="s">
        <v>178</v>
      </c>
      <c r="D56" s="50" t="s">
        <v>332</v>
      </c>
      <c r="E56" s="39">
        <f ca="1">IFERROR(__xludf.dummyfunction("QUERY(db_data!L:M, ""SELECT M WHERE L = '""&amp;A56&amp;""'"",0)"),5.9)</f>
        <v>5.9</v>
      </c>
      <c r="F56" s="51">
        <f ca="1">IFERROR(__xludf.dummyfunction("QUERY('Data Marketplace_customer'!EQ:ES, ""SELECT ES WHERE EQ = '""&amp;A56&amp;""'"",0)"),27.2098239008645)</f>
        <v>27.2098239008645</v>
      </c>
    </row>
    <row r="57" spans="1:6" ht="15">
      <c r="A57" s="39" t="s">
        <v>94</v>
      </c>
      <c r="B57" s="49">
        <f ca="1">Model!$K$85+Model!$K$86*F57+Model!$K$87*1+Model!$K$88*Model!$G$4+Model!$K$89*E57</f>
        <v>4.2201933925974808</v>
      </c>
      <c r="C57" s="39" t="s">
        <v>273</v>
      </c>
      <c r="D57" s="50" t="s">
        <v>333</v>
      </c>
      <c r="E57" s="39">
        <f ca="1">IFERROR(__xludf.dummyfunction("QUERY(db_data!L:M, ""SELECT M WHERE L = '""&amp;A57&amp;""'"",0)"),4.5)</f>
        <v>4.5</v>
      </c>
      <c r="F57" s="51">
        <f ca="1">IFERROR(__xludf.dummyfunction("QUERY('Data Marketplace_customer'!EQ:ES, ""SELECT ES WHERE EQ = '""&amp;A57&amp;""'"",0)"),27.2098724215981)</f>
        <v>27.209872421598099</v>
      </c>
    </row>
    <row r="58" spans="1:6" ht="15">
      <c r="A58" s="39" t="s">
        <v>135</v>
      </c>
      <c r="B58" s="49">
        <f ca="1">Model!$K$85+Model!$K$86*F58+Model!$K$87*1+Model!$K$88*Model!$G$4+Model!$K$89*E58</f>
        <v>4.2138376715928576</v>
      </c>
      <c r="C58" s="39" t="s">
        <v>334</v>
      </c>
      <c r="D58" s="50" t="s">
        <v>335</v>
      </c>
      <c r="E58" s="39">
        <f ca="1">IFERROR(__xludf.dummyfunction("QUERY(db_data!L:M, ""SELECT M WHERE L = '""&amp;A58&amp;""'"",0)"),5)</f>
        <v>5</v>
      </c>
      <c r="F58" s="51">
        <f ca="1">IFERROR(__xludf.dummyfunction("QUERY('Data Marketplace_customer'!EQ:ES, ""SELECT ES WHERE EQ = '""&amp;A58&amp;""'"",0)"),27.1721041865743)</f>
        <v>27.172104186574298</v>
      </c>
    </row>
    <row r="59" spans="1:6" ht="15">
      <c r="A59" s="39" t="s">
        <v>128</v>
      </c>
      <c r="B59" s="49">
        <f ca="1">Model!$K$85+Model!$K$86*F59+Model!$K$87*1+Model!$K$88*Model!$G$4+Model!$K$89*E59</f>
        <v>4.1788471130221465</v>
      </c>
      <c r="C59" s="39" t="s">
        <v>304</v>
      </c>
      <c r="D59" s="52" t="s">
        <v>336</v>
      </c>
      <c r="E59" s="39">
        <f ca="1">IFERROR(__xludf.dummyfunction("QUERY(db_data!L:M, ""SELECT M WHERE L = '""&amp;A59&amp;""'"",0)"),9.3)</f>
        <v>9.3000000000000007</v>
      </c>
      <c r="F59" s="51">
        <f ca="1">IFERROR(__xludf.dummyfunction("QUERY('Data Marketplace_customer'!EQ:ES, ""SELECT ES WHERE EQ = '""&amp;A59&amp;""'"",0)"),26.9135410630148)</f>
        <v>26.913541063014801</v>
      </c>
    </row>
    <row r="60" spans="1:6" ht="15">
      <c r="A60" s="39" t="s">
        <v>137</v>
      </c>
      <c r="B60" s="49">
        <f ca="1">Model!$K$85+Model!$K$86*F60+Model!$K$87*1+Model!$K$88*Model!$G$4+Model!$K$89*E60</f>
        <v>4.1532677641193576</v>
      </c>
      <c r="C60" s="39" t="s">
        <v>188</v>
      </c>
      <c r="D60" s="52" t="s">
        <v>337</v>
      </c>
      <c r="E60" s="39">
        <f ca="1">IFERROR(__xludf.dummyfunction("QUERY(db_data!L:M, ""SELECT M WHERE L = '""&amp;A60&amp;""'"",0)"),0.1)</f>
        <v>0.1</v>
      </c>
      <c r="F60" s="51">
        <f ca="1">IFERROR(__xludf.dummyfunction("QUERY('Data Marketplace_customer'!EQ:ES, ""SELECT ES WHERE EQ = '""&amp;A60&amp;""'"",0)"),27.128455775868)</f>
        <v>27.128455775868002</v>
      </c>
    </row>
    <row r="61" spans="1:6" ht="15">
      <c r="A61" s="39" t="s">
        <v>123</v>
      </c>
      <c r="B61" s="49">
        <f ca="1">Model!$K$85+Model!$K$86*F61+Model!$K$87*1+Model!$K$88*Model!$G$4+Model!$K$89*E61</f>
        <v>4.1473394807684354</v>
      </c>
      <c r="C61" s="39" t="s">
        <v>193</v>
      </c>
      <c r="D61" s="50" t="s">
        <v>338</v>
      </c>
      <c r="E61" s="39">
        <f ca="1">IFERROR(__xludf.dummyfunction("QUERY(db_data!L:M, ""SELECT M WHERE L = '""&amp;A61&amp;""'"",0)"),2.8)</f>
        <v>2.8</v>
      </c>
      <c r="F61" s="51">
        <f ca="1">IFERROR(__xludf.dummyfunction("QUERY('Data Marketplace_customer'!EQ:ES, ""SELECT ES WHERE EQ = '""&amp;A61&amp;""'"",0)"),27.0201332005099)</f>
        <v>27.0201332005099</v>
      </c>
    </row>
    <row r="62" spans="1:6" ht="15">
      <c r="A62" s="39" t="s">
        <v>85</v>
      </c>
      <c r="B62" s="49">
        <f ca="1">Model!$K$85+Model!$K$86*F62+Model!$K$87*1+Model!$K$88*Model!$G$4+Model!$K$89*E62</f>
        <v>4.1461541715742163</v>
      </c>
      <c r="C62" s="39" t="s">
        <v>273</v>
      </c>
      <c r="D62" s="50" t="s">
        <v>339</v>
      </c>
      <c r="E62" s="39">
        <f ca="1">IFERROR(__xludf.dummyfunction("QUERY(db_data!L:M, ""SELECT M WHERE L = '""&amp;A62&amp;""'"",0)"),2.6)</f>
        <v>2.6</v>
      </c>
      <c r="F62" s="51">
        <f ca="1">IFERROR(__xludf.dummyfunction("QUERY('Data Marketplace_customer'!EQ:ES, ""SELECT ES WHERE EQ = '""&amp;A62&amp;""'"",0)"),27.0226860005574)</f>
        <v>27.0226860005574</v>
      </c>
    </row>
    <row r="63" spans="1:6" ht="17.25">
      <c r="A63" s="53" t="s">
        <v>116</v>
      </c>
      <c r="B63" s="49">
        <f ca="1">Model!$K$85+Model!$K$86*F63+Model!$K$87*1+Model!$K$88*Model!$G$4+Model!$K$89*E63</f>
        <v>4.0740416135805262</v>
      </c>
      <c r="C63" s="39" t="s">
        <v>164</v>
      </c>
      <c r="D63" s="52" t="s">
        <v>340</v>
      </c>
      <c r="E63" s="39">
        <f ca="1">IFERROR(__xludf.dummyfunction("QUERY(db_data!L:M, ""SELECT M WHERE L = '""&amp;A63&amp;""'"",0)"),17.1)</f>
        <v>17.100000000000001</v>
      </c>
      <c r="F63" s="51">
        <f ca="1">IFERROR(__xludf.dummyfunction("QUERY('Data Marketplace_customer'!EQ:ES, ""SELECT ES WHERE EQ = '""&amp;A63&amp;""'"",0)"),26.3053064237485)</f>
        <v>26.305306423748501</v>
      </c>
    </row>
    <row r="64" spans="1:6" ht="15">
      <c r="A64" s="39" t="s">
        <v>122</v>
      </c>
      <c r="B64" s="49">
        <f ca="1">Model!$K$85+Model!$K$86*F64+Model!$K$87*1+Model!$K$88*Model!$G$4+Model!$K$89*E64</f>
        <v>4.0507870042415322</v>
      </c>
      <c r="C64" s="39" t="s">
        <v>341</v>
      </c>
      <c r="D64" s="52" t="s">
        <v>342</v>
      </c>
      <c r="E64" s="39">
        <f ca="1">IFERROR(__xludf.dummyfunction("QUERY(db_data!L:M, ""SELECT M WHERE L = '""&amp;A64&amp;""'"",0)"),5)</f>
        <v>5</v>
      </c>
      <c r="F64" s="51">
        <f ca="1">IFERROR(__xludf.dummyfunction("QUERY('Data Marketplace_customer'!EQ:ES, ""SELECT ES WHERE EQ = '""&amp;A64&amp;""'"",0)"),26.6229519334113)</f>
        <v>26.622951933411301</v>
      </c>
    </row>
    <row r="65" spans="1:6" ht="15">
      <c r="A65" s="39" t="s">
        <v>140</v>
      </c>
      <c r="B65" s="49">
        <f ca="1">Model!$K$85+Model!$K$86*F65+Model!$K$87*1+Model!$K$88*Model!$G$4+Model!$K$89*E65</f>
        <v>4.0312548206960157</v>
      </c>
      <c r="C65" s="39" t="s">
        <v>178</v>
      </c>
      <c r="D65" s="50" t="s">
        <v>343</v>
      </c>
      <c r="E65" s="39">
        <f ca="1">IFERROR(__xludf.dummyfunction("QUERY(db_data!L:M, ""SELECT M WHERE L = '""&amp;A65&amp;""'"",0)"),2.7)</f>
        <v>2.7</v>
      </c>
      <c r="F65" s="51">
        <f ca="1">IFERROR(__xludf.dummyfunction("QUERY('Data Marketplace_customer'!EQ:ES, ""SELECT ES WHERE EQ = '""&amp;A65&amp;""'"",0)"),26.6324342221476)</f>
        <v>26.632434222147602</v>
      </c>
    </row>
    <row r="66" spans="1:6" ht="15">
      <c r="A66" s="39" t="s">
        <v>119</v>
      </c>
      <c r="B66" s="49">
        <f ca="1">Model!$K$85+Model!$K$86*F66+Model!$K$87*1+Model!$K$88*Model!$G$4+Model!$K$89*E66</f>
        <v>3.9590851034179328</v>
      </c>
      <c r="C66" s="39" t="s">
        <v>198</v>
      </c>
      <c r="D66" s="52" t="s">
        <v>344</v>
      </c>
      <c r="E66" s="39">
        <f ca="1">IFERROR(__xludf.dummyfunction("QUERY(db_data!L:M, ""SELECT M WHERE L = '""&amp;A66&amp;""'"",0)"),2.6)</f>
        <v>2.6</v>
      </c>
      <c r="F66" s="51">
        <f ca="1">IFERROR(__xludf.dummyfunction("QUERY('Data Marketplace_customer'!EQ:ES, ""SELECT ES WHERE EQ = '""&amp;A66&amp;""'"",0)"),26.3926401262049)</f>
        <v>26.392640126204899</v>
      </c>
    </row>
    <row r="67" spans="1:6" ht="15">
      <c r="A67" s="39" t="s">
        <v>142</v>
      </c>
      <c r="B67" s="49">
        <f ca="1">Model!$K$85+Model!$K$86*F67+Model!$K$87*1+Model!$K$88*Model!$G$4+Model!$K$89*E67</f>
        <v>3.9089472882019729</v>
      </c>
      <c r="C67" s="39" t="s">
        <v>196</v>
      </c>
      <c r="D67" s="50" t="s">
        <v>345</v>
      </c>
      <c r="E67" s="39">
        <f ca="1">IFERROR(__xludf.dummyfunction("QUERY(db_data!L:M, ""SELECT M WHERE L = '""&amp;A67&amp;""'"",0)"),3)</f>
        <v>3</v>
      </c>
      <c r="F67" s="51">
        <f ca="1">IFERROR(__xludf.dummyfunction("QUERY('Data Marketplace_customer'!EQ:ES, ""SELECT ES WHERE EQ = '""&amp;A67&amp;""'"",0)"),26.2106868928415)</f>
        <v>26.210686892841501</v>
      </c>
    </row>
    <row r="68" spans="1:6" ht="15">
      <c r="A68" s="39" t="s">
        <v>117</v>
      </c>
      <c r="B68" s="49">
        <f ca="1">Model!$K$85+Model!$K$86*F68+Model!$K$87*1+Model!$K$88*Model!$G$4+Model!$K$89*E68</f>
        <v>3.9035058664907742</v>
      </c>
      <c r="C68" s="39" t="s">
        <v>196</v>
      </c>
      <c r="D68" s="50" t="s">
        <v>346</v>
      </c>
      <c r="E68" s="39">
        <f ca="1">IFERROR(__xludf.dummyfunction("QUERY(db_data!L:M, ""SELECT M WHERE L = '""&amp;A68&amp;""'"",0)"),5.5)</f>
        <v>5.5</v>
      </c>
      <c r="F68" s="51">
        <f ca="1">IFERROR(__xludf.dummyfunction("QUERY('Data Marketplace_customer'!EQ:ES, ""SELECT ES WHERE EQ = '""&amp;A68&amp;""'"",0)"),26.110548964343)</f>
        <v>26.110548964343</v>
      </c>
    </row>
    <row r="69" spans="1:6" ht="15">
      <c r="A69" s="39" t="s">
        <v>149</v>
      </c>
      <c r="B69" s="49">
        <f ca="1">Model!$K$85+Model!$K$86*F69+Model!$K$87*1+Model!$K$88*Model!$G$4+Model!$K$89*E69</f>
        <v>3.898103702297202</v>
      </c>
      <c r="C69" s="39" t="s">
        <v>347</v>
      </c>
      <c r="D69" s="50" t="s">
        <v>348</v>
      </c>
      <c r="E69" s="39">
        <f ca="1">IFERROR(__xludf.dummyfunction("QUERY(db_data!L:M, ""SELECT M WHERE L = '""&amp;A69&amp;""'"",0)"),4.7)</f>
        <v>4.7</v>
      </c>
      <c r="F69" s="51">
        <f ca="1">IFERROR(__xludf.dummyfunction("QUERY('Data Marketplace_customer'!EQ:ES, ""SELECT ES WHERE EQ = '""&amp;A69&amp;""'"",0)"),26.1185341706996)</f>
        <v>26.118534170699601</v>
      </c>
    </row>
    <row r="70" spans="1:6" ht="15">
      <c r="A70" s="54" t="s">
        <v>154</v>
      </c>
      <c r="B70" s="49">
        <f ca="1">Model!$K$85+Model!$K$86*F70+Model!$K$87*1+Model!$K$88*Model!$G$4+Model!$K$89*E70</f>
        <v>3.8945078578895465</v>
      </c>
      <c r="C70" s="39" t="s">
        <v>198</v>
      </c>
      <c r="D70" s="52" t="s">
        <v>349</v>
      </c>
      <c r="E70" s="39">
        <f ca="1">IFERROR(__xludf.dummyfunction("QUERY(db_data!L:M, ""SELECT M WHERE L = '""&amp;A70&amp;""'"",0)"),4.2)</f>
        <v>4.2</v>
      </c>
      <c r="F70" s="51">
        <f ca="1">IFERROR(__xludf.dummyfunction("QUERY('Data Marketplace_customer'!EQ:ES, ""SELECT ES WHERE EQ = '""&amp;A70&amp;""'"",0)"),26.1227856795583)</f>
        <v>26.122785679558302</v>
      </c>
    </row>
    <row r="71" spans="1:6" ht="15">
      <c r="A71" s="39" t="s">
        <v>147</v>
      </c>
      <c r="B71" s="49">
        <f ca="1">Model!$K$85+Model!$K$86*F71+Model!$K$87*1+Model!$K$88*Model!$G$4+Model!$K$89*E71</f>
        <v>3.8944958779576409</v>
      </c>
      <c r="C71" s="39" t="s">
        <v>347</v>
      </c>
      <c r="D71" s="52" t="s">
        <v>350</v>
      </c>
      <c r="E71" s="39">
        <f ca="1">IFERROR(__xludf.dummyfunction("QUERY(db_data!L:M, ""SELECT M WHERE L = '""&amp;A71&amp;""'"",0)"),2.6)</f>
        <v>2.6</v>
      </c>
      <c r="F71" s="51">
        <f ca="1">IFERROR(__xludf.dummyfunction("QUERY('Data Marketplace_customer'!EQ:ES, ""SELECT ES WHERE EQ = '""&amp;A71&amp;""'"",0)"),26.175104563378)</f>
        <v>26.175104563378</v>
      </c>
    </row>
    <row r="72" spans="1:6" ht="15">
      <c r="A72" s="39" t="s">
        <v>138</v>
      </c>
      <c r="B72" s="49">
        <f ca="1">Model!$K$85+Model!$K$86*F72+Model!$K$87*1+Model!$K$88*Model!$G$4+Model!$K$89*E72</f>
        <v>3.8914285268918096</v>
      </c>
      <c r="C72" s="39" t="s">
        <v>196</v>
      </c>
      <c r="D72" s="50" t="s">
        <v>351</v>
      </c>
      <c r="E72" s="39">
        <f ca="1">IFERROR(__xludf.dummyfunction("QUERY(db_data!L:M, ""SELECT M WHERE L = '""&amp;A72&amp;""'"",0)"),1.6)</f>
        <v>1.6</v>
      </c>
      <c r="F72" s="51">
        <f ca="1">IFERROR(__xludf.dummyfunction("QUERY('Data Marketplace_customer'!EQ:ES, ""SELECT ES WHERE EQ = '""&amp;A72&amp;""'"",0)"),26.1974982900678)</f>
        <v>26.197498290067799</v>
      </c>
    </row>
  </sheetData>
  <autoFilter ref="A1:F72" xr:uid="{00000000-0009-0000-0000-000007000000}"/>
  <hyperlinks>
    <hyperlink ref="D2" r:id="rId1" xr:uid="{00000000-0004-0000-0700-000000000000}"/>
    <hyperlink ref="D3" r:id="rId2" xr:uid="{00000000-0004-0000-0700-000001000000}"/>
    <hyperlink ref="D4" r:id="rId3" xr:uid="{00000000-0004-0000-0700-000002000000}"/>
    <hyperlink ref="D5" r:id="rId4" xr:uid="{00000000-0004-0000-0700-000003000000}"/>
    <hyperlink ref="D6" r:id="rId5" xr:uid="{00000000-0004-0000-0700-000004000000}"/>
    <hyperlink ref="D7" r:id="rId6" xr:uid="{00000000-0004-0000-0700-000005000000}"/>
    <hyperlink ref="D8" r:id="rId7" xr:uid="{00000000-0004-0000-0700-000006000000}"/>
    <hyperlink ref="D9" r:id="rId8" xr:uid="{00000000-0004-0000-0700-000007000000}"/>
    <hyperlink ref="D10" r:id="rId9" xr:uid="{00000000-0004-0000-0700-000008000000}"/>
    <hyperlink ref="D11" r:id="rId10" xr:uid="{00000000-0004-0000-0700-000009000000}"/>
    <hyperlink ref="D12" r:id="rId11" xr:uid="{00000000-0004-0000-0700-00000A000000}"/>
    <hyperlink ref="D13" r:id="rId12" xr:uid="{00000000-0004-0000-0700-00000B000000}"/>
    <hyperlink ref="D14" r:id="rId13" xr:uid="{00000000-0004-0000-0700-00000C000000}"/>
    <hyperlink ref="D15" r:id="rId14" xr:uid="{00000000-0004-0000-0700-00000D000000}"/>
    <hyperlink ref="D16" r:id="rId15" xr:uid="{00000000-0004-0000-0700-00000E000000}"/>
    <hyperlink ref="D17" r:id="rId16" xr:uid="{00000000-0004-0000-0700-00000F000000}"/>
    <hyperlink ref="D18" r:id="rId17" xr:uid="{00000000-0004-0000-0700-000010000000}"/>
    <hyperlink ref="D19" r:id="rId18" xr:uid="{00000000-0004-0000-0700-000011000000}"/>
    <hyperlink ref="D20" r:id="rId19" xr:uid="{00000000-0004-0000-0700-000012000000}"/>
    <hyperlink ref="D21" r:id="rId20" xr:uid="{00000000-0004-0000-0700-000013000000}"/>
    <hyperlink ref="D22" r:id="rId21" xr:uid="{00000000-0004-0000-0700-000014000000}"/>
    <hyperlink ref="D23" r:id="rId22" xr:uid="{00000000-0004-0000-0700-000015000000}"/>
    <hyperlink ref="D24" r:id="rId23" xr:uid="{00000000-0004-0000-0700-000016000000}"/>
    <hyperlink ref="D25" r:id="rId24" xr:uid="{00000000-0004-0000-0700-000017000000}"/>
    <hyperlink ref="D26" r:id="rId25" xr:uid="{00000000-0004-0000-0700-000018000000}"/>
    <hyperlink ref="D27" r:id="rId26" xr:uid="{00000000-0004-0000-0700-000019000000}"/>
    <hyperlink ref="D28" r:id="rId27" xr:uid="{00000000-0004-0000-0700-00001A000000}"/>
    <hyperlink ref="D29" r:id="rId28" xr:uid="{00000000-0004-0000-0700-00001B000000}"/>
    <hyperlink ref="D30" r:id="rId29" xr:uid="{00000000-0004-0000-0700-00001C000000}"/>
    <hyperlink ref="D31" r:id="rId30" xr:uid="{00000000-0004-0000-0700-00001D000000}"/>
    <hyperlink ref="D32" r:id="rId31" xr:uid="{00000000-0004-0000-0700-00001E000000}"/>
    <hyperlink ref="D33" r:id="rId32" xr:uid="{00000000-0004-0000-0700-00001F000000}"/>
    <hyperlink ref="D34" r:id="rId33" xr:uid="{00000000-0004-0000-0700-000020000000}"/>
    <hyperlink ref="D35" r:id="rId34" xr:uid="{00000000-0004-0000-0700-000021000000}"/>
    <hyperlink ref="D36" r:id="rId35" xr:uid="{00000000-0004-0000-0700-000022000000}"/>
    <hyperlink ref="D37" r:id="rId36" xr:uid="{00000000-0004-0000-0700-000023000000}"/>
    <hyperlink ref="D38" r:id="rId37" xr:uid="{00000000-0004-0000-0700-000024000000}"/>
    <hyperlink ref="D39" r:id="rId38" xr:uid="{00000000-0004-0000-0700-000025000000}"/>
    <hyperlink ref="D40" r:id="rId39" xr:uid="{00000000-0004-0000-0700-000026000000}"/>
    <hyperlink ref="D41" r:id="rId40" xr:uid="{00000000-0004-0000-0700-000027000000}"/>
    <hyperlink ref="D42" r:id="rId41" xr:uid="{00000000-0004-0000-0700-000028000000}"/>
    <hyperlink ref="D43" r:id="rId42" xr:uid="{00000000-0004-0000-0700-000029000000}"/>
    <hyperlink ref="D44" r:id="rId43" xr:uid="{00000000-0004-0000-0700-00002A000000}"/>
    <hyperlink ref="D45" r:id="rId44" xr:uid="{00000000-0004-0000-0700-00002B000000}"/>
    <hyperlink ref="D46" r:id="rId45" xr:uid="{00000000-0004-0000-0700-00002C000000}"/>
    <hyperlink ref="D47" r:id="rId46" xr:uid="{00000000-0004-0000-0700-00002D000000}"/>
    <hyperlink ref="D48" r:id="rId47" xr:uid="{00000000-0004-0000-0700-00002E000000}"/>
    <hyperlink ref="D49" r:id="rId48" xr:uid="{00000000-0004-0000-0700-00002F000000}"/>
    <hyperlink ref="D50" r:id="rId49" xr:uid="{00000000-0004-0000-0700-000030000000}"/>
    <hyperlink ref="D51" r:id="rId50" xr:uid="{00000000-0004-0000-0700-000031000000}"/>
    <hyperlink ref="D52" r:id="rId51" xr:uid="{00000000-0004-0000-0700-000032000000}"/>
    <hyperlink ref="D53" r:id="rId52" xr:uid="{00000000-0004-0000-0700-000033000000}"/>
    <hyperlink ref="D54" r:id="rId53" xr:uid="{00000000-0004-0000-0700-000034000000}"/>
    <hyperlink ref="D55" r:id="rId54" xr:uid="{00000000-0004-0000-0700-000035000000}"/>
    <hyperlink ref="D56" r:id="rId55" xr:uid="{00000000-0004-0000-0700-000036000000}"/>
    <hyperlink ref="D57" r:id="rId56" xr:uid="{00000000-0004-0000-0700-000037000000}"/>
    <hyperlink ref="D58" r:id="rId57" xr:uid="{00000000-0004-0000-0700-000038000000}"/>
    <hyperlink ref="D59" r:id="rId58" xr:uid="{00000000-0004-0000-0700-000039000000}"/>
    <hyperlink ref="D60" r:id="rId59" xr:uid="{00000000-0004-0000-0700-00003A000000}"/>
    <hyperlink ref="D61" r:id="rId60" xr:uid="{00000000-0004-0000-0700-00003B000000}"/>
    <hyperlink ref="D62" r:id="rId61" xr:uid="{00000000-0004-0000-0700-00003C000000}"/>
    <hyperlink ref="D63" r:id="rId62" xr:uid="{00000000-0004-0000-0700-00003D000000}"/>
    <hyperlink ref="D64" r:id="rId63" xr:uid="{00000000-0004-0000-0700-00003E000000}"/>
    <hyperlink ref="D65" r:id="rId64" xr:uid="{00000000-0004-0000-0700-00003F000000}"/>
    <hyperlink ref="D66" r:id="rId65" xr:uid="{00000000-0004-0000-0700-000040000000}"/>
    <hyperlink ref="D67" r:id="rId66" xr:uid="{00000000-0004-0000-0700-000041000000}"/>
    <hyperlink ref="D68" r:id="rId67" xr:uid="{00000000-0004-0000-0700-000042000000}"/>
    <hyperlink ref="D69" r:id="rId68" xr:uid="{00000000-0004-0000-0700-000043000000}"/>
    <hyperlink ref="D70" r:id="rId69" xr:uid="{00000000-0004-0000-0700-000044000000}"/>
    <hyperlink ref="D71" r:id="rId70" xr:uid="{00000000-0004-0000-0700-000045000000}"/>
    <hyperlink ref="D72" r:id="rId71" xr:uid="{00000000-0004-0000-0700-000046000000}"/>
  </hyperlinks>
  <pageMargins left="0.74791666666666701" right="0.74791666666666701" top="0.98402777777777795" bottom="0.98402777777777795" header="0.511811023622047" footer="0.511811023622047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U64"/>
  <sheetViews>
    <sheetView tabSelected="1" zoomScaleNormal="100" workbookViewId="0">
      <selection activeCell="E5" sqref="E5"/>
    </sheetView>
  </sheetViews>
  <sheetFormatPr defaultColWidth="12.625" defaultRowHeight="14.25"/>
  <sheetData>
    <row r="1" spans="1:73" ht="15">
      <c r="A1" s="13" t="s">
        <v>0</v>
      </c>
      <c r="B1" s="14" t="s">
        <v>83</v>
      </c>
      <c r="C1" s="15" t="s">
        <v>84</v>
      </c>
      <c r="D1" s="13" t="s">
        <v>85</v>
      </c>
      <c r="E1" s="13" t="s">
        <v>86</v>
      </c>
      <c r="F1" s="13" t="s">
        <v>87</v>
      </c>
      <c r="G1" s="13" t="s">
        <v>88</v>
      </c>
      <c r="H1" s="13" t="s">
        <v>89</v>
      </c>
      <c r="I1" s="13" t="s">
        <v>90</v>
      </c>
      <c r="J1" s="13" t="s">
        <v>91</v>
      </c>
      <c r="K1" s="13" t="s">
        <v>92</v>
      </c>
      <c r="L1" s="13" t="s">
        <v>93</v>
      </c>
      <c r="M1" s="13" t="s">
        <v>94</v>
      </c>
      <c r="N1" s="13" t="s">
        <v>95</v>
      </c>
      <c r="O1" s="15" t="s">
        <v>96</v>
      </c>
      <c r="P1" s="13" t="s">
        <v>97</v>
      </c>
      <c r="Q1" s="13" t="s">
        <v>98</v>
      </c>
      <c r="R1" s="13" t="s">
        <v>99</v>
      </c>
      <c r="S1" s="13" t="s">
        <v>100</v>
      </c>
      <c r="T1" s="13" t="s">
        <v>101</v>
      </c>
      <c r="U1" s="13" t="s">
        <v>102</v>
      </c>
      <c r="V1" s="13" t="s">
        <v>103</v>
      </c>
      <c r="W1" s="13" t="s">
        <v>104</v>
      </c>
      <c r="X1" s="15" t="s">
        <v>105</v>
      </c>
      <c r="Y1" s="13" t="s">
        <v>106</v>
      </c>
      <c r="Z1" s="13" t="s">
        <v>107</v>
      </c>
      <c r="AA1" s="13" t="s">
        <v>108</v>
      </c>
      <c r="AB1" s="13" t="s">
        <v>109</v>
      </c>
      <c r="AC1" s="15" t="s">
        <v>110</v>
      </c>
      <c r="AD1" s="15" t="s">
        <v>111</v>
      </c>
      <c r="AE1" s="15" t="s">
        <v>112</v>
      </c>
      <c r="AF1" s="13" t="s">
        <v>113</v>
      </c>
      <c r="AG1" s="13" t="s">
        <v>114</v>
      </c>
      <c r="AH1" s="13" t="s">
        <v>115</v>
      </c>
      <c r="AI1" s="13" t="s">
        <v>116</v>
      </c>
      <c r="AJ1" s="13" t="s">
        <v>117</v>
      </c>
      <c r="AK1" s="13" t="s">
        <v>118</v>
      </c>
      <c r="AL1" s="13" t="s">
        <v>119</v>
      </c>
      <c r="AM1" s="13" t="s">
        <v>120</v>
      </c>
      <c r="AN1" s="13" t="s">
        <v>121</v>
      </c>
      <c r="AO1" s="15" t="s">
        <v>122</v>
      </c>
      <c r="AP1" s="13" t="s">
        <v>123</v>
      </c>
      <c r="AQ1" s="13" t="s">
        <v>124</v>
      </c>
      <c r="AR1" s="13" t="s">
        <v>125</v>
      </c>
      <c r="AS1" s="13" t="s">
        <v>126</v>
      </c>
      <c r="AT1" s="13" t="s">
        <v>127</v>
      </c>
      <c r="AU1" s="13" t="s">
        <v>128</v>
      </c>
      <c r="AV1" s="13" t="s">
        <v>129</v>
      </c>
      <c r="AW1" s="13" t="s">
        <v>130</v>
      </c>
      <c r="AX1" s="16" t="s">
        <v>131</v>
      </c>
      <c r="AY1" s="13" t="s">
        <v>132</v>
      </c>
      <c r="AZ1" s="13" t="s">
        <v>133</v>
      </c>
      <c r="BA1" s="13" t="s">
        <v>134</v>
      </c>
      <c r="BB1" s="13" t="s">
        <v>135</v>
      </c>
      <c r="BC1" s="13" t="s">
        <v>136</v>
      </c>
      <c r="BD1" s="13" t="s">
        <v>137</v>
      </c>
      <c r="BE1" s="13" t="s">
        <v>138</v>
      </c>
      <c r="BF1" s="13" t="s">
        <v>139</v>
      </c>
      <c r="BG1" s="13" t="s">
        <v>140</v>
      </c>
      <c r="BH1" s="15" t="s">
        <v>141</v>
      </c>
      <c r="BI1" s="13" t="s">
        <v>142</v>
      </c>
      <c r="BJ1" s="13" t="s">
        <v>143</v>
      </c>
      <c r="BK1" s="13" t="s">
        <v>144</v>
      </c>
      <c r="BL1" s="13" t="s">
        <v>145</v>
      </c>
      <c r="BM1" s="13" t="s">
        <v>146</v>
      </c>
      <c r="BN1" s="13" t="s">
        <v>147</v>
      </c>
      <c r="BO1" s="13" t="s">
        <v>148</v>
      </c>
      <c r="BP1" s="13" t="s">
        <v>149</v>
      </c>
      <c r="BQ1" s="13" t="s">
        <v>150</v>
      </c>
      <c r="BR1" s="15" t="s">
        <v>151</v>
      </c>
      <c r="BS1" s="15" t="s">
        <v>152</v>
      </c>
      <c r="BT1" s="13" t="s">
        <v>153</v>
      </c>
      <c r="BU1" s="16" t="s">
        <v>154</v>
      </c>
    </row>
    <row r="2" spans="1:73" ht="15">
      <c r="A2" s="13" t="s">
        <v>83</v>
      </c>
      <c r="B2" s="14">
        <f t="shared" ref="B2:B33" si="0">SUM(C2:BU2)</f>
        <v>4357.286000000001</v>
      </c>
      <c r="C2" s="39">
        <v>124.2</v>
      </c>
      <c r="D2" s="39">
        <v>2.6</v>
      </c>
      <c r="E2" s="39">
        <v>8.6999999999999993</v>
      </c>
      <c r="F2" s="39">
        <v>29.4</v>
      </c>
      <c r="G2" s="39">
        <v>48.2</v>
      </c>
      <c r="H2" s="39">
        <v>187.4</v>
      </c>
      <c r="I2" s="39">
        <v>82.6</v>
      </c>
      <c r="J2" s="39">
        <v>91.5</v>
      </c>
      <c r="K2" s="39">
        <v>233.8</v>
      </c>
      <c r="L2" s="39">
        <v>16.399999999999999</v>
      </c>
      <c r="M2" s="39">
        <v>4.5</v>
      </c>
      <c r="N2" s="39">
        <v>187.2</v>
      </c>
      <c r="O2" s="39">
        <v>940</v>
      </c>
      <c r="P2" s="39">
        <v>88.4</v>
      </c>
      <c r="Q2" s="39">
        <v>50.8</v>
      </c>
      <c r="R2" s="39">
        <v>31.8</v>
      </c>
      <c r="S2" s="39">
        <v>42.3</v>
      </c>
      <c r="T2" s="39">
        <v>39.9</v>
      </c>
      <c r="U2" s="39">
        <v>16.8</v>
      </c>
      <c r="V2" s="39">
        <v>35.299999999999997</v>
      </c>
      <c r="W2" s="39">
        <v>2.9</v>
      </c>
      <c r="X2" s="39">
        <v>47.7</v>
      </c>
      <c r="Y2" s="39">
        <v>4.7</v>
      </c>
      <c r="Z2" s="39">
        <v>8.1999999999999993</v>
      </c>
      <c r="AA2" s="39">
        <v>31.6</v>
      </c>
      <c r="AB2" s="39">
        <v>9.5</v>
      </c>
      <c r="AC2" s="39">
        <v>159</v>
      </c>
      <c r="AD2" s="39">
        <v>55.3</v>
      </c>
      <c r="AE2" s="39">
        <v>73.3</v>
      </c>
      <c r="AF2" s="39">
        <v>27</v>
      </c>
      <c r="AG2" s="39">
        <v>194</v>
      </c>
      <c r="AH2" s="39">
        <v>14.4</v>
      </c>
      <c r="AI2" s="39">
        <v>17.100000000000001</v>
      </c>
      <c r="AJ2" s="39">
        <v>5.5</v>
      </c>
      <c r="AK2" s="39">
        <v>0.31900000000000001</v>
      </c>
      <c r="AL2" s="39">
        <v>2.6</v>
      </c>
      <c r="AM2" s="39">
        <v>0.81899999999999995</v>
      </c>
      <c r="AN2" s="39">
        <v>98.9</v>
      </c>
      <c r="AO2" s="39">
        <v>5</v>
      </c>
      <c r="AP2" s="39">
        <v>2.8</v>
      </c>
      <c r="AQ2" s="39">
        <v>23.3</v>
      </c>
      <c r="AR2" s="39">
        <v>15.5</v>
      </c>
      <c r="AS2" s="39">
        <v>25.4</v>
      </c>
      <c r="AT2" s="39">
        <v>37.1</v>
      </c>
      <c r="AU2" s="39">
        <f>2.2+2.9+1.5+2.7</f>
        <v>9.3000000000000007</v>
      </c>
      <c r="AV2" s="39">
        <v>10.7</v>
      </c>
      <c r="AW2" s="39">
        <v>80.8</v>
      </c>
      <c r="AX2" s="39">
        <v>15.6</v>
      </c>
      <c r="AY2" s="39">
        <f>5.6+3.9+2.6+16.3+29.5+0.757+1.7</f>
        <v>60.356999999999999</v>
      </c>
      <c r="AZ2" s="39">
        <v>0.628</v>
      </c>
      <c r="BA2" s="39">
        <v>0.55800000000000005</v>
      </c>
      <c r="BB2" s="39">
        <v>5</v>
      </c>
      <c r="BC2" s="39">
        <v>31.8</v>
      </c>
      <c r="BD2" s="39">
        <v>0.1</v>
      </c>
      <c r="BE2" s="39">
        <v>1.6</v>
      </c>
      <c r="BF2" s="39">
        <v>8.9</v>
      </c>
      <c r="BG2" s="39">
        <v>2.7</v>
      </c>
      <c r="BH2" s="39">
        <f>17.5+6+0.165</f>
        <v>23.664999999999999</v>
      </c>
      <c r="BI2" s="39">
        <v>3</v>
      </c>
      <c r="BJ2" s="39">
        <f>88.3+40.1+BJ55+BJ62+10.3+11.5+2.5+67.7+1.2+0.4+0.24</f>
        <v>302.74</v>
      </c>
      <c r="BK2" s="39">
        <v>10.199999999999999</v>
      </c>
      <c r="BL2" s="39">
        <v>5.9</v>
      </c>
      <c r="BM2" s="39">
        <v>120.5</v>
      </c>
      <c r="BN2" s="39">
        <v>2.6</v>
      </c>
      <c r="BO2" s="39">
        <v>117.1</v>
      </c>
      <c r="BP2" s="39">
        <v>4.7</v>
      </c>
      <c r="BQ2" s="39">
        <v>90.5</v>
      </c>
      <c r="BR2" s="39">
        <v>252</v>
      </c>
      <c r="BS2" s="39">
        <v>22</v>
      </c>
      <c r="BT2" s="39">
        <v>46.4</v>
      </c>
      <c r="BU2" s="39">
        <v>4.2</v>
      </c>
    </row>
    <row r="3" spans="1:73" ht="15">
      <c r="A3" s="21" t="s">
        <v>158</v>
      </c>
      <c r="B3" s="14">
        <f t="shared" si="0"/>
        <v>44.103000000000009</v>
      </c>
      <c r="C3" s="39"/>
      <c r="D3" s="39"/>
      <c r="E3" s="39">
        <v>8.5</v>
      </c>
      <c r="F3" s="39"/>
      <c r="G3" s="39"/>
      <c r="H3" s="39"/>
      <c r="I3" s="39"/>
      <c r="J3" s="39"/>
      <c r="K3" s="39"/>
      <c r="L3" s="39"/>
      <c r="M3" s="39"/>
      <c r="N3" s="39"/>
      <c r="O3" s="39">
        <v>7.3</v>
      </c>
      <c r="P3" s="39"/>
      <c r="Q3" s="39"/>
      <c r="R3" s="39"/>
      <c r="S3" s="39"/>
      <c r="T3" s="39"/>
      <c r="U3" s="39"/>
      <c r="V3" s="39"/>
      <c r="W3" s="39">
        <v>2.8</v>
      </c>
      <c r="X3" s="39"/>
      <c r="Y3" s="39"/>
      <c r="Z3" s="39"/>
      <c r="AA3" s="39"/>
      <c r="AB3" s="39"/>
      <c r="AC3" s="39">
        <v>1.1000000000000001</v>
      </c>
      <c r="AD3" s="39"/>
      <c r="AE3" s="39">
        <v>0.127</v>
      </c>
      <c r="AF3" s="39"/>
      <c r="AG3" s="39">
        <v>6.9</v>
      </c>
      <c r="AH3" s="39"/>
      <c r="AI3" s="39"/>
      <c r="AJ3" s="39"/>
      <c r="AK3" s="39">
        <v>0.30599999999999999</v>
      </c>
      <c r="AL3" s="39"/>
      <c r="AM3" s="39">
        <v>0.79100000000000004</v>
      </c>
      <c r="AN3" s="39"/>
      <c r="AO3" s="39"/>
      <c r="AP3" s="39"/>
      <c r="AQ3" s="39"/>
      <c r="AR3" s="39">
        <v>15.3</v>
      </c>
      <c r="AS3" s="39"/>
      <c r="AT3" s="39"/>
      <c r="AU3" s="39"/>
      <c r="AV3" s="39"/>
      <c r="AW3" s="39"/>
      <c r="AX3" s="39"/>
      <c r="AY3" s="39"/>
      <c r="AZ3" s="39">
        <v>0.61699999999999999</v>
      </c>
      <c r="BA3" s="39"/>
      <c r="BB3" s="39"/>
      <c r="BC3" s="39"/>
      <c r="BD3" s="39"/>
      <c r="BE3" s="39"/>
      <c r="BF3" s="39"/>
      <c r="BG3" s="39"/>
      <c r="BH3" s="39"/>
      <c r="BI3" s="39"/>
      <c r="BJ3" s="39"/>
      <c r="BK3" s="39"/>
      <c r="BL3" s="39"/>
      <c r="BM3" s="39"/>
      <c r="BN3" s="39"/>
      <c r="BO3" s="39"/>
      <c r="BP3" s="39"/>
      <c r="BQ3" s="39"/>
      <c r="BR3" s="39">
        <v>0.36199999999999999</v>
      </c>
      <c r="BS3" s="39"/>
      <c r="BT3" s="39"/>
      <c r="BU3" s="39"/>
    </row>
    <row r="4" spans="1:73" ht="15">
      <c r="A4" s="21" t="s">
        <v>159</v>
      </c>
      <c r="B4" s="14">
        <f t="shared" si="0"/>
        <v>22.294</v>
      </c>
      <c r="C4" s="39"/>
      <c r="D4" s="39"/>
      <c r="E4" s="39"/>
      <c r="F4" s="39"/>
      <c r="G4" s="39"/>
      <c r="H4" s="39"/>
      <c r="I4" s="39">
        <v>1.2</v>
      </c>
      <c r="J4" s="39"/>
      <c r="K4" s="39"/>
      <c r="L4" s="39"/>
      <c r="M4" s="39"/>
      <c r="N4" s="39"/>
      <c r="O4" s="39">
        <v>3.1</v>
      </c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>
        <v>0.40400000000000003</v>
      </c>
      <c r="AD4" s="39">
        <v>0.28999999999999998</v>
      </c>
      <c r="AE4" s="39"/>
      <c r="AF4" s="39"/>
      <c r="AG4" s="39"/>
      <c r="AH4" s="39"/>
      <c r="AI4" s="39"/>
      <c r="AJ4" s="39"/>
      <c r="AK4" s="39"/>
      <c r="AL4" s="39"/>
      <c r="AM4" s="39"/>
      <c r="AN4" s="39"/>
      <c r="AO4" s="39"/>
      <c r="AP4" s="39"/>
      <c r="AQ4" s="39"/>
      <c r="AR4" s="39"/>
      <c r="AS4" s="39"/>
      <c r="AT4" s="39"/>
      <c r="AU4" s="39"/>
      <c r="AV4" s="39"/>
      <c r="AW4" s="39"/>
      <c r="AX4" s="39"/>
      <c r="AY4" s="39">
        <v>17.3</v>
      </c>
      <c r="AZ4" s="39"/>
      <c r="BA4" s="39"/>
      <c r="BB4" s="39"/>
      <c r="BC4" s="39"/>
      <c r="BD4" s="39"/>
      <c r="BE4" s="39"/>
      <c r="BF4" s="39"/>
      <c r="BG4" s="39"/>
      <c r="BH4" s="39"/>
      <c r="BI4" s="39"/>
      <c r="BJ4" s="39"/>
      <c r="BK4" s="39"/>
      <c r="BL4" s="39"/>
      <c r="BM4" s="39"/>
      <c r="BN4" s="39"/>
      <c r="BO4" s="39"/>
      <c r="BP4" s="39"/>
      <c r="BQ4" s="39"/>
      <c r="BR4" s="39"/>
      <c r="BS4" s="39"/>
      <c r="BT4" s="39"/>
      <c r="BU4" s="39"/>
    </row>
    <row r="5" spans="1:73" ht="15">
      <c r="A5" s="21" t="s">
        <v>160</v>
      </c>
      <c r="B5" s="14">
        <f t="shared" si="0"/>
        <v>12.689</v>
      </c>
      <c r="C5" s="39"/>
      <c r="D5" s="39"/>
      <c r="E5" s="39"/>
      <c r="F5" s="39"/>
      <c r="G5" s="39"/>
      <c r="H5" s="39">
        <v>11.5</v>
      </c>
      <c r="I5" s="39"/>
      <c r="J5" s="39"/>
      <c r="K5" s="39"/>
      <c r="L5" s="39"/>
      <c r="M5" s="39"/>
      <c r="N5" s="39"/>
      <c r="O5" s="39">
        <v>0.16700000000000001</v>
      </c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>
        <v>0.50700000000000001</v>
      </c>
      <c r="AH5" s="39"/>
      <c r="AI5" s="39"/>
      <c r="AJ5" s="39"/>
      <c r="AK5" s="39"/>
      <c r="AL5" s="39"/>
      <c r="AM5" s="39"/>
      <c r="AN5" s="39"/>
      <c r="AO5" s="39"/>
      <c r="AP5" s="39"/>
      <c r="AQ5" s="39"/>
      <c r="AR5" s="39"/>
      <c r="AS5" s="39"/>
      <c r="AT5" s="39"/>
      <c r="AU5" s="39"/>
      <c r="AV5" s="39"/>
      <c r="AW5" s="39"/>
      <c r="AX5" s="39"/>
      <c r="AY5" s="39"/>
      <c r="AZ5" s="39"/>
      <c r="BA5" s="39"/>
      <c r="BB5" s="39"/>
      <c r="BC5" s="39">
        <v>0.51500000000000001</v>
      </c>
      <c r="BD5" s="39"/>
      <c r="BE5" s="39"/>
      <c r="BF5" s="39"/>
      <c r="BG5" s="39"/>
      <c r="BH5" s="39"/>
      <c r="BI5" s="39"/>
      <c r="BJ5" s="39"/>
      <c r="BK5" s="39"/>
      <c r="BL5" s="39"/>
      <c r="BM5" s="39"/>
      <c r="BN5" s="39"/>
      <c r="BO5" s="39"/>
      <c r="BP5" s="39"/>
      <c r="BQ5" s="39"/>
      <c r="BR5" s="39"/>
      <c r="BS5" s="39"/>
      <c r="BT5" s="39"/>
      <c r="BU5" s="39"/>
    </row>
    <row r="6" spans="1:73" ht="15">
      <c r="A6" s="21" t="s">
        <v>161</v>
      </c>
      <c r="B6" s="14">
        <f t="shared" si="0"/>
        <v>0.124</v>
      </c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>
        <v>0.124</v>
      </c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/>
      <c r="AL6" s="39"/>
      <c r="AM6" s="39"/>
      <c r="AN6" s="39"/>
      <c r="AO6" s="39"/>
      <c r="AP6" s="39"/>
      <c r="AQ6" s="39"/>
      <c r="AR6" s="39"/>
      <c r="AS6" s="39"/>
      <c r="AT6" s="39"/>
      <c r="AU6" s="39"/>
      <c r="AV6" s="39"/>
      <c r="AW6" s="39"/>
      <c r="AX6" s="39"/>
      <c r="AY6" s="39"/>
      <c r="AZ6" s="39"/>
      <c r="BA6" s="39"/>
      <c r="BB6" s="39"/>
      <c r="BC6" s="39"/>
      <c r="BD6" s="39"/>
      <c r="BE6" s="39"/>
      <c r="BF6" s="39"/>
      <c r="BG6" s="39"/>
      <c r="BH6" s="39"/>
      <c r="BI6" s="39"/>
      <c r="BJ6" s="39"/>
      <c r="BK6" s="39"/>
      <c r="BL6" s="39"/>
      <c r="BM6" s="39"/>
      <c r="BN6" s="39"/>
      <c r="BO6" s="39"/>
      <c r="BP6" s="39"/>
      <c r="BQ6" s="39"/>
      <c r="BR6" s="39"/>
      <c r="BS6" s="39"/>
      <c r="BT6" s="39"/>
      <c r="BU6" s="39"/>
    </row>
    <row r="7" spans="1:73" ht="15">
      <c r="A7" s="21" t="s">
        <v>162</v>
      </c>
      <c r="B7" s="14">
        <f t="shared" si="0"/>
        <v>12.752999999999998</v>
      </c>
      <c r="C7" s="39"/>
      <c r="D7" s="39"/>
      <c r="E7" s="39"/>
      <c r="F7" s="39"/>
      <c r="G7" s="39"/>
      <c r="H7" s="39"/>
      <c r="I7" s="39"/>
      <c r="J7" s="39"/>
      <c r="K7" s="39"/>
      <c r="L7" s="39"/>
      <c r="M7" s="39">
        <v>2</v>
      </c>
      <c r="N7" s="39"/>
      <c r="O7" s="39">
        <v>0.71599999999999997</v>
      </c>
      <c r="P7" s="39"/>
      <c r="Q7" s="39"/>
      <c r="R7" s="39"/>
      <c r="S7" s="39">
        <v>8.1999999999999993</v>
      </c>
      <c r="T7" s="39"/>
      <c r="U7" s="39"/>
      <c r="V7" s="39"/>
      <c r="W7" s="39"/>
      <c r="X7" s="39">
        <v>0.53300000000000003</v>
      </c>
      <c r="Y7" s="39"/>
      <c r="Z7" s="39"/>
      <c r="AA7" s="39"/>
      <c r="AB7" s="39"/>
      <c r="AC7" s="39"/>
      <c r="AD7" s="39"/>
      <c r="AE7" s="39"/>
      <c r="AF7" s="39"/>
      <c r="AG7" s="39">
        <v>0.52400000000000002</v>
      </c>
      <c r="AH7" s="39"/>
      <c r="AI7" s="39"/>
      <c r="AJ7" s="39"/>
      <c r="AK7" s="39"/>
      <c r="AL7" s="39"/>
      <c r="AM7" s="39"/>
      <c r="AN7" s="39"/>
      <c r="AO7" s="39"/>
      <c r="AP7" s="39"/>
      <c r="AQ7" s="39"/>
      <c r="AR7" s="39"/>
      <c r="AS7" s="39"/>
      <c r="AT7" s="39"/>
      <c r="AU7" s="39"/>
      <c r="AV7" s="39"/>
      <c r="AW7" s="39"/>
      <c r="AX7" s="39">
        <v>0.78</v>
      </c>
      <c r="AY7" s="39"/>
      <c r="AZ7" s="39"/>
      <c r="BA7" s="39"/>
      <c r="BB7" s="39"/>
      <c r="BC7" s="39"/>
      <c r="BD7" s="39"/>
      <c r="BE7" s="39"/>
      <c r="BF7" s="39"/>
      <c r="BG7" s="39"/>
      <c r="BH7" s="39"/>
      <c r="BI7" s="39"/>
      <c r="BJ7" s="39"/>
      <c r="BK7" s="39"/>
      <c r="BL7" s="39"/>
      <c r="BM7" s="39"/>
      <c r="BN7" s="39"/>
      <c r="BO7" s="39"/>
      <c r="BP7" s="39"/>
      <c r="BQ7" s="39"/>
      <c r="BR7" s="39"/>
      <c r="BS7" s="39"/>
      <c r="BT7" s="39"/>
      <c r="BU7" s="39"/>
    </row>
    <row r="8" spans="1:73" ht="15">
      <c r="A8" s="21" t="s">
        <v>163</v>
      </c>
      <c r="B8" s="14">
        <f t="shared" si="0"/>
        <v>0.1</v>
      </c>
      <c r="C8" s="39"/>
      <c r="D8" s="39"/>
      <c r="E8" s="39"/>
      <c r="F8" s="39"/>
      <c r="G8" s="39"/>
      <c r="H8" s="39"/>
      <c r="I8" s="39"/>
      <c r="J8" s="39"/>
      <c r="K8" s="39"/>
      <c r="L8" s="39"/>
      <c r="M8" s="39"/>
      <c r="N8" s="39"/>
      <c r="O8" s="39">
        <v>0.1</v>
      </c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  <c r="AN8" s="39"/>
      <c r="AO8" s="39"/>
      <c r="AP8" s="39"/>
      <c r="AQ8" s="39"/>
      <c r="AR8" s="39"/>
      <c r="AS8" s="39"/>
      <c r="AT8" s="39"/>
      <c r="AU8" s="39"/>
      <c r="AV8" s="39"/>
      <c r="AW8" s="39"/>
      <c r="AX8" s="39"/>
      <c r="AY8" s="39"/>
      <c r="AZ8" s="39"/>
      <c r="BA8" s="39"/>
      <c r="BB8" s="39"/>
      <c r="BC8" s="39"/>
      <c r="BD8" s="39"/>
      <c r="BE8" s="39"/>
      <c r="BF8" s="39"/>
      <c r="BG8" s="39"/>
      <c r="BH8" s="39"/>
      <c r="BI8" s="39"/>
      <c r="BJ8" s="39"/>
      <c r="BK8" s="39"/>
      <c r="BL8" s="39"/>
      <c r="BM8" s="39"/>
      <c r="BN8" s="39"/>
      <c r="BO8" s="39"/>
      <c r="BP8" s="39"/>
      <c r="BQ8" s="39"/>
      <c r="BR8" s="39"/>
      <c r="BS8" s="39"/>
      <c r="BT8" s="39"/>
      <c r="BU8" s="39"/>
    </row>
    <row r="9" spans="1:73" ht="15">
      <c r="A9" s="21" t="s">
        <v>164</v>
      </c>
      <c r="B9" s="14">
        <f t="shared" si="0"/>
        <v>368.85799999999995</v>
      </c>
      <c r="C9" s="39"/>
      <c r="D9" s="39"/>
      <c r="E9" s="39"/>
      <c r="F9" s="39">
        <v>28.9</v>
      </c>
      <c r="G9" s="39"/>
      <c r="H9" s="39"/>
      <c r="I9" s="39"/>
      <c r="J9" s="39"/>
      <c r="K9" s="39"/>
      <c r="L9" s="39"/>
      <c r="M9" s="39"/>
      <c r="N9" s="39"/>
      <c r="O9" s="39">
        <v>2.7</v>
      </c>
      <c r="P9" s="39">
        <v>88.1</v>
      </c>
      <c r="Q9" s="39"/>
      <c r="R9" s="39"/>
      <c r="S9" s="39"/>
      <c r="T9" s="39"/>
      <c r="U9" s="39"/>
      <c r="V9" s="39">
        <v>35.200000000000003</v>
      </c>
      <c r="W9" s="39"/>
      <c r="X9" s="39">
        <v>0.113</v>
      </c>
      <c r="Y9" s="39"/>
      <c r="Z9" s="39"/>
      <c r="AA9" s="39">
        <v>0.84</v>
      </c>
      <c r="AB9" s="39"/>
      <c r="AC9" s="39">
        <v>1.1000000000000001</v>
      </c>
      <c r="AD9" s="39"/>
      <c r="AE9" s="39"/>
      <c r="AF9" s="39"/>
      <c r="AG9" s="39"/>
      <c r="AH9" s="39">
        <v>14.3</v>
      </c>
      <c r="AI9" s="39"/>
      <c r="AJ9" s="39"/>
      <c r="AK9" s="39"/>
      <c r="AL9" s="39">
        <v>9.4E-2</v>
      </c>
      <c r="AM9" s="39"/>
      <c r="AN9" s="39"/>
      <c r="AO9" s="39"/>
      <c r="AP9" s="39"/>
      <c r="AQ9" s="39"/>
      <c r="AR9" s="39"/>
      <c r="AS9" s="39"/>
      <c r="AT9" s="39"/>
      <c r="AU9" s="39"/>
      <c r="AV9" s="39"/>
      <c r="AW9" s="39">
        <v>80.400000000000006</v>
      </c>
      <c r="AX9" s="39"/>
      <c r="AY9" s="39">
        <v>29.2</v>
      </c>
      <c r="AZ9" s="39"/>
      <c r="BA9" s="39"/>
      <c r="BB9" s="39"/>
      <c r="BC9" s="39"/>
      <c r="BD9" s="39"/>
      <c r="BE9" s="39"/>
      <c r="BF9" s="39">
        <v>8.8000000000000007</v>
      </c>
      <c r="BG9" s="39"/>
      <c r="BH9" s="39"/>
      <c r="BI9" s="39"/>
      <c r="BJ9" s="39">
        <v>68.599999999999994</v>
      </c>
      <c r="BK9" s="39">
        <v>10.199999999999999</v>
      </c>
      <c r="BL9" s="39"/>
      <c r="BM9" s="39"/>
      <c r="BN9" s="39"/>
      <c r="BO9" s="39"/>
      <c r="BP9" s="39"/>
      <c r="BQ9" s="39"/>
      <c r="BR9" s="39">
        <v>0.311</v>
      </c>
      <c r="BS9" s="39"/>
      <c r="BT9" s="39"/>
      <c r="BU9" s="39"/>
    </row>
    <row r="10" spans="1:73" ht="15">
      <c r="A10" s="21" t="s">
        <v>165</v>
      </c>
      <c r="B10" s="14">
        <f t="shared" si="0"/>
        <v>139.876</v>
      </c>
      <c r="C10" s="39"/>
      <c r="D10" s="39"/>
      <c r="E10" s="39"/>
      <c r="F10" s="39"/>
      <c r="G10" s="39">
        <v>46.8</v>
      </c>
      <c r="H10" s="39"/>
      <c r="I10" s="39"/>
      <c r="J10" s="39"/>
      <c r="K10" s="39"/>
      <c r="L10" s="39"/>
      <c r="M10" s="39"/>
      <c r="N10" s="39"/>
      <c r="O10" s="39">
        <v>11.2</v>
      </c>
      <c r="P10" s="39"/>
      <c r="Q10" s="39"/>
      <c r="R10" s="39"/>
      <c r="S10" s="39"/>
      <c r="T10" s="39"/>
      <c r="U10" s="39">
        <v>16.600000000000001</v>
      </c>
      <c r="V10" s="39"/>
      <c r="W10" s="39"/>
      <c r="X10" s="39"/>
      <c r="Y10" s="39"/>
      <c r="Z10" s="39"/>
      <c r="AA10" s="39"/>
      <c r="AB10" s="39">
        <v>9.1999999999999993</v>
      </c>
      <c r="AC10" s="39">
        <v>1.2</v>
      </c>
      <c r="AD10" s="39"/>
      <c r="AE10" s="39"/>
      <c r="AF10" s="39"/>
      <c r="AG10" s="39">
        <v>6.8</v>
      </c>
      <c r="AH10" s="39"/>
      <c r="AI10" s="39"/>
      <c r="AJ10" s="39"/>
      <c r="AK10" s="39"/>
      <c r="AL10" s="39"/>
      <c r="AM10" s="39"/>
      <c r="AN10" s="39"/>
      <c r="AO10" s="39"/>
      <c r="AP10" s="39"/>
      <c r="AQ10" s="39">
        <v>22.7</v>
      </c>
      <c r="AR10" s="39"/>
      <c r="AS10" s="39">
        <v>0.10199999999999999</v>
      </c>
      <c r="AT10" s="39"/>
      <c r="AU10" s="39"/>
      <c r="AV10" s="39"/>
      <c r="AW10" s="39"/>
      <c r="AX10" s="39"/>
      <c r="AY10" s="39"/>
      <c r="AZ10" s="39"/>
      <c r="BA10" s="39">
        <v>0.54400000000000004</v>
      </c>
      <c r="BB10" s="39"/>
      <c r="BC10" s="39"/>
      <c r="BD10" s="39"/>
      <c r="BE10" s="39"/>
      <c r="BF10" s="39"/>
      <c r="BG10" s="39"/>
      <c r="BH10" s="39">
        <v>0.13</v>
      </c>
      <c r="BI10" s="39"/>
      <c r="BJ10" s="39"/>
      <c r="BK10" s="39"/>
      <c r="BL10" s="39"/>
      <c r="BM10" s="39"/>
      <c r="BN10" s="39"/>
      <c r="BO10" s="39"/>
      <c r="BP10" s="39"/>
      <c r="BQ10" s="39"/>
      <c r="BR10" s="39">
        <v>3.2</v>
      </c>
      <c r="BS10" s="39">
        <v>21.4</v>
      </c>
      <c r="BT10" s="39"/>
      <c r="BU10" s="39"/>
    </row>
    <row r="11" spans="1:73" ht="15">
      <c r="A11" s="21" t="s">
        <v>166</v>
      </c>
      <c r="B11" s="14">
        <f t="shared" si="0"/>
        <v>26.558000000000003</v>
      </c>
      <c r="C11" s="39"/>
      <c r="D11" s="39"/>
      <c r="E11" s="39"/>
      <c r="F11" s="39"/>
      <c r="G11" s="39"/>
      <c r="H11" s="39"/>
      <c r="I11" s="39">
        <v>0.88</v>
      </c>
      <c r="J11" s="39"/>
      <c r="K11" s="39"/>
      <c r="L11" s="39"/>
      <c r="M11" s="39"/>
      <c r="N11" s="39"/>
      <c r="O11" s="39">
        <v>3.2</v>
      </c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>
        <v>0.56200000000000006</v>
      </c>
      <c r="AD11" s="39"/>
      <c r="AE11" s="39"/>
      <c r="AF11" s="39">
        <v>6.6000000000000003E-2</v>
      </c>
      <c r="AG11" s="39"/>
      <c r="AH11" s="39"/>
      <c r="AI11" s="39">
        <v>16.2</v>
      </c>
      <c r="AJ11" s="39"/>
      <c r="AK11" s="39"/>
      <c r="AL11" s="39"/>
      <c r="AM11" s="39"/>
      <c r="AN11" s="39"/>
      <c r="AO11" s="39"/>
      <c r="AP11" s="39"/>
      <c r="AQ11" s="39"/>
      <c r="AR11" s="39"/>
      <c r="AS11" s="39"/>
      <c r="AT11" s="39"/>
      <c r="AU11" s="39">
        <v>2.7</v>
      </c>
      <c r="AV11" s="39"/>
      <c r="AW11" s="39"/>
      <c r="AX11" s="39"/>
      <c r="AY11" s="39">
        <v>2.6</v>
      </c>
      <c r="AZ11" s="39"/>
      <c r="BA11" s="39"/>
      <c r="BB11" s="39"/>
      <c r="BC11" s="39"/>
      <c r="BD11" s="39"/>
      <c r="BE11" s="39"/>
      <c r="BF11" s="39"/>
      <c r="BG11" s="39"/>
      <c r="BH11" s="39"/>
      <c r="BI11" s="39"/>
      <c r="BJ11" s="39">
        <v>0.35</v>
      </c>
      <c r="BK11" s="39"/>
      <c r="BL11" s="39"/>
      <c r="BM11" s="39"/>
      <c r="BN11" s="39"/>
      <c r="BO11" s="39"/>
      <c r="BP11" s="39"/>
      <c r="BQ11" s="39"/>
      <c r="BR11" s="39"/>
      <c r="BS11" s="39"/>
      <c r="BT11" s="39"/>
      <c r="BU11" s="39"/>
    </row>
    <row r="12" spans="1:73" ht="15">
      <c r="A12" s="21" t="s">
        <v>167</v>
      </c>
      <c r="B12" s="14">
        <f t="shared" si="0"/>
        <v>18.247</v>
      </c>
      <c r="C12" s="39"/>
      <c r="D12" s="39"/>
      <c r="E12" s="39"/>
      <c r="F12" s="39"/>
      <c r="G12" s="39"/>
      <c r="H12" s="39"/>
      <c r="I12" s="39">
        <v>1.1000000000000001</v>
      </c>
      <c r="J12" s="39"/>
      <c r="K12" s="39"/>
      <c r="L12" s="39"/>
      <c r="M12" s="39"/>
      <c r="N12" s="39"/>
      <c r="O12" s="39">
        <v>5</v>
      </c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39">
        <v>0.58299999999999996</v>
      </c>
      <c r="AD12" s="39"/>
      <c r="AE12" s="39"/>
      <c r="AF12" s="39"/>
      <c r="AG12" s="39"/>
      <c r="AH12" s="39"/>
      <c r="AI12" s="39">
        <v>0.5</v>
      </c>
      <c r="AJ12" s="39"/>
      <c r="AK12" s="39"/>
      <c r="AL12" s="39"/>
      <c r="AM12" s="39"/>
      <c r="AN12" s="39"/>
      <c r="AO12" s="39">
        <v>4.5</v>
      </c>
      <c r="AP12" s="39"/>
      <c r="AQ12" s="39"/>
      <c r="AR12" s="39"/>
      <c r="AS12" s="39"/>
      <c r="AT12" s="39"/>
      <c r="AU12" s="39">
        <v>2.7</v>
      </c>
      <c r="AV12" s="39"/>
      <c r="AW12" s="39"/>
      <c r="AX12" s="39"/>
      <c r="AY12" s="39">
        <v>3.6</v>
      </c>
      <c r="AZ12" s="39"/>
      <c r="BA12" s="39"/>
      <c r="BB12" s="39"/>
      <c r="BC12" s="39"/>
      <c r="BD12" s="39"/>
      <c r="BE12" s="39"/>
      <c r="BF12" s="39"/>
      <c r="BG12" s="39"/>
      <c r="BH12" s="39"/>
      <c r="BI12" s="39"/>
      <c r="BJ12" s="39">
        <v>0.26400000000000001</v>
      </c>
      <c r="BK12" s="39"/>
      <c r="BL12" s="39"/>
      <c r="BM12" s="39"/>
      <c r="BN12" s="39"/>
      <c r="BO12" s="39"/>
      <c r="BP12" s="39"/>
      <c r="BQ12" s="39"/>
      <c r="BR12" s="39"/>
      <c r="BS12" s="39"/>
      <c r="BT12" s="39"/>
      <c r="BU12" s="39"/>
    </row>
    <row r="13" spans="1:73" ht="15">
      <c r="A13" s="21" t="s">
        <v>168</v>
      </c>
      <c r="B13" s="14">
        <f t="shared" si="0"/>
        <v>0.63300000000000001</v>
      </c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>
        <v>0.63300000000000001</v>
      </c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39"/>
      <c r="AG13" s="39"/>
      <c r="AH13" s="39"/>
      <c r="AI13" s="39"/>
      <c r="AJ13" s="39"/>
      <c r="AK13" s="39"/>
      <c r="AL13" s="39"/>
      <c r="AM13" s="39"/>
      <c r="AN13" s="39"/>
      <c r="AO13" s="39"/>
      <c r="AP13" s="39"/>
      <c r="AQ13" s="39"/>
      <c r="AR13" s="39"/>
      <c r="AS13" s="39"/>
      <c r="AT13" s="39"/>
      <c r="AU13" s="39"/>
      <c r="AV13" s="39"/>
      <c r="AW13" s="39"/>
      <c r="AX13" s="39"/>
      <c r="AY13" s="39"/>
      <c r="AZ13" s="39"/>
      <c r="BA13" s="39"/>
      <c r="BB13" s="39"/>
      <c r="BC13" s="39"/>
      <c r="BD13" s="39"/>
      <c r="BE13" s="39"/>
      <c r="BF13" s="39"/>
      <c r="BG13" s="39"/>
      <c r="BH13" s="39"/>
      <c r="BI13" s="39"/>
      <c r="BJ13" s="39"/>
      <c r="BK13" s="39"/>
      <c r="BL13" s="39"/>
      <c r="BM13" s="39"/>
      <c r="BN13" s="39"/>
      <c r="BO13" s="39"/>
      <c r="BP13" s="39"/>
      <c r="BQ13" s="39"/>
      <c r="BR13" s="39"/>
      <c r="BS13" s="39"/>
      <c r="BT13" s="39"/>
      <c r="BU13" s="39"/>
    </row>
    <row r="14" spans="1:73" ht="15">
      <c r="A14" s="21" t="s">
        <v>169</v>
      </c>
      <c r="B14" s="14">
        <f t="shared" si="0"/>
        <v>0.114</v>
      </c>
      <c r="C14" s="39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>
        <v>0.114</v>
      </c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9"/>
      <c r="AC14" s="39"/>
      <c r="AD14" s="39"/>
      <c r="AE14" s="39"/>
      <c r="AF14" s="39"/>
      <c r="AG14" s="39"/>
      <c r="AH14" s="39"/>
      <c r="AI14" s="39"/>
      <c r="AJ14" s="39"/>
      <c r="AK14" s="39"/>
      <c r="AL14" s="39"/>
      <c r="AM14" s="39"/>
      <c r="AN14" s="39"/>
      <c r="AO14" s="39"/>
      <c r="AP14" s="39"/>
      <c r="AQ14" s="39"/>
      <c r="AR14" s="39"/>
      <c r="AS14" s="39"/>
      <c r="AT14" s="39"/>
      <c r="AU14" s="39"/>
      <c r="AV14" s="39"/>
      <c r="AW14" s="39"/>
      <c r="AX14" s="39"/>
      <c r="AY14" s="39"/>
      <c r="AZ14" s="39"/>
      <c r="BA14" s="39"/>
      <c r="BB14" s="39"/>
      <c r="BC14" s="39"/>
      <c r="BD14" s="39"/>
      <c r="BE14" s="39"/>
      <c r="BF14" s="39"/>
      <c r="BG14" s="39"/>
      <c r="BH14" s="39"/>
      <c r="BI14" s="39"/>
      <c r="BJ14" s="39"/>
      <c r="BK14" s="39"/>
      <c r="BL14" s="39"/>
      <c r="BM14" s="39"/>
      <c r="BN14" s="39"/>
      <c r="BO14" s="39"/>
      <c r="BP14" s="39"/>
      <c r="BQ14" s="39"/>
      <c r="BR14" s="39"/>
      <c r="BS14" s="39"/>
      <c r="BT14" s="39"/>
      <c r="BU14" s="39"/>
    </row>
    <row r="15" spans="1:73" ht="15">
      <c r="A15" s="21" t="s">
        <v>170</v>
      </c>
      <c r="B15" s="14">
        <f t="shared" si="0"/>
        <v>0.41199999999999998</v>
      </c>
      <c r="C15" s="39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>
        <v>0.41199999999999998</v>
      </c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  <c r="AG15" s="39"/>
      <c r="AH15" s="39"/>
      <c r="AI15" s="39"/>
      <c r="AJ15" s="39"/>
      <c r="AK15" s="39"/>
      <c r="AL15" s="39"/>
      <c r="AM15" s="39"/>
      <c r="AN15" s="39"/>
      <c r="AO15" s="39"/>
      <c r="AP15" s="39"/>
      <c r="AQ15" s="39"/>
      <c r="AR15" s="39"/>
      <c r="AS15" s="39"/>
      <c r="AT15" s="39"/>
      <c r="AU15" s="39"/>
      <c r="AV15" s="39"/>
      <c r="AW15" s="39"/>
      <c r="AX15" s="39"/>
      <c r="AY15" s="39"/>
      <c r="AZ15" s="39"/>
      <c r="BA15" s="39"/>
      <c r="BB15" s="39"/>
      <c r="BC15" s="39"/>
      <c r="BD15" s="39"/>
      <c r="BE15" s="39"/>
      <c r="BF15" s="39"/>
      <c r="BG15" s="39"/>
      <c r="BH15" s="39"/>
      <c r="BI15" s="39"/>
      <c r="BJ15" s="39"/>
      <c r="BK15" s="39"/>
      <c r="BL15" s="39"/>
      <c r="BM15" s="39"/>
      <c r="BN15" s="39"/>
      <c r="BO15" s="39"/>
      <c r="BP15" s="39"/>
      <c r="BQ15" s="39"/>
      <c r="BR15" s="39"/>
      <c r="BS15" s="39"/>
      <c r="BT15" s="39"/>
      <c r="BU15" s="39"/>
    </row>
    <row r="16" spans="1:73" ht="15">
      <c r="A16" s="21" t="s">
        <v>171</v>
      </c>
      <c r="B16" s="14">
        <f t="shared" si="0"/>
        <v>0.84299999999999997</v>
      </c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>
        <v>0.84299999999999997</v>
      </c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  <c r="AD16" s="39"/>
      <c r="AE16" s="39"/>
      <c r="AF16" s="39"/>
      <c r="AG16" s="39"/>
      <c r="AH16" s="39"/>
      <c r="AI16" s="39"/>
      <c r="AJ16" s="39"/>
      <c r="AK16" s="39"/>
      <c r="AL16" s="39"/>
      <c r="AM16" s="39"/>
      <c r="AN16" s="39"/>
      <c r="AO16" s="39"/>
      <c r="AP16" s="39"/>
      <c r="AQ16" s="39"/>
      <c r="AR16" s="39"/>
      <c r="AS16" s="39"/>
      <c r="AT16" s="39"/>
      <c r="AU16" s="39"/>
      <c r="AV16" s="39"/>
      <c r="AW16" s="39"/>
      <c r="AX16" s="39"/>
      <c r="AY16" s="39"/>
      <c r="AZ16" s="39"/>
      <c r="BA16" s="39"/>
      <c r="BB16" s="39"/>
      <c r="BC16" s="39"/>
      <c r="BD16" s="39"/>
      <c r="BE16" s="39"/>
      <c r="BF16" s="39"/>
      <c r="BG16" s="39"/>
      <c r="BH16" s="39"/>
      <c r="BI16" s="39"/>
      <c r="BJ16" s="39"/>
      <c r="BK16" s="39"/>
      <c r="BL16" s="39"/>
      <c r="BM16" s="39"/>
      <c r="BN16" s="39"/>
      <c r="BO16" s="39"/>
      <c r="BP16" s="39"/>
      <c r="BQ16" s="39"/>
      <c r="BR16" s="39"/>
      <c r="BS16" s="39"/>
      <c r="BT16" s="39"/>
      <c r="BU16" s="39"/>
    </row>
    <row r="17" spans="1:73" ht="15">
      <c r="A17" s="21" t="s">
        <v>172</v>
      </c>
      <c r="B17" s="14">
        <f t="shared" si="0"/>
        <v>0.10100000000000001</v>
      </c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>
        <v>0.10100000000000001</v>
      </c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  <c r="AG17" s="39"/>
      <c r="AH17" s="39"/>
      <c r="AI17" s="39"/>
      <c r="AJ17" s="39"/>
      <c r="AK17" s="39"/>
      <c r="AL17" s="39"/>
      <c r="AM17" s="39"/>
      <c r="AN17" s="39"/>
      <c r="AO17" s="39"/>
      <c r="AP17" s="39"/>
      <c r="AQ17" s="39"/>
      <c r="AR17" s="39"/>
      <c r="AS17" s="39"/>
      <c r="AT17" s="39"/>
      <c r="AU17" s="39"/>
      <c r="AV17" s="39"/>
      <c r="AW17" s="39"/>
      <c r="AX17" s="39"/>
      <c r="AY17" s="39"/>
      <c r="AZ17" s="39"/>
      <c r="BA17" s="39"/>
      <c r="BB17" s="39"/>
      <c r="BC17" s="39"/>
      <c r="BD17" s="39"/>
      <c r="BE17" s="39"/>
      <c r="BF17" s="39"/>
      <c r="BG17" s="39"/>
      <c r="BH17" s="39"/>
      <c r="BI17" s="39"/>
      <c r="BJ17" s="39"/>
      <c r="BK17" s="39"/>
      <c r="BL17" s="39"/>
      <c r="BM17" s="39"/>
      <c r="BN17" s="39"/>
      <c r="BO17" s="39"/>
      <c r="BP17" s="39"/>
      <c r="BQ17" s="39"/>
      <c r="BR17" s="39"/>
      <c r="BS17" s="39"/>
      <c r="BT17" s="39"/>
      <c r="BU17" s="39"/>
    </row>
    <row r="18" spans="1:73" ht="15">
      <c r="A18" s="21" t="s">
        <v>173</v>
      </c>
      <c r="B18" s="14">
        <f t="shared" si="0"/>
        <v>56.609000000000002</v>
      </c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>
        <v>0.70799999999999996</v>
      </c>
      <c r="P18" s="39"/>
      <c r="Q18" s="39"/>
      <c r="R18" s="39"/>
      <c r="S18" s="39"/>
      <c r="T18" s="39"/>
      <c r="U18" s="39"/>
      <c r="V18" s="39"/>
      <c r="W18" s="39"/>
      <c r="X18" s="39">
        <v>46</v>
      </c>
      <c r="Y18" s="39"/>
      <c r="Z18" s="39"/>
      <c r="AA18" s="39"/>
      <c r="AB18" s="39"/>
      <c r="AC18" s="39"/>
      <c r="AD18" s="39"/>
      <c r="AE18" s="39">
        <v>0.10100000000000001</v>
      </c>
      <c r="AF18" s="39"/>
      <c r="AG18" s="39">
        <v>4.0999999999999996</v>
      </c>
      <c r="AH18" s="39"/>
      <c r="AI18" s="39"/>
      <c r="AJ18" s="39"/>
      <c r="AK18" s="39"/>
      <c r="AL18" s="39"/>
      <c r="AM18" s="39"/>
      <c r="AN18" s="39"/>
      <c r="AO18" s="39"/>
      <c r="AP18" s="39"/>
      <c r="AQ18" s="39"/>
      <c r="AR18" s="39"/>
      <c r="AS18" s="39"/>
      <c r="AT18" s="39"/>
      <c r="AU18" s="39"/>
      <c r="AV18" s="39"/>
      <c r="AW18" s="39"/>
      <c r="AX18" s="39"/>
      <c r="AY18" s="39"/>
      <c r="AZ18" s="39"/>
      <c r="BA18" s="39"/>
      <c r="BB18" s="39"/>
      <c r="BC18" s="39"/>
      <c r="BD18" s="39"/>
      <c r="BE18" s="39"/>
      <c r="BF18" s="39"/>
      <c r="BG18" s="39"/>
      <c r="BH18" s="39">
        <v>5.7</v>
      </c>
      <c r="BI18" s="39"/>
      <c r="BJ18" s="39"/>
      <c r="BK18" s="39"/>
      <c r="BL18" s="39"/>
      <c r="BM18" s="39"/>
      <c r="BN18" s="39"/>
      <c r="BO18" s="39"/>
      <c r="BP18" s="39"/>
      <c r="BQ18" s="39"/>
      <c r="BR18" s="39"/>
      <c r="BS18" s="39"/>
      <c r="BT18" s="39"/>
      <c r="BU18" s="39"/>
    </row>
    <row r="19" spans="1:73" ht="15">
      <c r="A19" s="21" t="s">
        <v>174</v>
      </c>
      <c r="B19" s="14">
        <f t="shared" si="0"/>
        <v>0.05</v>
      </c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>
        <v>0.05</v>
      </c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  <c r="AK19" s="39"/>
      <c r="AL19" s="39"/>
      <c r="AM19" s="39"/>
      <c r="AN19" s="39"/>
      <c r="AO19" s="39"/>
      <c r="AP19" s="39"/>
      <c r="AQ19" s="39"/>
      <c r="AR19" s="39"/>
      <c r="AS19" s="39"/>
      <c r="AT19" s="39"/>
      <c r="AU19" s="39"/>
      <c r="AV19" s="39"/>
      <c r="AW19" s="39"/>
      <c r="AX19" s="39"/>
      <c r="AY19" s="39"/>
      <c r="AZ19" s="39"/>
      <c r="BA19" s="39"/>
      <c r="BB19" s="39"/>
      <c r="BC19" s="39"/>
      <c r="BD19" s="39"/>
      <c r="BE19" s="39"/>
      <c r="BF19" s="39"/>
      <c r="BG19" s="39"/>
      <c r="BH19" s="39"/>
      <c r="BI19" s="39"/>
      <c r="BJ19" s="39"/>
      <c r="BK19" s="39"/>
      <c r="BL19" s="39"/>
      <c r="BM19" s="39"/>
      <c r="BN19" s="39"/>
      <c r="BO19" s="39"/>
      <c r="BP19" s="39"/>
      <c r="BQ19" s="39"/>
      <c r="BR19" s="39"/>
      <c r="BS19" s="39"/>
      <c r="BT19" s="39"/>
      <c r="BU19" s="39"/>
    </row>
    <row r="20" spans="1:73" ht="15">
      <c r="A20" s="21" t="s">
        <v>175</v>
      </c>
      <c r="B20" s="14">
        <f t="shared" si="0"/>
        <v>270.17100000000005</v>
      </c>
      <c r="C20" s="39">
        <v>0.83599999999999997</v>
      </c>
      <c r="D20" s="39"/>
      <c r="E20" s="39"/>
      <c r="F20" s="39"/>
      <c r="G20" s="39"/>
      <c r="H20" s="39">
        <v>171</v>
      </c>
      <c r="I20" s="39"/>
      <c r="J20" s="39"/>
      <c r="K20" s="39"/>
      <c r="L20" s="39"/>
      <c r="M20" s="39"/>
      <c r="N20" s="39"/>
      <c r="O20" s="39">
        <v>1.4</v>
      </c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  <c r="AA20" s="39"/>
      <c r="AB20" s="39"/>
      <c r="AC20" s="39"/>
      <c r="AD20" s="39">
        <v>53.9</v>
      </c>
      <c r="AE20" s="39"/>
      <c r="AF20" s="39"/>
      <c r="AG20" s="39">
        <v>12</v>
      </c>
      <c r="AH20" s="39"/>
      <c r="AI20" s="39"/>
      <c r="AJ20" s="39"/>
      <c r="AK20" s="39"/>
      <c r="AL20" s="39"/>
      <c r="AM20" s="39"/>
      <c r="AN20" s="39"/>
      <c r="AO20" s="39"/>
      <c r="AP20" s="39"/>
      <c r="AQ20" s="39"/>
      <c r="AR20" s="39"/>
      <c r="AS20" s="39"/>
      <c r="AT20" s="39"/>
      <c r="AU20" s="39"/>
      <c r="AV20" s="39"/>
      <c r="AW20" s="39"/>
      <c r="AX20" s="39"/>
      <c r="AY20" s="39"/>
      <c r="AZ20" s="39"/>
      <c r="BA20" s="39"/>
      <c r="BB20" s="39"/>
      <c r="BC20" s="39">
        <v>30.6</v>
      </c>
      <c r="BD20" s="39"/>
      <c r="BE20" s="39"/>
      <c r="BF20" s="39"/>
      <c r="BG20" s="39"/>
      <c r="BH20" s="39"/>
      <c r="BI20" s="39"/>
      <c r="BJ20" s="39"/>
      <c r="BK20" s="39"/>
      <c r="BL20" s="39"/>
      <c r="BM20" s="39"/>
      <c r="BN20" s="39"/>
      <c r="BO20" s="39"/>
      <c r="BP20" s="39"/>
      <c r="BQ20" s="39">
        <v>0.435</v>
      </c>
      <c r="BR20" s="39"/>
      <c r="BS20" s="39"/>
      <c r="BT20" s="39"/>
      <c r="BU20" s="39"/>
    </row>
    <row r="21" spans="1:73" ht="15">
      <c r="A21" s="21" t="s">
        <v>176</v>
      </c>
      <c r="B21" s="14">
        <f t="shared" si="0"/>
        <v>0.30299999999999999</v>
      </c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>
        <v>0.30299999999999999</v>
      </c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  <c r="AG21" s="39"/>
      <c r="AH21" s="39"/>
      <c r="AI21" s="39"/>
      <c r="AJ21" s="39"/>
      <c r="AK21" s="39"/>
      <c r="AL21" s="39"/>
      <c r="AM21" s="39"/>
      <c r="AN21" s="39"/>
      <c r="AO21" s="39"/>
      <c r="AP21" s="39"/>
      <c r="AQ21" s="39"/>
      <c r="AR21" s="39"/>
      <c r="AS21" s="39"/>
      <c r="AT21" s="39"/>
      <c r="AU21" s="39"/>
      <c r="AV21" s="39"/>
      <c r="AW21" s="39"/>
      <c r="AX21" s="39"/>
      <c r="AY21" s="39"/>
      <c r="AZ21" s="39"/>
      <c r="BA21" s="39"/>
      <c r="BB21" s="39"/>
      <c r="BC21" s="39"/>
      <c r="BD21" s="39"/>
      <c r="BE21" s="39"/>
      <c r="BF21" s="39"/>
      <c r="BG21" s="39"/>
      <c r="BH21" s="39"/>
      <c r="BI21" s="39"/>
      <c r="BJ21" s="39"/>
      <c r="BK21" s="39"/>
      <c r="BL21" s="39"/>
      <c r="BM21" s="39"/>
      <c r="BN21" s="39"/>
      <c r="BO21" s="39"/>
      <c r="BP21" s="39"/>
      <c r="BQ21" s="39"/>
      <c r="BR21" s="39"/>
      <c r="BS21" s="39"/>
      <c r="BT21" s="39"/>
      <c r="BU21" s="39"/>
    </row>
    <row r="22" spans="1:73" ht="15">
      <c r="A22" s="21" t="s">
        <v>177</v>
      </c>
      <c r="B22" s="14">
        <f t="shared" si="0"/>
        <v>0.01</v>
      </c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>
        <v>0.01</v>
      </c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H22" s="39"/>
      <c r="AI22" s="39"/>
      <c r="AJ22" s="39"/>
      <c r="AK22" s="39"/>
      <c r="AL22" s="39"/>
      <c r="AM22" s="39"/>
      <c r="AN22" s="39"/>
      <c r="AO22" s="39"/>
      <c r="AP22" s="39"/>
      <c r="AQ22" s="39"/>
      <c r="AR22" s="39"/>
      <c r="AS22" s="39"/>
      <c r="AT22" s="39"/>
      <c r="AU22" s="39"/>
      <c r="AV22" s="39"/>
      <c r="AW22" s="39"/>
      <c r="AX22" s="39"/>
      <c r="AY22" s="39"/>
      <c r="AZ22" s="39"/>
      <c r="BA22" s="39"/>
      <c r="BB22" s="39"/>
      <c r="BC22" s="39"/>
      <c r="BD22" s="39"/>
      <c r="BE22" s="39"/>
      <c r="BF22" s="39"/>
      <c r="BG22" s="39"/>
      <c r="BH22" s="39"/>
      <c r="BI22" s="39"/>
      <c r="BJ22" s="39"/>
      <c r="BK22" s="39"/>
      <c r="BL22" s="39"/>
      <c r="BM22" s="39"/>
      <c r="BN22" s="39"/>
      <c r="BO22" s="39"/>
      <c r="BP22" s="39"/>
      <c r="BQ22" s="39"/>
      <c r="BR22" s="39"/>
      <c r="BS22" s="39"/>
      <c r="BT22" s="39"/>
      <c r="BU22" s="39"/>
    </row>
    <row r="23" spans="1:73" ht="15">
      <c r="A23" s="21" t="s">
        <v>178</v>
      </c>
      <c r="B23" s="14">
        <f t="shared" si="0"/>
        <v>5.8</v>
      </c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>
        <v>1.4</v>
      </c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39"/>
      <c r="AG23" s="39"/>
      <c r="AH23" s="39"/>
      <c r="AI23" s="39"/>
      <c r="AJ23" s="39"/>
      <c r="AK23" s="39"/>
      <c r="AL23" s="39"/>
      <c r="AM23" s="39"/>
      <c r="AN23" s="39"/>
      <c r="AO23" s="39"/>
      <c r="AP23" s="39"/>
      <c r="AQ23" s="39"/>
      <c r="AR23" s="39"/>
      <c r="AS23" s="39"/>
      <c r="AT23" s="39"/>
      <c r="AU23" s="39"/>
      <c r="AV23" s="39"/>
      <c r="AW23" s="39"/>
      <c r="AX23" s="39"/>
      <c r="AY23" s="39"/>
      <c r="AZ23" s="39"/>
      <c r="BA23" s="39"/>
      <c r="BB23" s="39"/>
      <c r="BC23" s="39"/>
      <c r="BD23" s="39"/>
      <c r="BE23" s="39"/>
      <c r="BF23" s="39"/>
      <c r="BG23" s="39">
        <v>2.6</v>
      </c>
      <c r="BH23" s="39"/>
      <c r="BI23" s="39"/>
      <c r="BJ23" s="39"/>
      <c r="BK23" s="39"/>
      <c r="BL23" s="39">
        <v>1.8</v>
      </c>
      <c r="BM23" s="39"/>
      <c r="BN23" s="39"/>
      <c r="BO23" s="39"/>
      <c r="BP23" s="39"/>
      <c r="BQ23" s="39"/>
      <c r="BR23" s="39"/>
      <c r="BS23" s="39"/>
      <c r="BT23" s="39"/>
      <c r="BU23" s="39"/>
    </row>
    <row r="24" spans="1:73" ht="15">
      <c r="A24" s="21" t="s">
        <v>179</v>
      </c>
      <c r="B24" s="14">
        <f t="shared" si="0"/>
        <v>0.51800000000000002</v>
      </c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>
        <v>0.51800000000000002</v>
      </c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39"/>
      <c r="AG24" s="39"/>
      <c r="AH24" s="39"/>
      <c r="AI24" s="39"/>
      <c r="AJ24" s="39"/>
      <c r="AK24" s="39"/>
      <c r="AL24" s="39"/>
      <c r="AM24" s="39"/>
      <c r="AN24" s="39"/>
      <c r="AO24" s="39"/>
      <c r="AP24" s="39"/>
      <c r="AQ24" s="39"/>
      <c r="AR24" s="39"/>
      <c r="AS24" s="39"/>
      <c r="AT24" s="39"/>
      <c r="AU24" s="39"/>
      <c r="AV24" s="39"/>
      <c r="AW24" s="39"/>
      <c r="AX24" s="39"/>
      <c r="AY24" s="39"/>
      <c r="AZ24" s="39"/>
      <c r="BA24" s="39"/>
      <c r="BB24" s="39"/>
      <c r="BC24" s="39"/>
      <c r="BD24" s="39"/>
      <c r="BE24" s="39"/>
      <c r="BF24" s="39"/>
      <c r="BG24" s="39"/>
      <c r="BH24" s="39"/>
      <c r="BI24" s="39"/>
      <c r="BJ24" s="39"/>
      <c r="BK24" s="39"/>
      <c r="BL24" s="39"/>
      <c r="BM24" s="39"/>
      <c r="BN24" s="39"/>
      <c r="BO24" s="39"/>
      <c r="BP24" s="39"/>
      <c r="BQ24" s="39"/>
      <c r="BR24" s="39"/>
      <c r="BS24" s="39"/>
      <c r="BT24" s="39"/>
      <c r="BU24" s="39"/>
    </row>
    <row r="25" spans="1:73" ht="15">
      <c r="A25" s="21" t="s">
        <v>180</v>
      </c>
      <c r="B25" s="14">
        <f t="shared" si="0"/>
        <v>4.2999999999999997E-2</v>
      </c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>
        <v>4.2999999999999997E-2</v>
      </c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  <c r="AA25" s="39"/>
      <c r="AB25" s="39"/>
      <c r="AC25" s="39"/>
      <c r="AD25" s="39"/>
      <c r="AE25" s="39"/>
      <c r="AF25" s="39"/>
      <c r="AG25" s="39"/>
      <c r="AH25" s="39"/>
      <c r="AI25" s="39"/>
      <c r="AJ25" s="39"/>
      <c r="AK25" s="39"/>
      <c r="AL25" s="39"/>
      <c r="AM25" s="39"/>
      <c r="AN25" s="39"/>
      <c r="AO25" s="39"/>
      <c r="AP25" s="39"/>
      <c r="AQ25" s="39"/>
      <c r="AR25" s="39"/>
      <c r="AS25" s="39"/>
      <c r="AT25" s="39"/>
      <c r="AU25" s="39"/>
      <c r="AV25" s="39"/>
      <c r="AW25" s="39"/>
      <c r="AX25" s="39"/>
      <c r="AY25" s="39"/>
      <c r="AZ25" s="39"/>
      <c r="BA25" s="39"/>
      <c r="BB25" s="39"/>
      <c r="BC25" s="39"/>
      <c r="BD25" s="39"/>
      <c r="BE25" s="39"/>
      <c r="BF25" s="39"/>
      <c r="BG25" s="39"/>
      <c r="BH25" s="39"/>
      <c r="BI25" s="39"/>
      <c r="BJ25" s="39"/>
      <c r="BK25" s="39"/>
      <c r="BL25" s="39"/>
      <c r="BM25" s="39"/>
      <c r="BN25" s="39"/>
      <c r="BO25" s="39"/>
      <c r="BP25" s="39"/>
      <c r="BQ25" s="39"/>
      <c r="BR25" s="39"/>
      <c r="BS25" s="39"/>
      <c r="BT25" s="39"/>
      <c r="BU25" s="39"/>
    </row>
    <row r="26" spans="1:73" ht="15">
      <c r="A26" s="21" t="s">
        <v>181</v>
      </c>
      <c r="B26" s="14">
        <f t="shared" si="0"/>
        <v>317.16499999999996</v>
      </c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>
        <v>5</v>
      </c>
      <c r="P26" s="39"/>
      <c r="Q26" s="39"/>
      <c r="R26" s="39">
        <v>31.6</v>
      </c>
      <c r="S26" s="39"/>
      <c r="T26" s="39">
        <v>39.5</v>
      </c>
      <c r="U26" s="39"/>
      <c r="V26" s="39"/>
      <c r="W26" s="39"/>
      <c r="X26" s="39"/>
      <c r="Y26" s="39"/>
      <c r="Z26" s="39"/>
      <c r="AA26" s="39"/>
      <c r="AB26" s="39"/>
      <c r="AC26" s="39"/>
      <c r="AD26" s="39"/>
      <c r="AE26" s="39">
        <v>0.127</v>
      </c>
      <c r="AF26" s="39"/>
      <c r="AG26" s="39">
        <v>0.53800000000000003</v>
      </c>
      <c r="AH26" s="39"/>
      <c r="AI26" s="39"/>
      <c r="AJ26" s="39"/>
      <c r="AK26" s="39"/>
      <c r="AL26" s="39"/>
      <c r="AM26" s="39"/>
      <c r="AN26" s="39"/>
      <c r="AO26" s="39"/>
      <c r="AP26" s="39"/>
      <c r="AQ26" s="39"/>
      <c r="AR26" s="39"/>
      <c r="AS26" s="39"/>
      <c r="AT26" s="39">
        <v>37</v>
      </c>
      <c r="AU26" s="39"/>
      <c r="AV26" s="39"/>
      <c r="AW26" s="39"/>
      <c r="AX26" s="39"/>
      <c r="AY26" s="39"/>
      <c r="AZ26" s="39"/>
      <c r="BA26" s="39"/>
      <c r="BB26" s="39"/>
      <c r="BC26" s="39"/>
      <c r="BD26" s="39"/>
      <c r="BE26" s="39"/>
      <c r="BF26" s="39"/>
      <c r="BG26" s="39"/>
      <c r="BH26" s="39"/>
      <c r="BI26" s="39"/>
      <c r="BJ26" s="39">
        <v>87.6</v>
      </c>
      <c r="BK26" s="39"/>
      <c r="BL26" s="39"/>
      <c r="BM26" s="39"/>
      <c r="BN26" s="39"/>
      <c r="BO26" s="39">
        <v>115.8</v>
      </c>
      <c r="BP26" s="39"/>
      <c r="BQ26" s="39"/>
      <c r="BR26" s="39"/>
      <c r="BS26" s="39"/>
      <c r="BT26" s="39"/>
      <c r="BU26" s="39"/>
    </row>
    <row r="27" spans="1:73" ht="15">
      <c r="A27" s="21" t="s">
        <v>182</v>
      </c>
      <c r="B27" s="14">
        <f t="shared" si="0"/>
        <v>1.6859999999999999</v>
      </c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>
        <v>1.1000000000000001</v>
      </c>
      <c r="P27" s="39"/>
      <c r="Q27" s="39">
        <v>0.43</v>
      </c>
      <c r="R27" s="39"/>
      <c r="S27" s="39"/>
      <c r="T27" s="39"/>
      <c r="U27" s="39"/>
      <c r="V27" s="39"/>
      <c r="W27" s="39"/>
      <c r="X27" s="39"/>
      <c r="Y27" s="39"/>
      <c r="Z27" s="39"/>
      <c r="AA27" s="39"/>
      <c r="AB27" s="39"/>
      <c r="AC27" s="39"/>
      <c r="AD27" s="39"/>
      <c r="AE27" s="39">
        <v>0.156</v>
      </c>
      <c r="AF27" s="39"/>
      <c r="AG27" s="39"/>
      <c r="AH27" s="39"/>
      <c r="AI27" s="39"/>
      <c r="AJ27" s="39"/>
      <c r="AK27" s="39"/>
      <c r="AL27" s="39"/>
      <c r="AM27" s="39"/>
      <c r="AN27" s="39"/>
      <c r="AO27" s="39"/>
      <c r="AP27" s="39"/>
      <c r="AQ27" s="39"/>
      <c r="AR27" s="39"/>
      <c r="AS27" s="39"/>
      <c r="AT27" s="39"/>
      <c r="AU27" s="39"/>
      <c r="AV27" s="39"/>
      <c r="AW27" s="39"/>
      <c r="AX27" s="39"/>
      <c r="AY27" s="39"/>
      <c r="AZ27" s="39"/>
      <c r="BA27" s="39"/>
      <c r="BB27" s="39"/>
      <c r="BC27" s="39"/>
      <c r="BD27" s="39"/>
      <c r="BE27" s="39"/>
      <c r="BF27" s="39"/>
      <c r="BG27" s="39"/>
      <c r="BH27" s="39"/>
      <c r="BI27" s="39"/>
      <c r="BJ27" s="39"/>
      <c r="BK27" s="39"/>
      <c r="BL27" s="39"/>
      <c r="BM27" s="39"/>
      <c r="BN27" s="39"/>
      <c r="BO27" s="39"/>
      <c r="BP27" s="39"/>
      <c r="BQ27" s="39"/>
      <c r="BR27" s="39"/>
      <c r="BS27" s="39"/>
      <c r="BT27" s="39"/>
      <c r="BU27" s="39"/>
    </row>
    <row r="28" spans="1:73" ht="15">
      <c r="A28" s="21" t="s">
        <v>183</v>
      </c>
      <c r="B28" s="14">
        <f t="shared" si="0"/>
        <v>1.5</v>
      </c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>
        <v>1.5</v>
      </c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  <c r="AA28" s="39"/>
      <c r="AB28" s="39"/>
      <c r="AC28" s="39"/>
      <c r="AD28" s="39"/>
      <c r="AE28" s="39"/>
      <c r="AF28" s="39"/>
      <c r="AG28" s="39"/>
      <c r="AH28" s="39"/>
      <c r="AI28" s="39"/>
      <c r="AJ28" s="39"/>
      <c r="AK28" s="39"/>
      <c r="AL28" s="39"/>
      <c r="AM28" s="39"/>
      <c r="AN28" s="39"/>
      <c r="AO28" s="39"/>
      <c r="AP28" s="39"/>
      <c r="AQ28" s="39"/>
      <c r="AR28" s="39"/>
      <c r="AS28" s="39"/>
      <c r="AT28" s="39"/>
      <c r="AU28" s="39"/>
      <c r="AV28" s="39"/>
      <c r="AW28" s="39"/>
      <c r="AX28" s="39"/>
      <c r="AY28" s="39"/>
      <c r="AZ28" s="39"/>
      <c r="BA28" s="39"/>
      <c r="BB28" s="39"/>
      <c r="BC28" s="39"/>
      <c r="BD28" s="39"/>
      <c r="BE28" s="39"/>
      <c r="BF28" s="39"/>
      <c r="BG28" s="39"/>
      <c r="BH28" s="39"/>
      <c r="BI28" s="39"/>
      <c r="BJ28" s="39"/>
      <c r="BK28" s="39"/>
      <c r="BL28" s="39"/>
      <c r="BM28" s="39"/>
      <c r="BN28" s="39"/>
      <c r="BO28" s="39"/>
      <c r="BP28" s="39"/>
      <c r="BQ28" s="39"/>
      <c r="BR28" s="39"/>
      <c r="BS28" s="39"/>
      <c r="BT28" s="39"/>
      <c r="BU28" s="39"/>
    </row>
    <row r="29" spans="1:73" ht="15">
      <c r="A29" s="21" t="s">
        <v>184</v>
      </c>
      <c r="B29" s="14">
        <f t="shared" si="0"/>
        <v>93.435000000000002</v>
      </c>
      <c r="C29" s="39"/>
      <c r="D29" s="39"/>
      <c r="E29" s="39"/>
      <c r="F29" s="39"/>
      <c r="G29" s="39"/>
      <c r="H29" s="39"/>
      <c r="I29" s="39"/>
      <c r="J29" s="39">
        <v>90.9</v>
      </c>
      <c r="K29" s="39"/>
      <c r="L29" s="39"/>
      <c r="M29" s="39"/>
      <c r="N29" s="39"/>
      <c r="O29" s="39">
        <v>0.73499999999999999</v>
      </c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  <c r="AA29" s="39"/>
      <c r="AB29" s="39"/>
      <c r="AC29" s="39"/>
      <c r="AD29" s="39"/>
      <c r="AE29" s="39"/>
      <c r="AF29" s="39"/>
      <c r="AG29" s="39">
        <v>1.8</v>
      </c>
      <c r="AH29" s="39"/>
      <c r="AI29" s="39"/>
      <c r="AJ29" s="39"/>
      <c r="AK29" s="39"/>
      <c r="AL29" s="39"/>
      <c r="AM29" s="39"/>
      <c r="AN29" s="39"/>
      <c r="AO29" s="39"/>
      <c r="AP29" s="39"/>
      <c r="AQ29" s="39"/>
      <c r="AR29" s="39"/>
      <c r="AS29" s="39"/>
      <c r="AT29" s="39"/>
      <c r="AU29" s="39"/>
      <c r="AV29" s="39"/>
      <c r="AW29" s="39"/>
      <c r="AX29" s="39"/>
      <c r="AY29" s="39"/>
      <c r="AZ29" s="39"/>
      <c r="BA29" s="39"/>
      <c r="BB29" s="39"/>
      <c r="BC29" s="39"/>
      <c r="BD29" s="39"/>
      <c r="BE29" s="39"/>
      <c r="BF29" s="39"/>
      <c r="BG29" s="39"/>
      <c r="BH29" s="39"/>
      <c r="BI29" s="39"/>
      <c r="BJ29" s="39"/>
      <c r="BK29" s="39"/>
      <c r="BL29" s="39"/>
      <c r="BM29" s="39"/>
      <c r="BN29" s="39"/>
      <c r="BO29" s="39"/>
      <c r="BP29" s="39"/>
      <c r="BQ29" s="39"/>
      <c r="BR29" s="39"/>
      <c r="BS29" s="39"/>
      <c r="BT29" s="39"/>
      <c r="BU29" s="39"/>
    </row>
    <row r="30" spans="1:73" ht="15">
      <c r="A30" s="21" t="s">
        <v>185</v>
      </c>
      <c r="B30" s="14">
        <f t="shared" si="0"/>
        <v>250.48400000000001</v>
      </c>
      <c r="C30" s="39"/>
      <c r="D30" s="39"/>
      <c r="E30" s="39"/>
      <c r="F30" s="39"/>
      <c r="G30" s="39"/>
      <c r="H30" s="39"/>
      <c r="I30" s="39"/>
      <c r="J30" s="39"/>
      <c r="K30" s="39">
        <v>232.3</v>
      </c>
      <c r="L30" s="39"/>
      <c r="M30" s="39"/>
      <c r="N30" s="39"/>
      <c r="O30" s="39">
        <v>0.68400000000000005</v>
      </c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39"/>
      <c r="AK30" s="39"/>
      <c r="AL30" s="39"/>
      <c r="AM30" s="39"/>
      <c r="AN30" s="39"/>
      <c r="AO30" s="39"/>
      <c r="AP30" s="39"/>
      <c r="AQ30" s="39"/>
      <c r="AR30" s="39"/>
      <c r="AS30" s="39"/>
      <c r="AT30" s="39"/>
      <c r="AU30" s="39"/>
      <c r="AV30" s="39"/>
      <c r="AW30" s="39"/>
      <c r="AX30" s="39"/>
      <c r="AY30" s="39"/>
      <c r="AZ30" s="39"/>
      <c r="BA30" s="39"/>
      <c r="BB30" s="39"/>
      <c r="BC30" s="39"/>
      <c r="BD30" s="39"/>
      <c r="BE30" s="39"/>
      <c r="BF30" s="39"/>
      <c r="BG30" s="39"/>
      <c r="BH30" s="39">
        <v>17.5</v>
      </c>
      <c r="BI30" s="39"/>
      <c r="BJ30" s="39"/>
      <c r="BK30" s="39"/>
      <c r="BL30" s="39"/>
      <c r="BM30" s="39"/>
      <c r="BN30" s="39"/>
      <c r="BO30" s="39"/>
      <c r="BP30" s="39"/>
      <c r="BQ30" s="39"/>
      <c r="BR30" s="39"/>
      <c r="BS30" s="39"/>
      <c r="BT30" s="39"/>
      <c r="BU30" s="39"/>
    </row>
    <row r="31" spans="1:73" ht="15">
      <c r="A31" s="21" t="s">
        <v>186</v>
      </c>
      <c r="B31" s="14">
        <f t="shared" si="0"/>
        <v>1.2</v>
      </c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>
        <v>1.2</v>
      </c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  <c r="AA31" s="39"/>
      <c r="AB31" s="39"/>
      <c r="AC31" s="39"/>
      <c r="AD31" s="39"/>
      <c r="AE31" s="39"/>
      <c r="AF31" s="39"/>
      <c r="AG31" s="39"/>
      <c r="AH31" s="39"/>
      <c r="AI31" s="39"/>
      <c r="AJ31" s="39"/>
      <c r="AK31" s="39"/>
      <c r="AL31" s="39"/>
      <c r="AM31" s="39"/>
      <c r="AN31" s="39"/>
      <c r="AO31" s="39"/>
      <c r="AP31" s="39"/>
      <c r="AQ31" s="39"/>
      <c r="AR31" s="39"/>
      <c r="AS31" s="39"/>
      <c r="AT31" s="39"/>
      <c r="AU31" s="39"/>
      <c r="AV31" s="39"/>
      <c r="AW31" s="39"/>
      <c r="AX31" s="39"/>
      <c r="AY31" s="39"/>
      <c r="AZ31" s="39"/>
      <c r="BA31" s="39"/>
      <c r="BB31" s="39"/>
      <c r="BC31" s="39"/>
      <c r="BD31" s="39"/>
      <c r="BE31" s="39"/>
      <c r="BF31" s="39"/>
      <c r="BG31" s="39"/>
      <c r="BH31" s="39"/>
      <c r="BI31" s="39"/>
      <c r="BJ31" s="39"/>
      <c r="BK31" s="39"/>
      <c r="BL31" s="39"/>
      <c r="BM31" s="39"/>
      <c r="BN31" s="39"/>
      <c r="BO31" s="39"/>
      <c r="BP31" s="39"/>
      <c r="BQ31" s="39"/>
      <c r="BR31" s="39"/>
      <c r="BS31" s="39"/>
      <c r="BT31" s="39"/>
      <c r="BU31" s="39"/>
    </row>
    <row r="32" spans="1:73" ht="15">
      <c r="A32" s="21" t="s">
        <v>187</v>
      </c>
      <c r="B32" s="14">
        <f t="shared" si="0"/>
        <v>0.31</v>
      </c>
      <c r="C32" s="39"/>
      <c r="D32" s="39"/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9">
        <v>0.31</v>
      </c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  <c r="AA32" s="39"/>
      <c r="AB32" s="39"/>
      <c r="AC32" s="39"/>
      <c r="AD32" s="39"/>
      <c r="AE32" s="39"/>
      <c r="AF32" s="39"/>
      <c r="AG32" s="39"/>
      <c r="AH32" s="39"/>
      <c r="AI32" s="39"/>
      <c r="AJ32" s="39"/>
      <c r="AK32" s="39"/>
      <c r="AL32" s="39"/>
      <c r="AM32" s="39"/>
      <c r="AN32" s="39"/>
      <c r="AO32" s="39"/>
      <c r="AP32" s="39"/>
      <c r="AQ32" s="39"/>
      <c r="AR32" s="39"/>
      <c r="AS32" s="39"/>
      <c r="AT32" s="39"/>
      <c r="AU32" s="39"/>
      <c r="AV32" s="39"/>
      <c r="AW32" s="39"/>
      <c r="AX32" s="39"/>
      <c r="AY32" s="39"/>
      <c r="AZ32" s="39"/>
      <c r="BA32" s="39"/>
      <c r="BB32" s="39"/>
      <c r="BC32" s="39"/>
      <c r="BD32" s="39"/>
      <c r="BE32" s="39"/>
      <c r="BF32" s="39"/>
      <c r="BG32" s="39"/>
      <c r="BH32" s="39"/>
      <c r="BI32" s="39"/>
      <c r="BJ32" s="39"/>
      <c r="BK32" s="39"/>
      <c r="BL32" s="39"/>
      <c r="BM32" s="39"/>
      <c r="BN32" s="39"/>
      <c r="BO32" s="39"/>
      <c r="BP32" s="39"/>
      <c r="BQ32" s="39"/>
      <c r="BR32" s="39"/>
      <c r="BS32" s="39"/>
      <c r="BT32" s="39"/>
      <c r="BU32" s="39"/>
    </row>
    <row r="33" spans="1:73" ht="15">
      <c r="A33" s="21" t="s">
        <v>188</v>
      </c>
      <c r="B33" s="14">
        <f t="shared" si="0"/>
        <v>14.675000000000002</v>
      </c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>
        <v>2.2999999999999998</v>
      </c>
      <c r="P33" s="39"/>
      <c r="Q33" s="39"/>
      <c r="R33" s="39">
        <v>0.13</v>
      </c>
      <c r="S33" s="39"/>
      <c r="T33" s="39">
        <v>0.2</v>
      </c>
      <c r="U33" s="39"/>
      <c r="V33" s="39"/>
      <c r="W33" s="39"/>
      <c r="X33" s="39"/>
      <c r="Y33" s="39"/>
      <c r="Z33" s="39"/>
      <c r="AA33" s="39"/>
      <c r="AB33" s="39"/>
      <c r="AC33" s="39"/>
      <c r="AD33" s="39"/>
      <c r="AE33" s="39"/>
      <c r="AF33" s="39"/>
      <c r="AG33" s="39">
        <v>0.43</v>
      </c>
      <c r="AH33" s="39"/>
      <c r="AI33" s="39"/>
      <c r="AJ33" s="39"/>
      <c r="AK33" s="39"/>
      <c r="AL33" s="39"/>
      <c r="AM33" s="39"/>
      <c r="AN33" s="39"/>
      <c r="AO33" s="39"/>
      <c r="AP33" s="39"/>
      <c r="AQ33" s="39"/>
      <c r="AR33" s="39"/>
      <c r="AS33" s="39"/>
      <c r="AT33" s="39">
        <v>0.1</v>
      </c>
      <c r="AU33" s="39"/>
      <c r="AV33" s="39"/>
      <c r="AW33" s="39"/>
      <c r="AX33" s="39"/>
      <c r="AY33" s="39"/>
      <c r="AZ33" s="39"/>
      <c r="BA33" s="39"/>
      <c r="BB33" s="39"/>
      <c r="BC33" s="39"/>
      <c r="BD33" s="39">
        <v>5.7000000000000002E-2</v>
      </c>
      <c r="BE33" s="39"/>
      <c r="BF33" s="39"/>
      <c r="BG33" s="39"/>
      <c r="BH33" s="39"/>
      <c r="BI33" s="39"/>
      <c r="BJ33" s="39">
        <v>10.3</v>
      </c>
      <c r="BK33" s="39"/>
      <c r="BL33" s="39">
        <v>0.438</v>
      </c>
      <c r="BM33" s="39"/>
      <c r="BN33" s="39"/>
      <c r="BO33" s="39">
        <v>0.72</v>
      </c>
      <c r="BP33" s="39"/>
      <c r="BQ33" s="39"/>
      <c r="BR33" s="39"/>
      <c r="BS33" s="39"/>
      <c r="BT33" s="39"/>
      <c r="BU33" s="39"/>
    </row>
    <row r="34" spans="1:73" ht="15">
      <c r="A34" s="21" t="s">
        <v>189</v>
      </c>
      <c r="B34" s="14">
        <f t="shared" ref="B34:B65" si="1">SUM(C34:BU34)</f>
        <v>3.1E-2</v>
      </c>
      <c r="C34" s="39"/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>
        <v>3.1E-2</v>
      </c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  <c r="AA34" s="39"/>
      <c r="AB34" s="39"/>
      <c r="AC34" s="39"/>
      <c r="AD34" s="39"/>
      <c r="AE34" s="39"/>
      <c r="AF34" s="39"/>
      <c r="AG34" s="39"/>
      <c r="AH34" s="39"/>
      <c r="AI34" s="39"/>
      <c r="AJ34" s="39"/>
      <c r="AK34" s="39"/>
      <c r="AL34" s="39"/>
      <c r="AM34" s="39"/>
      <c r="AN34" s="39"/>
      <c r="AO34" s="39"/>
      <c r="AP34" s="39"/>
      <c r="AQ34" s="39"/>
      <c r="AR34" s="39"/>
      <c r="AS34" s="39"/>
      <c r="AT34" s="39"/>
      <c r="AU34" s="39"/>
      <c r="AV34" s="39"/>
      <c r="AW34" s="39"/>
      <c r="AX34" s="39"/>
      <c r="AY34" s="39"/>
      <c r="AZ34" s="39"/>
      <c r="BA34" s="39"/>
      <c r="BB34" s="39"/>
      <c r="BC34" s="39"/>
      <c r="BD34" s="39"/>
      <c r="BE34" s="39"/>
      <c r="BF34" s="39"/>
      <c r="BG34" s="39"/>
      <c r="BH34" s="39"/>
      <c r="BI34" s="39"/>
      <c r="BJ34" s="39"/>
      <c r="BK34" s="39"/>
      <c r="BL34" s="39"/>
      <c r="BM34" s="39"/>
      <c r="BN34" s="39"/>
      <c r="BO34" s="39"/>
      <c r="BP34" s="39"/>
      <c r="BQ34" s="39"/>
      <c r="BR34" s="39"/>
      <c r="BS34" s="39"/>
      <c r="BT34" s="39"/>
      <c r="BU34" s="39"/>
    </row>
    <row r="35" spans="1:73" ht="15">
      <c r="A35" s="21" t="s">
        <v>190</v>
      </c>
      <c r="B35" s="14">
        <f t="shared" si="1"/>
        <v>49.415999999999997</v>
      </c>
      <c r="C35" s="39"/>
      <c r="D35" s="39"/>
      <c r="E35" s="39"/>
      <c r="F35" s="39"/>
      <c r="G35" s="39"/>
      <c r="H35" s="39"/>
      <c r="I35" s="39">
        <v>2.2000000000000002</v>
      </c>
      <c r="J35" s="39"/>
      <c r="K35" s="39"/>
      <c r="L35" s="39">
        <v>15.8</v>
      </c>
      <c r="M35" s="39"/>
      <c r="N35" s="39"/>
      <c r="O35" s="39">
        <v>8.6</v>
      </c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  <c r="AA35" s="39"/>
      <c r="AB35" s="39"/>
      <c r="AC35" s="39">
        <v>2.5</v>
      </c>
      <c r="AD35" s="39"/>
      <c r="AE35" s="39"/>
      <c r="AF35" s="39">
        <v>0.17899999999999999</v>
      </c>
      <c r="AG35" s="39">
        <v>0.94799999999999995</v>
      </c>
      <c r="AH35" s="39"/>
      <c r="AI35" s="39"/>
      <c r="AJ35" s="39"/>
      <c r="AK35" s="39"/>
      <c r="AL35" s="39"/>
      <c r="AM35" s="39"/>
      <c r="AN35" s="39"/>
      <c r="AO35" s="39"/>
      <c r="AP35" s="39"/>
      <c r="AQ35" s="39"/>
      <c r="AR35" s="39"/>
      <c r="AS35" s="39"/>
      <c r="AT35" s="39"/>
      <c r="AU35" s="39">
        <v>2.1</v>
      </c>
      <c r="AV35" s="39">
        <v>10.3</v>
      </c>
      <c r="AW35" s="39"/>
      <c r="AX35" s="39"/>
      <c r="AY35" s="39">
        <v>5.3</v>
      </c>
      <c r="AZ35" s="39"/>
      <c r="BA35" s="39"/>
      <c r="BB35" s="39"/>
      <c r="BC35" s="39"/>
      <c r="BD35" s="39"/>
      <c r="BE35" s="39"/>
      <c r="BF35" s="39"/>
      <c r="BG35" s="39"/>
      <c r="BH35" s="39"/>
      <c r="BI35" s="39"/>
      <c r="BJ35" s="39">
        <v>1.1000000000000001</v>
      </c>
      <c r="BK35" s="39"/>
      <c r="BL35" s="39"/>
      <c r="BM35" s="39"/>
      <c r="BN35" s="39"/>
      <c r="BO35" s="39"/>
      <c r="BP35" s="39"/>
      <c r="BQ35" s="39"/>
      <c r="BR35" s="39">
        <v>0.38900000000000001</v>
      </c>
      <c r="BS35" s="39"/>
      <c r="BT35" s="39"/>
      <c r="BU35" s="39"/>
    </row>
    <row r="36" spans="1:73" ht="15">
      <c r="A36" s="21" t="s">
        <v>191</v>
      </c>
      <c r="B36" s="14">
        <f t="shared" si="1"/>
        <v>62</v>
      </c>
      <c r="C36" s="39"/>
      <c r="D36" s="39"/>
      <c r="E36" s="39"/>
      <c r="F36" s="39"/>
      <c r="G36" s="39"/>
      <c r="H36" s="39"/>
      <c r="I36" s="39"/>
      <c r="J36" s="39"/>
      <c r="K36" s="39"/>
      <c r="L36" s="39"/>
      <c r="M36" s="39">
        <v>2.5</v>
      </c>
      <c r="N36" s="39"/>
      <c r="O36" s="39">
        <v>1.6</v>
      </c>
      <c r="P36" s="39"/>
      <c r="Q36" s="39"/>
      <c r="R36" s="39"/>
      <c r="S36" s="39">
        <v>33.799999999999997</v>
      </c>
      <c r="T36" s="39"/>
      <c r="U36" s="39"/>
      <c r="V36" s="39"/>
      <c r="W36" s="39"/>
      <c r="X36" s="39"/>
      <c r="Y36" s="39"/>
      <c r="Z36" s="39">
        <v>7.7</v>
      </c>
      <c r="AA36" s="39"/>
      <c r="AB36" s="39"/>
      <c r="AC36" s="39"/>
      <c r="AD36" s="39"/>
      <c r="AE36" s="39"/>
      <c r="AF36" s="39"/>
      <c r="AG36" s="39">
        <v>1.9</v>
      </c>
      <c r="AH36" s="39"/>
      <c r="AI36" s="39"/>
      <c r="AJ36" s="39"/>
      <c r="AK36" s="39"/>
      <c r="AL36" s="39"/>
      <c r="AM36" s="39"/>
      <c r="AN36" s="39"/>
      <c r="AO36" s="39"/>
      <c r="AP36" s="39"/>
      <c r="AQ36" s="39"/>
      <c r="AR36" s="39"/>
      <c r="AS36" s="39"/>
      <c r="AT36" s="39"/>
      <c r="AU36" s="39"/>
      <c r="AV36" s="39"/>
      <c r="AW36" s="39"/>
      <c r="AX36" s="39">
        <v>14.5</v>
      </c>
      <c r="AY36" s="39"/>
      <c r="AZ36" s="39"/>
      <c r="BA36" s="39"/>
      <c r="BB36" s="39"/>
      <c r="BC36" s="39"/>
      <c r="BD36" s="39"/>
      <c r="BE36" s="39"/>
      <c r="BF36" s="39"/>
      <c r="BG36" s="39"/>
      <c r="BH36" s="39"/>
      <c r="BI36" s="39"/>
      <c r="BJ36" s="39"/>
      <c r="BK36" s="39"/>
      <c r="BL36" s="39"/>
      <c r="BM36" s="39"/>
      <c r="BN36" s="39"/>
      <c r="BO36" s="39"/>
      <c r="BP36" s="39"/>
      <c r="BQ36" s="39"/>
      <c r="BR36" s="39"/>
      <c r="BS36" s="39"/>
      <c r="BT36" s="39"/>
      <c r="BU36" s="39"/>
    </row>
    <row r="37" spans="1:73" ht="15">
      <c r="A37" s="21" t="s">
        <v>192</v>
      </c>
      <c r="B37" s="14">
        <f t="shared" si="1"/>
        <v>8.9499999999999993</v>
      </c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>
        <v>1.4</v>
      </c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  <c r="AA37" s="39"/>
      <c r="AB37" s="39"/>
      <c r="AC37" s="39"/>
      <c r="AD37" s="39"/>
      <c r="AE37" s="39"/>
      <c r="AF37" s="39"/>
      <c r="AG37" s="39">
        <v>0.39500000000000002</v>
      </c>
      <c r="AH37" s="39"/>
      <c r="AI37" s="39"/>
      <c r="AJ37" s="39"/>
      <c r="AK37" s="39"/>
      <c r="AL37" s="39"/>
      <c r="AM37" s="39"/>
      <c r="AN37" s="39"/>
      <c r="AO37" s="39"/>
      <c r="AP37" s="39"/>
      <c r="AQ37" s="39"/>
      <c r="AR37" s="39">
        <v>5.5E-2</v>
      </c>
      <c r="AS37" s="39"/>
      <c r="AT37" s="39"/>
      <c r="AU37" s="39"/>
      <c r="AV37" s="39"/>
      <c r="AW37" s="39"/>
      <c r="AX37" s="39"/>
      <c r="AY37" s="39"/>
      <c r="AZ37" s="39"/>
      <c r="BA37" s="39"/>
      <c r="BB37" s="39"/>
      <c r="BC37" s="39"/>
      <c r="BD37" s="39"/>
      <c r="BE37" s="39"/>
      <c r="BF37" s="39"/>
      <c r="BG37" s="39"/>
      <c r="BH37" s="39"/>
      <c r="BI37" s="39"/>
      <c r="BJ37" s="39"/>
      <c r="BK37" s="39"/>
      <c r="BL37" s="39"/>
      <c r="BM37" s="39"/>
      <c r="BN37" s="39">
        <v>2.5</v>
      </c>
      <c r="BO37" s="39"/>
      <c r="BP37" s="39">
        <v>4.5999999999999996</v>
      </c>
      <c r="BQ37" s="39"/>
      <c r="BR37" s="39"/>
      <c r="BS37" s="39"/>
      <c r="BT37" s="39"/>
      <c r="BU37" s="39"/>
    </row>
    <row r="38" spans="1:73" ht="15">
      <c r="A38" s="21" t="s">
        <v>193</v>
      </c>
      <c r="B38" s="14">
        <f t="shared" si="1"/>
        <v>3.8</v>
      </c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>
        <v>1.3</v>
      </c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  <c r="AA38" s="39"/>
      <c r="AB38" s="39"/>
      <c r="AC38" s="39"/>
      <c r="AD38" s="39"/>
      <c r="AE38" s="39"/>
      <c r="AF38" s="39"/>
      <c r="AG38" s="39"/>
      <c r="AH38" s="39"/>
      <c r="AI38" s="39"/>
      <c r="AJ38" s="39"/>
      <c r="AK38" s="39"/>
      <c r="AL38" s="39"/>
      <c r="AM38" s="39"/>
      <c r="AN38" s="39"/>
      <c r="AO38" s="39"/>
      <c r="AP38" s="39">
        <v>2.5</v>
      </c>
      <c r="AQ38" s="39"/>
      <c r="AR38" s="39"/>
      <c r="AS38" s="39"/>
      <c r="AT38" s="39"/>
      <c r="AU38" s="39"/>
      <c r="AV38" s="39"/>
      <c r="AW38" s="39"/>
      <c r="AX38" s="39"/>
      <c r="AY38" s="39"/>
      <c r="AZ38" s="39"/>
      <c r="BA38" s="39"/>
      <c r="BB38" s="39"/>
      <c r="BC38" s="39"/>
      <c r="BD38" s="39"/>
      <c r="BE38" s="39"/>
      <c r="BF38" s="39"/>
      <c r="BG38" s="39"/>
      <c r="BH38" s="39"/>
      <c r="BI38" s="39"/>
      <c r="BJ38" s="39"/>
      <c r="BK38" s="39"/>
      <c r="BL38" s="39"/>
      <c r="BM38" s="39"/>
      <c r="BN38" s="39"/>
      <c r="BO38" s="39"/>
      <c r="BP38" s="39"/>
      <c r="BQ38" s="39"/>
      <c r="BR38" s="39"/>
      <c r="BS38" s="39"/>
      <c r="BT38" s="39"/>
      <c r="BU38" s="39"/>
    </row>
    <row r="39" spans="1:73" ht="15">
      <c r="A39" s="21" t="s">
        <v>194</v>
      </c>
      <c r="B39" s="14">
        <f t="shared" si="1"/>
        <v>0.88800000000000001</v>
      </c>
      <c r="C39" s="39"/>
      <c r="D39" s="39"/>
      <c r="E39" s="39"/>
      <c r="F39" s="39"/>
      <c r="G39" s="39"/>
      <c r="H39" s="39"/>
      <c r="I39" s="39"/>
      <c r="J39" s="39"/>
      <c r="K39" s="39"/>
      <c r="L39" s="39"/>
      <c r="M39" s="39"/>
      <c r="N39" s="39"/>
      <c r="O39" s="39">
        <v>0.88800000000000001</v>
      </c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  <c r="AA39" s="39"/>
      <c r="AB39" s="39"/>
      <c r="AC39" s="39"/>
      <c r="AD39" s="39"/>
      <c r="AE39" s="39"/>
      <c r="AF39" s="39"/>
      <c r="AG39" s="39"/>
      <c r="AH39" s="39"/>
      <c r="AI39" s="39"/>
      <c r="AJ39" s="39"/>
      <c r="AK39" s="39"/>
      <c r="AL39" s="39"/>
      <c r="AM39" s="39"/>
      <c r="AN39" s="39"/>
      <c r="AO39" s="39"/>
      <c r="AP39" s="39"/>
      <c r="AQ39" s="39"/>
      <c r="AR39" s="39"/>
      <c r="AS39" s="39"/>
      <c r="AT39" s="39"/>
      <c r="AU39" s="39"/>
      <c r="AV39" s="39"/>
      <c r="AW39" s="39"/>
      <c r="AX39" s="39"/>
      <c r="AY39" s="39"/>
      <c r="AZ39" s="39"/>
      <c r="BA39" s="39"/>
      <c r="BB39" s="39"/>
      <c r="BC39" s="39"/>
      <c r="BD39" s="39"/>
      <c r="BE39" s="39"/>
      <c r="BF39" s="39"/>
      <c r="BG39" s="39"/>
      <c r="BH39" s="39"/>
      <c r="BI39" s="39"/>
      <c r="BJ39" s="39"/>
      <c r="BK39" s="39"/>
      <c r="BL39" s="39"/>
      <c r="BM39" s="39"/>
      <c r="BN39" s="39"/>
      <c r="BO39" s="39"/>
      <c r="BP39" s="39"/>
      <c r="BQ39" s="39"/>
      <c r="BR39" s="39"/>
      <c r="BS39" s="39"/>
      <c r="BT39" s="39"/>
      <c r="BU39" s="39"/>
    </row>
    <row r="40" spans="1:73" ht="15">
      <c r="A40" s="21" t="s">
        <v>195</v>
      </c>
      <c r="B40" s="14">
        <f t="shared" si="1"/>
        <v>0.126</v>
      </c>
      <c r="C40" s="39"/>
      <c r="D40" s="39"/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>
        <v>0.126</v>
      </c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  <c r="AA40" s="39"/>
      <c r="AB40" s="39"/>
      <c r="AC40" s="39"/>
      <c r="AD40" s="39"/>
      <c r="AE40" s="39"/>
      <c r="AF40" s="39"/>
      <c r="AG40" s="39"/>
      <c r="AH40" s="39"/>
      <c r="AI40" s="39"/>
      <c r="AJ40" s="39"/>
      <c r="AK40" s="39"/>
      <c r="AL40" s="39"/>
      <c r="AM40" s="39"/>
      <c r="AN40" s="39"/>
      <c r="AO40" s="39"/>
      <c r="AP40" s="39"/>
      <c r="AQ40" s="39"/>
      <c r="AR40" s="39"/>
      <c r="AS40" s="39"/>
      <c r="AT40" s="39"/>
      <c r="AU40" s="39"/>
      <c r="AV40" s="39"/>
      <c r="AW40" s="39"/>
      <c r="AX40" s="39"/>
      <c r="AY40" s="39"/>
      <c r="AZ40" s="39"/>
      <c r="BA40" s="39"/>
      <c r="BB40" s="39"/>
      <c r="BC40" s="39"/>
      <c r="BD40" s="39"/>
      <c r="BE40" s="39"/>
      <c r="BF40" s="39"/>
      <c r="BG40" s="39"/>
      <c r="BH40" s="39"/>
      <c r="BI40" s="39"/>
      <c r="BJ40" s="39"/>
      <c r="BK40" s="39"/>
      <c r="BL40" s="39"/>
      <c r="BM40" s="39"/>
      <c r="BN40" s="39"/>
      <c r="BO40" s="39"/>
      <c r="BP40" s="39"/>
      <c r="BQ40" s="39"/>
      <c r="BR40" s="39"/>
      <c r="BS40" s="39"/>
      <c r="BT40" s="39"/>
      <c r="BU40" s="39"/>
    </row>
    <row r="41" spans="1:73" ht="15">
      <c r="A41" s="21" t="s">
        <v>196</v>
      </c>
      <c r="B41" s="14">
        <f t="shared" si="1"/>
        <v>13.216999999999999</v>
      </c>
      <c r="C41" s="39"/>
      <c r="D41" s="39"/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9">
        <v>1.5</v>
      </c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  <c r="AA41" s="39"/>
      <c r="AB41" s="39"/>
      <c r="AC41" s="39"/>
      <c r="AD41" s="39"/>
      <c r="AE41" s="39"/>
      <c r="AF41" s="39"/>
      <c r="AG41" s="39"/>
      <c r="AH41" s="39"/>
      <c r="AI41" s="39"/>
      <c r="AJ41" s="39">
        <v>5.3</v>
      </c>
      <c r="AK41" s="39"/>
      <c r="AL41" s="39"/>
      <c r="AM41" s="39"/>
      <c r="AN41" s="39"/>
      <c r="AO41" s="39"/>
      <c r="AP41" s="39"/>
      <c r="AQ41" s="39"/>
      <c r="AR41" s="39"/>
      <c r="AS41" s="39"/>
      <c r="AT41" s="39"/>
      <c r="AU41" s="39">
        <v>1.4</v>
      </c>
      <c r="AV41" s="39"/>
      <c r="AW41" s="39"/>
      <c r="AX41" s="39"/>
      <c r="AY41" s="39">
        <v>0.71699999999999997</v>
      </c>
      <c r="AZ41" s="39"/>
      <c r="BA41" s="39"/>
      <c r="BB41" s="39"/>
      <c r="BC41" s="39"/>
      <c r="BD41" s="39"/>
      <c r="BE41" s="39">
        <v>1.5</v>
      </c>
      <c r="BF41" s="39"/>
      <c r="BG41" s="39"/>
      <c r="BH41" s="39"/>
      <c r="BI41" s="39">
        <v>2.8</v>
      </c>
      <c r="BJ41" s="39"/>
      <c r="BK41" s="39"/>
      <c r="BL41" s="39"/>
      <c r="BM41" s="39"/>
      <c r="BN41" s="39"/>
      <c r="BO41" s="39"/>
      <c r="BP41" s="39"/>
      <c r="BQ41" s="39"/>
      <c r="BR41" s="39"/>
      <c r="BS41" s="39"/>
      <c r="BT41" s="39"/>
      <c r="BU41" s="39"/>
    </row>
    <row r="42" spans="1:73" ht="15">
      <c r="A42" s="21" t="s">
        <v>197</v>
      </c>
      <c r="B42" s="14">
        <f t="shared" si="1"/>
        <v>15.756</v>
      </c>
      <c r="C42" s="39"/>
      <c r="D42" s="39"/>
      <c r="E42" s="39"/>
      <c r="F42" s="39"/>
      <c r="G42" s="39"/>
      <c r="H42" s="39"/>
      <c r="I42" s="39"/>
      <c r="J42" s="39"/>
      <c r="K42" s="39"/>
      <c r="L42" s="39"/>
      <c r="M42" s="39"/>
      <c r="N42" s="39"/>
      <c r="O42" s="39">
        <v>5</v>
      </c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  <c r="AA42" s="39"/>
      <c r="AB42" s="39"/>
      <c r="AC42" s="39"/>
      <c r="AD42" s="39"/>
      <c r="AE42" s="39"/>
      <c r="AF42" s="39"/>
      <c r="AG42" s="39">
        <v>0.82799999999999996</v>
      </c>
      <c r="AH42" s="39"/>
      <c r="AI42" s="39"/>
      <c r="AJ42" s="39"/>
      <c r="AK42" s="39"/>
      <c r="AL42" s="39"/>
      <c r="AM42" s="39"/>
      <c r="AN42" s="39"/>
      <c r="AO42" s="39"/>
      <c r="AP42" s="39"/>
      <c r="AQ42" s="39"/>
      <c r="AR42" s="39"/>
      <c r="AS42" s="39"/>
      <c r="AT42" s="39"/>
      <c r="AU42" s="39"/>
      <c r="AV42" s="39"/>
      <c r="AW42" s="39"/>
      <c r="AX42" s="39"/>
      <c r="AY42" s="39"/>
      <c r="AZ42" s="39"/>
      <c r="BA42" s="39"/>
      <c r="BB42" s="39"/>
      <c r="BC42" s="39"/>
      <c r="BD42" s="39"/>
      <c r="BE42" s="39"/>
      <c r="BF42" s="39"/>
      <c r="BG42" s="39"/>
      <c r="BH42" s="39"/>
      <c r="BI42" s="39"/>
      <c r="BJ42" s="39">
        <v>9.3000000000000007</v>
      </c>
      <c r="BK42" s="39"/>
      <c r="BL42" s="39"/>
      <c r="BM42" s="39"/>
      <c r="BN42" s="39"/>
      <c r="BO42" s="39"/>
      <c r="BP42" s="39"/>
      <c r="BQ42" s="39"/>
      <c r="BR42" s="39">
        <v>0.628</v>
      </c>
      <c r="BS42" s="39"/>
      <c r="BT42" s="39"/>
      <c r="BU42" s="39"/>
    </row>
    <row r="43" spans="1:73" ht="15">
      <c r="A43" s="21" t="s">
        <v>198</v>
      </c>
      <c r="B43" s="14">
        <f t="shared" si="1"/>
        <v>7.2719999999999994</v>
      </c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  <c r="N43" s="39"/>
      <c r="O43" s="39">
        <v>0.61299999999999999</v>
      </c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  <c r="AA43" s="39"/>
      <c r="AB43" s="39"/>
      <c r="AC43" s="39"/>
      <c r="AD43" s="39"/>
      <c r="AE43" s="39"/>
      <c r="AF43" s="39"/>
      <c r="AG43" s="39"/>
      <c r="AH43" s="39"/>
      <c r="AI43" s="39"/>
      <c r="AJ43" s="39"/>
      <c r="AK43" s="39"/>
      <c r="AL43" s="39">
        <v>2.4</v>
      </c>
      <c r="AM43" s="39"/>
      <c r="AN43" s="39"/>
      <c r="AO43" s="39"/>
      <c r="AP43" s="39"/>
      <c r="AQ43" s="39"/>
      <c r="AR43" s="39"/>
      <c r="AS43" s="39"/>
      <c r="AT43" s="39"/>
      <c r="AU43" s="39"/>
      <c r="AV43" s="39"/>
      <c r="AW43" s="39">
        <v>0.159</v>
      </c>
      <c r="AX43" s="39"/>
      <c r="AY43" s="39"/>
      <c r="AZ43" s="39"/>
      <c r="BA43" s="39"/>
      <c r="BB43" s="39"/>
      <c r="BC43" s="39"/>
      <c r="BD43" s="39"/>
      <c r="BE43" s="39"/>
      <c r="BF43" s="39"/>
      <c r="BG43" s="39"/>
      <c r="BH43" s="39"/>
      <c r="BI43" s="39"/>
      <c r="BJ43" s="39"/>
      <c r="BK43" s="39"/>
      <c r="BL43" s="39"/>
      <c r="BM43" s="39"/>
      <c r="BN43" s="39"/>
      <c r="BO43" s="39"/>
      <c r="BP43" s="39"/>
      <c r="BQ43" s="39"/>
      <c r="BR43" s="39"/>
      <c r="BS43" s="39"/>
      <c r="BT43" s="39"/>
      <c r="BU43" s="39">
        <v>4.0999999999999996</v>
      </c>
    </row>
    <row r="44" spans="1:73" ht="15">
      <c r="A44" s="21" t="s">
        <v>199</v>
      </c>
      <c r="B44" s="14">
        <f t="shared" si="1"/>
        <v>122.417</v>
      </c>
      <c r="C44" s="39">
        <v>121.7</v>
      </c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>
        <v>0</v>
      </c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  <c r="AA44" s="39"/>
      <c r="AB44" s="39"/>
      <c r="AC44" s="39"/>
      <c r="AD44" s="39"/>
      <c r="AE44" s="39"/>
      <c r="AF44" s="39"/>
      <c r="AG44" s="39">
        <v>0.71699999999999997</v>
      </c>
      <c r="AH44" s="39"/>
      <c r="AI44" s="39"/>
      <c r="AJ44" s="39"/>
      <c r="AK44" s="39"/>
      <c r="AL44" s="39"/>
      <c r="AM44" s="39"/>
      <c r="AN44" s="39"/>
      <c r="AO44" s="39"/>
      <c r="AP44" s="39"/>
      <c r="AQ44" s="39"/>
      <c r="AR44" s="39"/>
      <c r="AS44" s="39"/>
      <c r="AT44" s="39"/>
      <c r="AU44" s="39"/>
      <c r="AV44" s="39"/>
      <c r="AW44" s="39"/>
      <c r="AX44" s="39"/>
      <c r="AY44" s="39"/>
      <c r="AZ44" s="39"/>
      <c r="BA44" s="39"/>
      <c r="BB44" s="39"/>
      <c r="BC44" s="39"/>
      <c r="BD44" s="39"/>
      <c r="BE44" s="39"/>
      <c r="BF44" s="39"/>
      <c r="BG44" s="39"/>
      <c r="BH44" s="39"/>
      <c r="BI44" s="39"/>
      <c r="BJ44" s="39"/>
      <c r="BK44" s="39"/>
      <c r="BL44" s="39"/>
      <c r="BM44" s="39"/>
      <c r="BN44" s="39"/>
      <c r="BO44" s="39"/>
      <c r="BP44" s="39"/>
      <c r="BQ44" s="39"/>
      <c r="BR44" s="39"/>
      <c r="BS44" s="39"/>
      <c r="BT44" s="39"/>
      <c r="BU44" s="39"/>
    </row>
    <row r="45" spans="1:73" ht="15">
      <c r="A45" s="21" t="s">
        <v>200</v>
      </c>
      <c r="B45" s="14">
        <f t="shared" si="1"/>
        <v>1.256</v>
      </c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>
        <v>0.82</v>
      </c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  <c r="AA45" s="39"/>
      <c r="AB45" s="39"/>
      <c r="AC45" s="39">
        <v>0.436</v>
      </c>
      <c r="AD45" s="39"/>
      <c r="AE45" s="39"/>
      <c r="AF45" s="39"/>
      <c r="AG45" s="39"/>
      <c r="AH45" s="39"/>
      <c r="AI45" s="39"/>
      <c r="AJ45" s="39"/>
      <c r="AK45" s="39"/>
      <c r="AL45" s="39"/>
      <c r="AM45" s="39"/>
      <c r="AN45" s="39"/>
      <c r="AO45" s="39"/>
      <c r="AP45" s="39"/>
      <c r="AQ45" s="39"/>
      <c r="AR45" s="39"/>
      <c r="AS45" s="39"/>
      <c r="AT45" s="39"/>
      <c r="AU45" s="39"/>
      <c r="AV45" s="39"/>
      <c r="AW45" s="39"/>
      <c r="AX45" s="39"/>
      <c r="AY45" s="39"/>
      <c r="AZ45" s="39"/>
      <c r="BA45" s="39"/>
      <c r="BB45" s="39"/>
      <c r="BC45" s="39"/>
      <c r="BD45" s="39"/>
      <c r="BE45" s="39"/>
      <c r="BF45" s="39"/>
      <c r="BG45" s="39"/>
      <c r="BH45" s="39"/>
      <c r="BI45" s="39"/>
      <c r="BJ45" s="39"/>
      <c r="BK45" s="39"/>
      <c r="BL45" s="39"/>
      <c r="BM45" s="39"/>
      <c r="BN45" s="39"/>
      <c r="BO45" s="39"/>
      <c r="BP45" s="39"/>
      <c r="BQ45" s="39"/>
      <c r="BR45" s="39"/>
      <c r="BS45" s="39"/>
      <c r="BT45" s="39"/>
      <c r="BU45" s="39"/>
    </row>
    <row r="46" spans="1:73" ht="15">
      <c r="A46" s="21" t="s">
        <v>201</v>
      </c>
      <c r="B46" s="14">
        <f t="shared" si="1"/>
        <v>0.27900000000000003</v>
      </c>
      <c r="C46" s="39"/>
      <c r="D46" s="39"/>
      <c r="E46" s="39"/>
      <c r="F46" s="39"/>
      <c r="G46" s="39"/>
      <c r="H46" s="39"/>
      <c r="I46" s="39"/>
      <c r="J46" s="39"/>
      <c r="K46" s="39"/>
      <c r="L46" s="39"/>
      <c r="M46" s="39"/>
      <c r="N46" s="39"/>
      <c r="O46" s="39">
        <v>0.27900000000000003</v>
      </c>
      <c r="P46" s="39"/>
      <c r="Q46" s="39"/>
      <c r="R46" s="39"/>
      <c r="S46" s="39"/>
      <c r="T46" s="39"/>
      <c r="U46" s="39"/>
      <c r="V46" s="39"/>
      <c r="W46" s="39"/>
      <c r="X46" s="39"/>
      <c r="Y46" s="39"/>
      <c r="Z46" s="39"/>
      <c r="AA46" s="39"/>
      <c r="AB46" s="39"/>
      <c r="AC46" s="39"/>
      <c r="AD46" s="39"/>
      <c r="AE46" s="39"/>
      <c r="AF46" s="39"/>
      <c r="AG46" s="39"/>
      <c r="AH46" s="39"/>
      <c r="AI46" s="39"/>
      <c r="AJ46" s="39"/>
      <c r="AK46" s="39"/>
      <c r="AL46" s="39"/>
      <c r="AM46" s="39"/>
      <c r="AN46" s="39"/>
      <c r="AO46" s="39"/>
      <c r="AP46" s="39"/>
      <c r="AQ46" s="39"/>
      <c r="AR46" s="39"/>
      <c r="AS46" s="39"/>
      <c r="AT46" s="39"/>
      <c r="AU46" s="39"/>
      <c r="AV46" s="39"/>
      <c r="AW46" s="39"/>
      <c r="AX46" s="39"/>
      <c r="AY46" s="39"/>
      <c r="AZ46" s="39"/>
      <c r="BA46" s="39"/>
      <c r="BB46" s="39"/>
      <c r="BC46" s="39"/>
      <c r="BD46" s="39"/>
      <c r="BE46" s="39"/>
      <c r="BF46" s="39"/>
      <c r="BG46" s="39"/>
      <c r="BH46" s="39"/>
      <c r="BI46" s="39"/>
      <c r="BJ46" s="39"/>
      <c r="BK46" s="39"/>
      <c r="BL46" s="39"/>
      <c r="BM46" s="39"/>
      <c r="BN46" s="39"/>
      <c r="BO46" s="39"/>
      <c r="BP46" s="39"/>
      <c r="BQ46" s="39"/>
      <c r="BR46" s="39"/>
      <c r="BS46" s="39"/>
      <c r="BT46" s="39"/>
      <c r="BU46" s="39"/>
    </row>
    <row r="47" spans="1:73" ht="15">
      <c r="A47" s="21" t="s">
        <v>202</v>
      </c>
      <c r="B47" s="14">
        <f t="shared" si="1"/>
        <v>1.5</v>
      </c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  <c r="N47" s="39"/>
      <c r="O47" s="39">
        <v>1.5</v>
      </c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  <c r="AA47" s="39"/>
      <c r="AB47" s="39"/>
      <c r="AC47" s="39"/>
      <c r="AD47" s="39"/>
      <c r="AE47" s="39"/>
      <c r="AF47" s="39"/>
      <c r="AG47" s="39"/>
      <c r="AH47" s="39"/>
      <c r="AI47" s="39"/>
      <c r="AJ47" s="39"/>
      <c r="AK47" s="39"/>
      <c r="AL47" s="39"/>
      <c r="AM47" s="39"/>
      <c r="AN47" s="39"/>
      <c r="AO47" s="39"/>
      <c r="AP47" s="39"/>
      <c r="AQ47" s="39"/>
      <c r="AR47" s="39"/>
      <c r="AS47" s="39"/>
      <c r="AT47" s="39"/>
      <c r="AU47" s="39"/>
      <c r="AV47" s="39"/>
      <c r="AW47" s="39"/>
      <c r="AX47" s="39"/>
      <c r="AY47" s="39"/>
      <c r="AZ47" s="39"/>
      <c r="BA47" s="39"/>
      <c r="BB47" s="39"/>
      <c r="BC47" s="39"/>
      <c r="BD47" s="39"/>
      <c r="BE47" s="39"/>
      <c r="BF47" s="39"/>
      <c r="BG47" s="39"/>
      <c r="BH47" s="39"/>
      <c r="BI47" s="39"/>
      <c r="BJ47" s="39"/>
      <c r="BK47" s="39"/>
      <c r="BL47" s="39"/>
      <c r="BM47" s="39"/>
      <c r="BN47" s="39"/>
      <c r="BO47" s="39"/>
      <c r="BP47" s="39"/>
      <c r="BQ47" s="39"/>
      <c r="BR47" s="39"/>
      <c r="BS47" s="39"/>
      <c r="BT47" s="39"/>
      <c r="BU47" s="39"/>
    </row>
    <row r="48" spans="1:73" ht="15">
      <c r="A48" s="21" t="s">
        <v>203</v>
      </c>
      <c r="B48" s="14">
        <f t="shared" si="1"/>
        <v>5.0369999999999999</v>
      </c>
      <c r="C48" s="39"/>
      <c r="D48" s="39">
        <v>0.23699999999999999</v>
      </c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39">
        <v>2</v>
      </c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  <c r="AA48" s="39"/>
      <c r="AB48" s="39"/>
      <c r="AC48" s="39"/>
      <c r="AD48" s="39"/>
      <c r="AE48" s="39"/>
      <c r="AF48" s="39"/>
      <c r="AG48" s="39"/>
      <c r="AH48" s="39"/>
      <c r="AI48" s="39"/>
      <c r="AJ48" s="39"/>
      <c r="AK48" s="39"/>
      <c r="AL48" s="39"/>
      <c r="AM48" s="39"/>
      <c r="AN48" s="39"/>
      <c r="AO48" s="39"/>
      <c r="AP48" s="39"/>
      <c r="AQ48" s="39"/>
      <c r="AR48" s="39"/>
      <c r="AS48" s="39"/>
      <c r="AT48" s="39"/>
      <c r="AU48" s="39"/>
      <c r="AV48" s="39"/>
      <c r="AW48" s="39"/>
      <c r="AX48" s="39"/>
      <c r="AY48" s="39"/>
      <c r="AZ48" s="39"/>
      <c r="BA48" s="39"/>
      <c r="BB48" s="39">
        <v>2.8</v>
      </c>
      <c r="BC48" s="39"/>
      <c r="BD48" s="39"/>
      <c r="BE48" s="39"/>
      <c r="BF48" s="39"/>
      <c r="BG48" s="39"/>
      <c r="BH48" s="39"/>
      <c r="BI48" s="39"/>
      <c r="BJ48" s="39"/>
      <c r="BK48" s="39"/>
      <c r="BL48" s="39"/>
      <c r="BM48" s="39"/>
      <c r="BN48" s="39"/>
      <c r="BO48" s="39"/>
      <c r="BP48" s="39"/>
      <c r="BQ48" s="39"/>
      <c r="BR48" s="39"/>
      <c r="BS48" s="39"/>
      <c r="BT48" s="39"/>
      <c r="BU48" s="39"/>
    </row>
    <row r="49" spans="1:73" ht="15">
      <c r="A49" s="21" t="s">
        <v>204</v>
      </c>
      <c r="B49" s="14">
        <f t="shared" si="1"/>
        <v>4</v>
      </c>
      <c r="C49" s="39"/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>
        <v>1.7</v>
      </c>
      <c r="P49" s="39"/>
      <c r="Q49" s="39"/>
      <c r="R49" s="39"/>
      <c r="S49" s="39"/>
      <c r="T49" s="39"/>
      <c r="U49" s="39"/>
      <c r="V49" s="39"/>
      <c r="W49" s="39"/>
      <c r="X49" s="39"/>
      <c r="Y49" s="39"/>
      <c r="Z49" s="39"/>
      <c r="AA49" s="39"/>
      <c r="AB49" s="39"/>
      <c r="AC49" s="39"/>
      <c r="AD49" s="39"/>
      <c r="AE49" s="39"/>
      <c r="AF49" s="39"/>
      <c r="AG49" s="39"/>
      <c r="AH49" s="39"/>
      <c r="AI49" s="39"/>
      <c r="AJ49" s="39"/>
      <c r="AK49" s="39"/>
      <c r="AL49" s="39"/>
      <c r="AM49" s="39"/>
      <c r="AN49" s="39"/>
      <c r="AO49" s="39"/>
      <c r="AP49" s="39"/>
      <c r="AQ49" s="39"/>
      <c r="AR49" s="39"/>
      <c r="AS49" s="39"/>
      <c r="AT49" s="39"/>
      <c r="AU49" s="39"/>
      <c r="AV49" s="39"/>
      <c r="AW49" s="39"/>
      <c r="AX49" s="39"/>
      <c r="AY49" s="39"/>
      <c r="AZ49" s="39"/>
      <c r="BA49" s="39"/>
      <c r="BB49" s="39"/>
      <c r="BC49" s="39"/>
      <c r="BD49" s="39"/>
      <c r="BE49" s="39"/>
      <c r="BF49" s="39"/>
      <c r="BG49" s="39"/>
      <c r="BH49" s="39"/>
      <c r="BI49" s="39"/>
      <c r="BJ49" s="39">
        <v>2.2999999999999998</v>
      </c>
      <c r="BK49" s="39"/>
      <c r="BL49" s="39"/>
      <c r="BM49" s="39"/>
      <c r="BN49" s="39"/>
      <c r="BO49" s="39"/>
      <c r="BP49" s="39"/>
      <c r="BQ49" s="39"/>
      <c r="BR49" s="39"/>
      <c r="BS49" s="39"/>
      <c r="BT49" s="39"/>
      <c r="BU49" s="39"/>
    </row>
    <row r="50" spans="1:73" ht="15">
      <c r="A50" s="21" t="s">
        <v>205</v>
      </c>
      <c r="B50" s="14">
        <f t="shared" si="1"/>
        <v>0.22800000000000001</v>
      </c>
      <c r="C50" s="39"/>
      <c r="D50" s="39"/>
      <c r="E50" s="39"/>
      <c r="F50" s="39"/>
      <c r="G50" s="39"/>
      <c r="H50" s="39"/>
      <c r="I50" s="39"/>
      <c r="J50" s="39"/>
      <c r="K50" s="39"/>
      <c r="L50" s="39"/>
      <c r="M50" s="39"/>
      <c r="N50" s="39"/>
      <c r="O50" s="39">
        <v>0.22800000000000001</v>
      </c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  <c r="AA50" s="39"/>
      <c r="AB50" s="39"/>
      <c r="AC50" s="39"/>
      <c r="AD50" s="39"/>
      <c r="AE50" s="39"/>
      <c r="AF50" s="39"/>
      <c r="AG50" s="39"/>
      <c r="AH50" s="39"/>
      <c r="AI50" s="39"/>
      <c r="AJ50" s="39"/>
      <c r="AK50" s="39"/>
      <c r="AL50" s="39"/>
      <c r="AM50" s="39"/>
      <c r="AN50" s="39"/>
      <c r="AO50" s="39"/>
      <c r="AP50" s="39"/>
      <c r="AQ50" s="39"/>
      <c r="AR50" s="39"/>
      <c r="AS50" s="39"/>
      <c r="AT50" s="39"/>
      <c r="AU50" s="39"/>
      <c r="AV50" s="39"/>
      <c r="AW50" s="39"/>
      <c r="AX50" s="39"/>
      <c r="AY50" s="39"/>
      <c r="AZ50" s="39"/>
      <c r="BA50" s="39"/>
      <c r="BB50" s="39"/>
      <c r="BC50" s="39"/>
      <c r="BD50" s="39"/>
      <c r="BE50" s="39"/>
      <c r="BF50" s="39"/>
      <c r="BG50" s="39"/>
      <c r="BH50" s="39"/>
      <c r="BI50" s="39"/>
      <c r="BJ50" s="39"/>
      <c r="BK50" s="39"/>
      <c r="BL50" s="39"/>
      <c r="BM50" s="39"/>
      <c r="BN50" s="39"/>
      <c r="BO50" s="39"/>
      <c r="BP50" s="39"/>
      <c r="BQ50" s="39"/>
      <c r="BR50" s="39"/>
      <c r="BS50" s="39"/>
      <c r="BT50" s="39"/>
      <c r="BU50" s="39"/>
    </row>
    <row r="51" spans="1:73" ht="15">
      <c r="A51" s="21" t="s">
        <v>206</v>
      </c>
      <c r="B51" s="14">
        <f t="shared" si="1"/>
        <v>4.0839999999999996</v>
      </c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>
        <v>3.3</v>
      </c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  <c r="AA51" s="39"/>
      <c r="AB51" s="39"/>
      <c r="AC51" s="39"/>
      <c r="AD51" s="39"/>
      <c r="AE51" s="39">
        <v>0.16800000000000001</v>
      </c>
      <c r="AF51" s="39"/>
      <c r="AG51" s="39">
        <v>0.61599999999999999</v>
      </c>
      <c r="AH51" s="39"/>
      <c r="AI51" s="39"/>
      <c r="AJ51" s="39"/>
      <c r="AK51" s="39"/>
      <c r="AL51" s="39"/>
      <c r="AM51" s="39"/>
      <c r="AN51" s="39"/>
      <c r="AO51" s="39"/>
      <c r="AP51" s="39"/>
      <c r="AQ51" s="39"/>
      <c r="AR51" s="39"/>
      <c r="AS51" s="39"/>
      <c r="AT51" s="39"/>
      <c r="AU51" s="39"/>
      <c r="AV51" s="39"/>
      <c r="AW51" s="39"/>
      <c r="AX51" s="39"/>
      <c r="AY51" s="39"/>
      <c r="AZ51" s="39"/>
      <c r="BA51" s="39"/>
      <c r="BB51" s="39"/>
      <c r="BC51" s="39"/>
      <c r="BD51" s="39"/>
      <c r="BE51" s="39"/>
      <c r="BF51" s="39"/>
      <c r="BG51" s="39"/>
      <c r="BH51" s="39"/>
      <c r="BI51" s="39"/>
      <c r="BJ51" s="39"/>
      <c r="BK51" s="39"/>
      <c r="BL51" s="39"/>
      <c r="BM51" s="39"/>
      <c r="BN51" s="39"/>
      <c r="BO51" s="39"/>
      <c r="BP51" s="39"/>
      <c r="BQ51" s="39"/>
      <c r="BR51" s="39"/>
      <c r="BS51" s="39"/>
      <c r="BT51" s="39"/>
      <c r="BU51" s="39"/>
    </row>
    <row r="52" spans="1:73" ht="15">
      <c r="A52" s="21" t="s">
        <v>207</v>
      </c>
      <c r="B52" s="14">
        <f t="shared" si="1"/>
        <v>104.5</v>
      </c>
      <c r="C52" s="39"/>
      <c r="D52" s="39"/>
      <c r="E52" s="39"/>
      <c r="F52" s="39"/>
      <c r="G52" s="39"/>
      <c r="H52" s="39"/>
      <c r="I52" s="39">
        <v>74.099999999999994</v>
      </c>
      <c r="J52" s="39"/>
      <c r="K52" s="39"/>
      <c r="L52" s="39"/>
      <c r="M52" s="39"/>
      <c r="N52" s="39"/>
      <c r="O52" s="39">
        <v>3.2</v>
      </c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  <c r="AA52" s="39"/>
      <c r="AB52" s="39"/>
      <c r="AC52" s="39"/>
      <c r="AD52" s="39"/>
      <c r="AE52" s="39"/>
      <c r="AF52" s="39">
        <v>26.1</v>
      </c>
      <c r="AG52" s="39">
        <v>1.1000000000000001</v>
      </c>
      <c r="AH52" s="39"/>
      <c r="AI52" s="39"/>
      <c r="AJ52" s="39"/>
      <c r="AK52" s="39"/>
      <c r="AL52" s="39"/>
      <c r="AM52" s="39"/>
      <c r="AN52" s="39"/>
      <c r="AO52" s="39"/>
      <c r="AP52" s="39"/>
      <c r="AQ52" s="39"/>
      <c r="AR52" s="39"/>
      <c r="AS52" s="39"/>
      <c r="AT52" s="39"/>
      <c r="AU52" s="39"/>
      <c r="AV52" s="39"/>
      <c r="AW52" s="39"/>
      <c r="AX52" s="39"/>
      <c r="AY52" s="39"/>
      <c r="AZ52" s="39"/>
      <c r="BA52" s="39"/>
      <c r="BB52" s="39"/>
      <c r="BC52" s="39"/>
      <c r="BD52" s="39"/>
      <c r="BE52" s="39"/>
      <c r="BF52" s="39"/>
      <c r="BG52" s="39"/>
      <c r="BH52" s="39"/>
      <c r="BI52" s="39"/>
      <c r="BJ52" s="39"/>
      <c r="BK52" s="39"/>
      <c r="BL52" s="39"/>
      <c r="BM52" s="39"/>
      <c r="BN52" s="39"/>
      <c r="BO52" s="39"/>
      <c r="BP52" s="39"/>
      <c r="BQ52" s="39"/>
      <c r="BR52" s="39"/>
      <c r="BS52" s="39"/>
      <c r="BT52" s="39"/>
      <c r="BU52" s="39"/>
    </row>
    <row r="53" spans="1:73" ht="15">
      <c r="A53" s="21" t="s">
        <v>208</v>
      </c>
      <c r="B53" s="14">
        <f t="shared" si="1"/>
        <v>1.7919999999999998</v>
      </c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>
        <v>1.4</v>
      </c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  <c r="AA53" s="39"/>
      <c r="AB53" s="39"/>
      <c r="AC53" s="39"/>
      <c r="AD53" s="39"/>
      <c r="AE53" s="39"/>
      <c r="AF53" s="39"/>
      <c r="AG53" s="39">
        <v>0.39200000000000002</v>
      </c>
      <c r="AH53" s="39"/>
      <c r="AI53" s="39"/>
      <c r="AJ53" s="39"/>
      <c r="AK53" s="39"/>
      <c r="AL53" s="39"/>
      <c r="AM53" s="39"/>
      <c r="AN53" s="39"/>
      <c r="AO53" s="39"/>
      <c r="AP53" s="39"/>
      <c r="AQ53" s="39"/>
      <c r="AR53" s="39"/>
      <c r="AS53" s="39"/>
      <c r="AT53" s="39"/>
      <c r="AU53" s="39"/>
      <c r="AV53" s="39"/>
      <c r="AW53" s="39"/>
      <c r="AX53" s="39"/>
      <c r="AY53" s="39"/>
      <c r="AZ53" s="39"/>
      <c r="BA53" s="39"/>
      <c r="BB53" s="39"/>
      <c r="BC53" s="39"/>
      <c r="BD53" s="39"/>
      <c r="BE53" s="39"/>
      <c r="BF53" s="39"/>
      <c r="BG53" s="39"/>
      <c r="BH53" s="39"/>
      <c r="BI53" s="39"/>
      <c r="BJ53" s="39"/>
      <c r="BK53" s="39"/>
      <c r="BL53" s="39"/>
      <c r="BM53" s="39"/>
      <c r="BN53" s="39"/>
      <c r="BO53" s="39"/>
      <c r="BP53" s="39"/>
      <c r="BQ53" s="39"/>
      <c r="BR53" s="39"/>
      <c r="BS53" s="39"/>
      <c r="BT53" s="39"/>
      <c r="BU53" s="39"/>
    </row>
    <row r="54" spans="1:73" ht="15">
      <c r="A54" s="21" t="s">
        <v>209</v>
      </c>
      <c r="B54" s="14">
        <f t="shared" si="1"/>
        <v>45.329300000000003</v>
      </c>
      <c r="C54" s="39"/>
      <c r="D54" s="39"/>
      <c r="E54" s="39"/>
      <c r="F54" s="39"/>
      <c r="G54" s="39"/>
      <c r="H54" s="39"/>
      <c r="I54" s="39"/>
      <c r="J54" s="39"/>
      <c r="K54" s="39">
        <v>0.34429999999999999</v>
      </c>
      <c r="L54" s="39"/>
      <c r="M54" s="39"/>
      <c r="N54" s="39"/>
      <c r="O54" s="39">
        <v>0.98499999999999999</v>
      </c>
      <c r="P54" s="39"/>
      <c r="Q54" s="39"/>
      <c r="R54" s="39"/>
      <c r="S54" s="39"/>
      <c r="T54" s="39"/>
      <c r="U54" s="39"/>
      <c r="V54" s="39"/>
      <c r="W54" s="39"/>
      <c r="X54" s="39"/>
      <c r="Y54" s="39">
        <v>3</v>
      </c>
      <c r="Z54" s="39"/>
      <c r="AA54" s="39"/>
      <c r="AB54" s="39"/>
      <c r="AC54" s="39"/>
      <c r="AD54" s="39"/>
      <c r="AE54" s="39"/>
      <c r="AF54" s="39"/>
      <c r="AG54" s="39"/>
      <c r="AH54" s="39"/>
      <c r="AI54" s="39"/>
      <c r="AJ54" s="39"/>
      <c r="AK54" s="39"/>
      <c r="AL54" s="39"/>
      <c r="AM54" s="39"/>
      <c r="AN54" s="39"/>
      <c r="AO54" s="39"/>
      <c r="AP54" s="39"/>
      <c r="AQ54" s="39"/>
      <c r="AR54" s="39"/>
      <c r="AS54" s="39"/>
      <c r="AT54" s="39"/>
      <c r="AU54" s="39"/>
      <c r="AV54" s="39"/>
      <c r="AW54" s="39"/>
      <c r="AX54" s="39"/>
      <c r="AY54" s="39"/>
      <c r="AZ54" s="39"/>
      <c r="BA54" s="39"/>
      <c r="BB54" s="39"/>
      <c r="BC54" s="39"/>
      <c r="BD54" s="39"/>
      <c r="BE54" s="39"/>
      <c r="BF54" s="39"/>
      <c r="BG54" s="39"/>
      <c r="BH54" s="39"/>
      <c r="BI54" s="39"/>
      <c r="BJ54" s="39">
        <v>39</v>
      </c>
      <c r="BK54" s="39"/>
      <c r="BL54" s="39">
        <v>2</v>
      </c>
      <c r="BM54" s="39"/>
      <c r="BN54" s="39"/>
      <c r="BO54" s="39"/>
      <c r="BP54" s="39"/>
      <c r="BQ54" s="39"/>
      <c r="BR54" s="39"/>
      <c r="BS54" s="39"/>
      <c r="BT54" s="39"/>
      <c r="BU54" s="39"/>
    </row>
    <row r="55" spans="1:73" ht="15">
      <c r="A55" s="21" t="s">
        <v>210</v>
      </c>
      <c r="B55" s="14">
        <f t="shared" si="1"/>
        <v>49</v>
      </c>
      <c r="C55" s="39"/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39">
        <v>1.9</v>
      </c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  <c r="AA55" s="39"/>
      <c r="AB55" s="39"/>
      <c r="AC55" s="39"/>
      <c r="AD55" s="39"/>
      <c r="AE55" s="39"/>
      <c r="AF55" s="39"/>
      <c r="AG55" s="39"/>
      <c r="AH55" s="39"/>
      <c r="AI55" s="39"/>
      <c r="AJ55" s="39"/>
      <c r="AK55" s="39"/>
      <c r="AL55" s="39"/>
      <c r="AM55" s="39"/>
      <c r="AN55" s="39"/>
      <c r="AO55" s="39"/>
      <c r="AP55" s="39"/>
      <c r="AQ55" s="39"/>
      <c r="AR55" s="39"/>
      <c r="AS55" s="39"/>
      <c r="AT55" s="39"/>
      <c r="AU55" s="39"/>
      <c r="AV55" s="39"/>
      <c r="AW55" s="39"/>
      <c r="AX55" s="39"/>
      <c r="AY55" s="39"/>
      <c r="AZ55" s="39"/>
      <c r="BA55" s="39"/>
      <c r="BB55" s="39"/>
      <c r="BC55" s="39"/>
      <c r="BD55" s="39"/>
      <c r="BE55" s="39"/>
      <c r="BF55" s="39"/>
      <c r="BG55" s="39"/>
      <c r="BH55" s="39"/>
      <c r="BI55" s="39"/>
      <c r="BJ55" s="39">
        <v>47.1</v>
      </c>
      <c r="BK55" s="39"/>
      <c r="BL55" s="39"/>
      <c r="BM55" s="39"/>
      <c r="BN55" s="39"/>
      <c r="BO55" s="39"/>
      <c r="BP55" s="39"/>
      <c r="BQ55" s="39"/>
      <c r="BR55" s="39"/>
      <c r="BS55" s="39"/>
      <c r="BT55" s="39"/>
      <c r="BU55" s="39"/>
    </row>
    <row r="56" spans="1:73" ht="15">
      <c r="A56" s="21" t="s">
        <v>211</v>
      </c>
      <c r="B56" s="14">
        <f t="shared" si="1"/>
        <v>0.46100000000000002</v>
      </c>
      <c r="C56" s="39"/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39">
        <v>0.46100000000000002</v>
      </c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  <c r="AA56" s="39"/>
      <c r="AB56" s="39"/>
      <c r="AC56" s="39"/>
      <c r="AD56" s="39"/>
      <c r="AE56" s="39"/>
      <c r="AF56" s="39"/>
      <c r="AG56" s="39"/>
      <c r="AH56" s="39"/>
      <c r="AI56" s="39"/>
      <c r="AJ56" s="39"/>
      <c r="AK56" s="39"/>
      <c r="AL56" s="39"/>
      <c r="AM56" s="39"/>
      <c r="AN56" s="39"/>
      <c r="AO56" s="39"/>
      <c r="AP56" s="39"/>
      <c r="AQ56" s="39"/>
      <c r="AR56" s="39"/>
      <c r="AS56" s="39"/>
      <c r="AT56" s="39"/>
      <c r="AU56" s="39"/>
      <c r="AV56" s="39"/>
      <c r="AW56" s="39"/>
      <c r="AX56" s="39"/>
      <c r="AY56" s="39"/>
      <c r="AZ56" s="39"/>
      <c r="BA56" s="39"/>
      <c r="BB56" s="39"/>
      <c r="BC56" s="39"/>
      <c r="BD56" s="39"/>
      <c r="BE56" s="39"/>
      <c r="BF56" s="39"/>
      <c r="BG56" s="39"/>
      <c r="BH56" s="39"/>
      <c r="BI56" s="39"/>
      <c r="BJ56" s="39"/>
      <c r="BK56" s="39"/>
      <c r="BL56" s="39"/>
      <c r="BM56" s="39"/>
      <c r="BN56" s="39"/>
      <c r="BO56" s="39"/>
      <c r="BP56" s="39"/>
      <c r="BQ56" s="39"/>
      <c r="BR56" s="39"/>
      <c r="BS56" s="39"/>
      <c r="BT56" s="39"/>
      <c r="BU56" s="39"/>
    </row>
    <row r="57" spans="1:73" ht="15">
      <c r="A57" s="21" t="s">
        <v>212</v>
      </c>
      <c r="B57" s="14">
        <f t="shared" si="1"/>
        <v>189.697</v>
      </c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>
        <v>2.2000000000000002</v>
      </c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  <c r="AA57" s="39"/>
      <c r="AB57" s="39"/>
      <c r="AC57" s="39">
        <v>0.40100000000000002</v>
      </c>
      <c r="AD57" s="39"/>
      <c r="AE57" s="39">
        <v>9.0999999999999998E-2</v>
      </c>
      <c r="AF57" s="39"/>
      <c r="AG57" s="39">
        <v>0.40500000000000003</v>
      </c>
      <c r="AH57" s="39"/>
      <c r="AI57" s="39"/>
      <c r="AJ57" s="39"/>
      <c r="AK57" s="39"/>
      <c r="AL57" s="39"/>
      <c r="AM57" s="39"/>
      <c r="AN57" s="39">
        <v>98</v>
      </c>
      <c r="AO57" s="39"/>
      <c r="AP57" s="39"/>
      <c r="AQ57" s="39"/>
      <c r="AR57" s="39"/>
      <c r="AS57" s="39"/>
      <c r="AT57" s="39"/>
      <c r="AU57" s="39"/>
      <c r="AV57" s="39"/>
      <c r="AW57" s="39"/>
      <c r="AX57" s="39"/>
      <c r="AY57" s="39"/>
      <c r="AZ57" s="39"/>
      <c r="BA57" s="39"/>
      <c r="BB57" s="39"/>
      <c r="BC57" s="39"/>
      <c r="BD57" s="39"/>
      <c r="BE57" s="39"/>
      <c r="BF57" s="39"/>
      <c r="BG57" s="39"/>
      <c r="BH57" s="39"/>
      <c r="BI57" s="39"/>
      <c r="BJ57" s="39"/>
      <c r="BK57" s="39"/>
      <c r="BL57" s="39"/>
      <c r="BM57" s="39"/>
      <c r="BN57" s="39"/>
      <c r="BO57" s="39"/>
      <c r="BP57" s="39"/>
      <c r="BQ57" s="39">
        <v>88.6</v>
      </c>
      <c r="BR57" s="39"/>
      <c r="BS57" s="39"/>
      <c r="BT57" s="39"/>
      <c r="BU57" s="39"/>
    </row>
    <row r="58" spans="1:73" ht="15">
      <c r="A58" s="21" t="s">
        <v>213</v>
      </c>
      <c r="B58" s="14">
        <f t="shared" si="1"/>
        <v>1.6</v>
      </c>
      <c r="C58" s="39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39">
        <v>0</v>
      </c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9"/>
      <c r="AA58" s="39"/>
      <c r="AB58" s="39"/>
      <c r="AC58" s="39"/>
      <c r="AD58" s="39"/>
      <c r="AE58" s="39"/>
      <c r="AF58" s="39"/>
      <c r="AG58" s="39"/>
      <c r="AH58" s="39"/>
      <c r="AI58" s="39"/>
      <c r="AJ58" s="39"/>
      <c r="AK58" s="39"/>
      <c r="AL58" s="39"/>
      <c r="AM58" s="39"/>
      <c r="AN58" s="39"/>
      <c r="AO58" s="39"/>
      <c r="AP58" s="39"/>
      <c r="AQ58" s="39"/>
      <c r="AR58" s="39"/>
      <c r="AS58" s="39"/>
      <c r="AT58" s="39"/>
      <c r="AU58" s="39"/>
      <c r="AV58" s="39"/>
      <c r="AW58" s="39"/>
      <c r="AX58" s="39"/>
      <c r="AY58" s="39">
        <v>1.6</v>
      </c>
      <c r="AZ58" s="39"/>
      <c r="BA58" s="39"/>
      <c r="BB58" s="39"/>
      <c r="BC58" s="39"/>
      <c r="BD58" s="39"/>
      <c r="BE58" s="39"/>
      <c r="BF58" s="39"/>
      <c r="BG58" s="39"/>
      <c r="BH58" s="39"/>
      <c r="BI58" s="39"/>
      <c r="BJ58" s="39"/>
      <c r="BK58" s="39"/>
      <c r="BL58" s="39"/>
      <c r="BM58" s="39"/>
      <c r="BN58" s="39"/>
      <c r="BO58" s="39"/>
      <c r="BP58" s="39"/>
      <c r="BQ58" s="39"/>
      <c r="BR58" s="39"/>
      <c r="BS58" s="39"/>
      <c r="BT58" s="39"/>
      <c r="BU58" s="39"/>
    </row>
    <row r="59" spans="1:73" ht="15">
      <c r="A59" s="21" t="s">
        <v>214</v>
      </c>
      <c r="B59" s="14">
        <f t="shared" si="1"/>
        <v>5.3999999999999995</v>
      </c>
      <c r="C59" s="39"/>
      <c r="D59" s="39">
        <v>1.7</v>
      </c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39">
        <v>2.4</v>
      </c>
      <c r="P59" s="39"/>
      <c r="Q59" s="39"/>
      <c r="R59" s="39"/>
      <c r="S59" s="39"/>
      <c r="T59" s="39"/>
      <c r="U59" s="39"/>
      <c r="V59" s="39"/>
      <c r="W59" s="39"/>
      <c r="X59" s="39"/>
      <c r="Y59" s="39"/>
      <c r="Z59" s="39"/>
      <c r="AA59" s="39"/>
      <c r="AB59" s="39"/>
      <c r="AC59" s="39"/>
      <c r="AD59" s="39"/>
      <c r="AE59" s="39"/>
      <c r="AF59" s="39"/>
      <c r="AG59" s="39"/>
      <c r="AH59" s="39"/>
      <c r="AI59" s="39"/>
      <c r="AJ59" s="39"/>
      <c r="AK59" s="39"/>
      <c r="AL59" s="39"/>
      <c r="AM59" s="39"/>
      <c r="AN59" s="39"/>
      <c r="AO59" s="39"/>
      <c r="AP59" s="39"/>
      <c r="AQ59" s="39"/>
      <c r="AR59" s="39"/>
      <c r="AS59" s="39"/>
      <c r="AT59" s="39"/>
      <c r="AU59" s="39"/>
      <c r="AV59" s="39"/>
      <c r="AW59" s="39"/>
      <c r="AX59" s="39"/>
      <c r="AY59" s="39"/>
      <c r="AZ59" s="39"/>
      <c r="BA59" s="39"/>
      <c r="BB59" s="39">
        <v>1.3</v>
      </c>
      <c r="BC59" s="39"/>
      <c r="BD59" s="39"/>
      <c r="BE59" s="39"/>
      <c r="BF59" s="39"/>
      <c r="BG59" s="39"/>
      <c r="BH59" s="39"/>
      <c r="BI59" s="39"/>
      <c r="BJ59" s="39"/>
      <c r="BK59" s="39"/>
      <c r="BL59" s="39"/>
      <c r="BM59" s="39"/>
      <c r="BN59" s="39"/>
      <c r="BO59" s="39"/>
      <c r="BP59" s="39"/>
      <c r="BQ59" s="39"/>
      <c r="BR59" s="39"/>
      <c r="BS59" s="39"/>
      <c r="BT59" s="39"/>
      <c r="BU59" s="39"/>
    </row>
    <row r="60" spans="1:73" ht="15">
      <c r="A60" s="21" t="s">
        <v>215</v>
      </c>
      <c r="B60" s="14">
        <f t="shared" si="1"/>
        <v>338.39300000000003</v>
      </c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>
        <v>179.6</v>
      </c>
      <c r="O60" s="39">
        <v>7</v>
      </c>
      <c r="P60" s="39"/>
      <c r="Q60" s="39">
        <v>49.4</v>
      </c>
      <c r="R60" s="39"/>
      <c r="S60" s="39"/>
      <c r="T60" s="39"/>
      <c r="U60" s="39"/>
      <c r="V60" s="39"/>
      <c r="W60" s="39"/>
      <c r="X60" s="39"/>
      <c r="Y60" s="39"/>
      <c r="Z60" s="39"/>
      <c r="AA60" s="39">
        <v>0.1</v>
      </c>
      <c r="AB60" s="39"/>
      <c r="AC60" s="39">
        <v>0.79300000000000004</v>
      </c>
      <c r="AD60" s="39"/>
      <c r="AE60" s="39">
        <v>70</v>
      </c>
      <c r="AF60" s="39"/>
      <c r="AG60" s="39">
        <v>30.3</v>
      </c>
      <c r="AH60" s="39"/>
      <c r="AI60" s="39"/>
      <c r="AJ60" s="39"/>
      <c r="AK60" s="39"/>
      <c r="AL60" s="39"/>
      <c r="AM60" s="39"/>
      <c r="AN60" s="39"/>
      <c r="AO60" s="39"/>
      <c r="AP60" s="39"/>
      <c r="AQ60" s="39"/>
      <c r="AR60" s="39"/>
      <c r="AS60" s="39"/>
      <c r="AT60" s="39"/>
      <c r="AU60" s="39"/>
      <c r="AV60" s="39"/>
      <c r="AW60" s="39"/>
      <c r="AX60" s="39"/>
      <c r="AY60" s="39"/>
      <c r="AZ60" s="39"/>
      <c r="BA60" s="39"/>
      <c r="BB60" s="39"/>
      <c r="BC60" s="39"/>
      <c r="BD60" s="39"/>
      <c r="BE60" s="39"/>
      <c r="BF60" s="39"/>
      <c r="BG60" s="39"/>
      <c r="BH60" s="39"/>
      <c r="BI60" s="39"/>
      <c r="BJ60" s="39"/>
      <c r="BK60" s="39"/>
      <c r="BL60" s="39"/>
      <c r="BM60" s="39"/>
      <c r="BN60" s="39"/>
      <c r="BO60" s="39"/>
      <c r="BP60" s="39"/>
      <c r="BQ60" s="39"/>
      <c r="BR60" s="39">
        <v>1.2</v>
      </c>
      <c r="BS60" s="39"/>
      <c r="BT60" s="39"/>
      <c r="BU60" s="39"/>
    </row>
    <row r="61" spans="1:73" ht="15">
      <c r="A61" s="21" t="s">
        <v>216</v>
      </c>
      <c r="B61" s="14">
        <f t="shared" si="1"/>
        <v>1439.8749999999998</v>
      </c>
      <c r="C61" s="39"/>
      <c r="D61" s="39"/>
      <c r="E61" s="39"/>
      <c r="F61" s="39"/>
      <c r="G61" s="39">
        <v>0.63700000000000001</v>
      </c>
      <c r="H61" s="39"/>
      <c r="I61" s="39">
        <v>0.56999999999999995</v>
      </c>
      <c r="J61" s="39"/>
      <c r="K61" s="39"/>
      <c r="L61" s="39"/>
      <c r="M61" s="39"/>
      <c r="N61" s="39"/>
      <c r="O61" s="39">
        <v>735.6</v>
      </c>
      <c r="P61" s="39"/>
      <c r="Q61" s="39">
        <v>0.81</v>
      </c>
      <c r="R61" s="39"/>
      <c r="S61" s="39"/>
      <c r="T61" s="39"/>
      <c r="U61" s="39">
        <v>0.112</v>
      </c>
      <c r="V61" s="39"/>
      <c r="W61" s="39"/>
      <c r="X61" s="39"/>
      <c r="Y61" s="39"/>
      <c r="Z61" s="39"/>
      <c r="AA61" s="39">
        <v>29.9</v>
      </c>
      <c r="AB61" s="39">
        <v>0.1</v>
      </c>
      <c r="AC61" s="39">
        <v>137.4</v>
      </c>
      <c r="AD61" s="39"/>
      <c r="AE61" s="39">
        <v>0.39</v>
      </c>
      <c r="AF61" s="39">
        <v>0.156</v>
      </c>
      <c r="AG61" s="39">
        <v>113.6</v>
      </c>
      <c r="AH61" s="39"/>
      <c r="AI61" s="39"/>
      <c r="AJ61" s="39"/>
      <c r="AK61" s="39"/>
      <c r="AL61" s="39"/>
      <c r="AM61" s="39"/>
      <c r="AN61" s="39"/>
      <c r="AO61" s="39"/>
      <c r="AP61" s="39"/>
      <c r="AQ61" s="39">
        <v>0.34</v>
      </c>
      <c r="AR61" s="39"/>
      <c r="AS61" s="39">
        <v>24.7</v>
      </c>
      <c r="AT61" s="39"/>
      <c r="AU61" s="39"/>
      <c r="AV61" s="39"/>
      <c r="AW61" s="39"/>
      <c r="AX61" s="39"/>
      <c r="AY61" s="39"/>
      <c r="AZ61" s="39"/>
      <c r="BA61" s="39"/>
      <c r="BB61" s="39"/>
      <c r="BC61" s="39"/>
      <c r="BD61" s="39"/>
      <c r="BE61" s="39"/>
      <c r="BF61" s="39"/>
      <c r="BG61" s="39"/>
      <c r="BH61" s="39"/>
      <c r="BI61" s="39"/>
      <c r="BJ61" s="39"/>
      <c r="BK61" s="39"/>
      <c r="BL61" s="39"/>
      <c r="BM61" s="39">
        <v>112.8</v>
      </c>
      <c r="BN61" s="39"/>
      <c r="BO61" s="39"/>
      <c r="BP61" s="39"/>
      <c r="BQ61" s="39"/>
      <c r="BR61" s="39">
        <v>238</v>
      </c>
      <c r="BS61" s="39">
        <v>0.26</v>
      </c>
      <c r="BT61" s="39">
        <v>44.5</v>
      </c>
      <c r="BU61" s="39"/>
    </row>
    <row r="62" spans="1:73" ht="15">
      <c r="A62" s="21" t="s">
        <v>217</v>
      </c>
      <c r="B62" s="14">
        <f t="shared" si="1"/>
        <v>33.4</v>
      </c>
      <c r="C62" s="39"/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39">
        <v>0</v>
      </c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  <c r="AA62" s="39"/>
      <c r="AB62" s="39"/>
      <c r="AC62" s="39"/>
      <c r="AD62" s="39"/>
      <c r="AE62" s="39"/>
      <c r="AF62" s="39"/>
      <c r="AG62" s="39"/>
      <c r="AH62" s="39"/>
      <c r="AI62" s="39"/>
      <c r="AJ62" s="39"/>
      <c r="AK62" s="39"/>
      <c r="AL62" s="39"/>
      <c r="AM62" s="39"/>
      <c r="AN62" s="39"/>
      <c r="AO62" s="39"/>
      <c r="AP62" s="39"/>
      <c r="AQ62" s="39"/>
      <c r="AR62" s="39"/>
      <c r="AS62" s="39"/>
      <c r="AT62" s="39"/>
      <c r="AU62" s="39"/>
      <c r="AV62" s="39"/>
      <c r="AW62" s="39"/>
      <c r="AX62" s="39"/>
      <c r="AY62" s="39"/>
      <c r="AZ62" s="39"/>
      <c r="BA62" s="39"/>
      <c r="BB62" s="39"/>
      <c r="BC62" s="39"/>
      <c r="BD62" s="39"/>
      <c r="BE62" s="39"/>
      <c r="BF62" s="39"/>
      <c r="BG62" s="39"/>
      <c r="BH62" s="39"/>
      <c r="BI62" s="39"/>
      <c r="BJ62" s="39">
        <v>33.4</v>
      </c>
      <c r="BK62" s="39"/>
      <c r="BL62" s="39"/>
      <c r="BM62" s="39"/>
      <c r="BN62" s="39"/>
      <c r="BO62" s="39"/>
      <c r="BP62" s="39"/>
      <c r="BQ62" s="39"/>
      <c r="BR62" s="39"/>
      <c r="BS62" s="39"/>
      <c r="BT62" s="39"/>
      <c r="BU62" s="39"/>
    </row>
    <row r="63" spans="1:73" ht="15">
      <c r="A63" s="21" t="s">
        <v>218</v>
      </c>
      <c r="B63" s="14">
        <f t="shared" si="1"/>
        <v>2.1999999999999999E-2</v>
      </c>
      <c r="C63" s="39"/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39">
        <v>2.1999999999999999E-2</v>
      </c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  <c r="AA63" s="39"/>
      <c r="AB63" s="39"/>
      <c r="AC63" s="39"/>
      <c r="AD63" s="39"/>
      <c r="AE63" s="39"/>
      <c r="AF63" s="39"/>
      <c r="AG63" s="39"/>
      <c r="AH63" s="39"/>
      <c r="AI63" s="39"/>
      <c r="AJ63" s="39"/>
      <c r="AK63" s="39"/>
      <c r="AL63" s="39"/>
      <c r="AM63" s="39"/>
      <c r="AN63" s="39"/>
      <c r="AO63" s="39"/>
      <c r="AP63" s="39"/>
      <c r="AQ63" s="39"/>
      <c r="AR63" s="39"/>
      <c r="AS63" s="39"/>
      <c r="AT63" s="39"/>
      <c r="AU63" s="39"/>
      <c r="AV63" s="39"/>
      <c r="AW63" s="39"/>
      <c r="AX63" s="39"/>
      <c r="AY63" s="39"/>
      <c r="AZ63" s="39"/>
      <c r="BA63" s="39"/>
      <c r="BB63" s="39"/>
      <c r="BC63" s="39"/>
      <c r="BD63" s="39"/>
      <c r="BE63" s="39"/>
      <c r="BF63" s="39"/>
      <c r="BG63" s="39"/>
      <c r="BH63" s="39"/>
      <c r="BI63" s="39"/>
      <c r="BJ63" s="39"/>
      <c r="BK63" s="39"/>
      <c r="BL63" s="39"/>
      <c r="BM63" s="39"/>
      <c r="BN63" s="39"/>
      <c r="BO63" s="39"/>
      <c r="BP63" s="39"/>
      <c r="BQ63" s="39"/>
      <c r="BR63" s="39"/>
      <c r="BS63" s="39"/>
      <c r="BT63" s="39"/>
      <c r="BU63" s="39"/>
    </row>
    <row r="64" spans="1:73" ht="15">
      <c r="A64" s="21" t="s">
        <v>219</v>
      </c>
      <c r="B64" s="14">
        <f t="shared" ref="B64:N64" si="2">B2-SUM(B3:B63)</f>
        <v>185.89570000000276</v>
      </c>
      <c r="C64" s="39">
        <f t="shared" si="2"/>
        <v>1.6640000000000015</v>
      </c>
      <c r="D64" s="39">
        <f t="shared" si="2"/>
        <v>0.66300000000000026</v>
      </c>
      <c r="E64" s="39">
        <f t="shared" si="2"/>
        <v>0.19999999999999929</v>
      </c>
      <c r="F64" s="39">
        <f t="shared" si="2"/>
        <v>0.5</v>
      </c>
      <c r="G64" s="39">
        <f t="shared" si="2"/>
        <v>0.76300000000000523</v>
      </c>
      <c r="H64" s="39">
        <f t="shared" si="2"/>
        <v>4.9000000000000057</v>
      </c>
      <c r="I64" s="39">
        <f t="shared" si="2"/>
        <v>2.5500000000000114</v>
      </c>
      <c r="J64" s="39">
        <f t="shared" si="2"/>
        <v>0.59999999999999432</v>
      </c>
      <c r="K64" s="39">
        <f t="shared" si="2"/>
        <v>1.155699999999996</v>
      </c>
      <c r="L64" s="39">
        <f t="shared" si="2"/>
        <v>0.59999999999999787</v>
      </c>
      <c r="M64" s="39">
        <f t="shared" si="2"/>
        <v>0</v>
      </c>
      <c r="N64" s="39">
        <f t="shared" si="2"/>
        <v>7.5999999999999943</v>
      </c>
      <c r="O64" s="39">
        <v>100.976</v>
      </c>
      <c r="P64" s="39">
        <f t="shared" ref="P64:AU64" si="3">P2-SUM(P3:P63)</f>
        <v>0.30000000000001137</v>
      </c>
      <c r="Q64" s="39">
        <f t="shared" si="3"/>
        <v>0.15999999999999659</v>
      </c>
      <c r="R64" s="39">
        <f t="shared" si="3"/>
        <v>7.0000000000000284E-2</v>
      </c>
      <c r="S64" s="39">
        <f t="shared" si="3"/>
        <v>0.29999999999999716</v>
      </c>
      <c r="T64" s="39">
        <f t="shared" si="3"/>
        <v>0.19999999999999574</v>
      </c>
      <c r="U64" s="39">
        <f t="shared" si="3"/>
        <v>8.8000000000000966E-2</v>
      </c>
      <c r="V64" s="39">
        <f t="shared" si="3"/>
        <v>9.9999999999994316E-2</v>
      </c>
      <c r="W64" s="39">
        <f t="shared" si="3"/>
        <v>0.10000000000000009</v>
      </c>
      <c r="X64" s="39">
        <f t="shared" si="3"/>
        <v>1.054000000000002</v>
      </c>
      <c r="Y64" s="39">
        <f t="shared" si="3"/>
        <v>1.7000000000000002</v>
      </c>
      <c r="Z64" s="39">
        <f t="shared" si="3"/>
        <v>0.49999999999999911</v>
      </c>
      <c r="AA64" s="39">
        <f t="shared" si="3"/>
        <v>0.76000000000000156</v>
      </c>
      <c r="AB64" s="39">
        <f t="shared" si="3"/>
        <v>0.20000000000000107</v>
      </c>
      <c r="AC64" s="39">
        <f t="shared" si="3"/>
        <v>12.520999999999987</v>
      </c>
      <c r="AD64" s="39">
        <f t="shared" si="3"/>
        <v>1.1099999999999994</v>
      </c>
      <c r="AE64" s="39">
        <f t="shared" si="3"/>
        <v>2.1400000000000006</v>
      </c>
      <c r="AF64" s="39">
        <f t="shared" si="3"/>
        <v>0.49899999999999878</v>
      </c>
      <c r="AG64" s="39">
        <f t="shared" si="3"/>
        <v>9.1999999999999886</v>
      </c>
      <c r="AH64" s="39">
        <f t="shared" si="3"/>
        <v>9.9999999999999645E-2</v>
      </c>
      <c r="AI64" s="39">
        <f t="shared" si="3"/>
        <v>0.40000000000000213</v>
      </c>
      <c r="AJ64" s="39">
        <f t="shared" si="3"/>
        <v>0.20000000000000018</v>
      </c>
      <c r="AK64" s="39">
        <f t="shared" si="3"/>
        <v>1.3000000000000012E-2</v>
      </c>
      <c r="AL64" s="39">
        <f t="shared" si="3"/>
        <v>0.10600000000000032</v>
      </c>
      <c r="AM64" s="39">
        <f t="shared" si="3"/>
        <v>2.7999999999999914E-2</v>
      </c>
      <c r="AN64" s="39">
        <f t="shared" si="3"/>
        <v>0.90000000000000568</v>
      </c>
      <c r="AO64" s="39">
        <f t="shared" si="3"/>
        <v>0.5</v>
      </c>
      <c r="AP64" s="39">
        <f t="shared" si="3"/>
        <v>0.29999999999999982</v>
      </c>
      <c r="AQ64" s="39">
        <f t="shared" si="3"/>
        <v>0.26000000000000156</v>
      </c>
      <c r="AR64" s="39">
        <f t="shared" si="3"/>
        <v>0.14499999999999957</v>
      </c>
      <c r="AS64" s="39">
        <f t="shared" si="3"/>
        <v>0.59799999999999898</v>
      </c>
      <c r="AT64" s="39">
        <f t="shared" si="3"/>
        <v>0</v>
      </c>
      <c r="AU64" s="39">
        <f t="shared" si="3"/>
        <v>0.40000000000000036</v>
      </c>
      <c r="AV64" s="39">
        <f t="shared" ref="AV64:CA64" si="4">AV2-SUM(AV3:AV63)</f>
        <v>0.39999999999999858</v>
      </c>
      <c r="AW64" s="39">
        <f t="shared" si="4"/>
        <v>0.24099999999998545</v>
      </c>
      <c r="AX64" s="39">
        <f t="shared" si="4"/>
        <v>0.32000000000000028</v>
      </c>
      <c r="AY64" s="39">
        <f t="shared" si="4"/>
        <v>3.9999999999999147E-2</v>
      </c>
      <c r="AZ64" s="39">
        <f t="shared" si="4"/>
        <v>1.100000000000001E-2</v>
      </c>
      <c r="BA64" s="39">
        <f t="shared" si="4"/>
        <v>1.4000000000000012E-2</v>
      </c>
      <c r="BB64" s="39">
        <f t="shared" si="4"/>
        <v>0.90000000000000036</v>
      </c>
      <c r="BC64" s="39">
        <f t="shared" si="4"/>
        <v>0.68499999999999872</v>
      </c>
      <c r="BD64" s="39">
        <f t="shared" si="4"/>
        <v>4.3000000000000003E-2</v>
      </c>
      <c r="BE64" s="39">
        <f t="shared" si="4"/>
        <v>0.10000000000000009</v>
      </c>
      <c r="BF64" s="39">
        <f t="shared" si="4"/>
        <v>9.9999999999999645E-2</v>
      </c>
      <c r="BG64" s="39">
        <f t="shared" si="4"/>
        <v>0.10000000000000009</v>
      </c>
      <c r="BH64" s="39">
        <f t="shared" si="4"/>
        <v>0.33500000000000085</v>
      </c>
      <c r="BI64" s="39">
        <f t="shared" si="4"/>
        <v>0.20000000000000018</v>
      </c>
      <c r="BJ64" s="39">
        <f t="shared" si="4"/>
        <v>3.4260000000000446</v>
      </c>
      <c r="BK64" s="39">
        <f t="shared" si="4"/>
        <v>0</v>
      </c>
      <c r="BL64" s="39">
        <f t="shared" si="4"/>
        <v>1.6620000000000008</v>
      </c>
      <c r="BM64" s="39">
        <f t="shared" si="4"/>
        <v>7.7000000000000028</v>
      </c>
      <c r="BN64" s="39">
        <f t="shared" si="4"/>
        <v>0.10000000000000009</v>
      </c>
      <c r="BO64" s="39">
        <f t="shared" si="4"/>
        <v>0.57999999999999829</v>
      </c>
      <c r="BP64" s="39">
        <f t="shared" si="4"/>
        <v>0.10000000000000053</v>
      </c>
      <c r="BQ64" s="39">
        <f t="shared" si="4"/>
        <v>1.4650000000000034</v>
      </c>
      <c r="BR64" s="39">
        <f t="shared" si="4"/>
        <v>7.9099999999999966</v>
      </c>
      <c r="BS64" s="39">
        <f t="shared" si="4"/>
        <v>0.33999999999999986</v>
      </c>
      <c r="BT64" s="39">
        <f t="shared" si="4"/>
        <v>1.8999999999999986</v>
      </c>
      <c r="BU64" s="39">
        <f t="shared" si="4"/>
        <v>0.10000000000000053</v>
      </c>
    </row>
  </sheetData>
  <pageMargins left="0.74791666666666701" right="0.74791666666666701" top="0.98402777777777795" bottom="0.9840277777777779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Сountries report</vt:lpstr>
      <vt:lpstr>Data Marketplace_customer</vt:lpstr>
      <vt:lpstr>info</vt:lpstr>
      <vt:lpstr>Model</vt:lpstr>
      <vt:lpstr>Countries markets attractivenes</vt:lpstr>
      <vt:lpstr>Sheet12</vt:lpstr>
      <vt:lpstr>Archive_ Marketplace_customer</vt:lpstr>
      <vt:lpstr>Marketplace attractiveness</vt:lpstr>
      <vt:lpstr>Marketplace_customer</vt:lpstr>
      <vt:lpstr>data_modeling</vt:lpstr>
      <vt:lpstr>db_data</vt:lpstr>
      <vt:lpstr>Pie diagram</vt:lpstr>
      <vt:lpstr>Сountries_list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dc:description/>
  <cp:lastModifiedBy>Dmytro Kainara</cp:lastModifiedBy>
  <cp:revision>2</cp:revision>
  <dcterms:created xsi:type="dcterms:W3CDTF">2021-12-29T08:42:29Z</dcterms:created>
  <dcterms:modified xsi:type="dcterms:W3CDTF">2024-10-02T16:15:40Z</dcterms:modified>
  <dc:language>ru-RU</dc:language>
</cp:coreProperties>
</file>