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_phana/Desktop/"/>
    </mc:Choice>
  </mc:AlternateContent>
  <xr:revisionPtr revIDLastSave="0" documentId="13_ncr:1_{051DD132-FC84-0447-B7BA-1A08B6D269FA}" xr6:coauthVersionLast="47" xr6:coauthVersionMax="47" xr10:uidLastSave="{00000000-0000-0000-0000-000000000000}"/>
  <bookViews>
    <workbookView xWindow="0" yWindow="760" windowWidth="29400" windowHeight="17540" xr2:uid="{26ACBEB1-5BEE-4F1A-8841-0E4993115D1B}"/>
  </bookViews>
  <sheets>
    <sheet name="Income_Statement" sheetId="1" r:id="rId1"/>
    <sheet name="Balance_Sheet" sheetId="2" r:id="rId2"/>
    <sheet name="Statement_Cash_Flows" sheetId="3" r:id="rId3"/>
    <sheet name="NWC" sheetId="5" r:id="rId4"/>
    <sheet name="Fixed_Asset_Schedule" sheetId="6" r:id="rId5"/>
    <sheet name="Equity" sheetId="7" r:id="rId6"/>
    <sheet name="#Shares" sheetId="9" r:id="rId7"/>
    <sheet name="Debt&amp;Interest" sheetId="8" r:id="rId8"/>
    <sheet name="DCF" sheetId="18" r:id="rId9"/>
    <sheet name="Tariff Simple Regression" sheetId="15" r:id="rId10"/>
    <sheet name="Tariff Multiple Regression" sheetId="16" r:id="rId11"/>
  </sheets>
  <externalReferences>
    <externalReference r:id="rId12"/>
  </externalReferences>
  <calcPr calcId="191029" iterate="1" iterateCount="10000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Q32" i="18"/>
  <c r="F29" i="18"/>
  <c r="G29" i="18"/>
  <c r="E29" i="18"/>
  <c r="F28" i="18"/>
  <c r="G28" i="18"/>
  <c r="H28" i="18"/>
  <c r="E28" i="18"/>
  <c r="F23" i="18"/>
  <c r="G23" i="18"/>
  <c r="E23" i="18"/>
  <c r="F22" i="18"/>
  <c r="G22" i="18"/>
  <c r="G24" i="18" s="1"/>
  <c r="E22" i="18"/>
  <c r="F16" i="18"/>
  <c r="G16" i="18"/>
  <c r="H16" i="18"/>
  <c r="I16" i="18"/>
  <c r="J16" i="18"/>
  <c r="K16" i="18"/>
  <c r="L16" i="18"/>
  <c r="E16" i="18"/>
  <c r="E18" i="18" s="1"/>
  <c r="F14" i="18"/>
  <c r="G14" i="18"/>
  <c r="E14" i="18"/>
  <c r="F13" i="18"/>
  <c r="G13" i="18"/>
  <c r="E13" i="18"/>
  <c r="F12" i="18"/>
  <c r="G12" i="18"/>
  <c r="E12" i="18"/>
  <c r="F11" i="18"/>
  <c r="G11" i="18"/>
  <c r="E11" i="18"/>
  <c r="F10" i="18"/>
  <c r="G10" i="18"/>
  <c r="E10" i="18"/>
  <c r="Q38" i="18"/>
  <c r="L34" i="18"/>
  <c r="K34" i="18"/>
  <c r="J34" i="18"/>
  <c r="I34" i="18"/>
  <c r="H34" i="18"/>
  <c r="Q33" i="18"/>
  <c r="F24" i="18"/>
  <c r="E24" i="18"/>
  <c r="Q21" i="18"/>
  <c r="Q19" i="18"/>
  <c r="G18" i="18"/>
  <c r="F18" i="18"/>
  <c r="Q14" i="18"/>
  <c r="G19" i="18"/>
  <c r="Q10" i="18"/>
  <c r="Q9" i="18"/>
  <c r="D3" i="18"/>
  <c r="G7" i="18" s="1"/>
  <c r="D2" i="18"/>
  <c r="D1" i="18"/>
  <c r="B6" i="18" s="1"/>
  <c r="C41" i="16"/>
  <c r="C40" i="16"/>
  <c r="C39" i="16"/>
  <c r="C38" i="16"/>
  <c r="C37" i="16"/>
  <c r="C36" i="16"/>
  <c r="C35" i="16"/>
  <c r="C34" i="16"/>
  <c r="C41" i="15"/>
  <c r="C40" i="15"/>
  <c r="C39" i="15"/>
  <c r="C38" i="15"/>
  <c r="C37" i="15"/>
  <c r="C36" i="15"/>
  <c r="C35" i="15"/>
  <c r="C34" i="15"/>
  <c r="E19" i="18" l="1"/>
  <c r="F7" i="18"/>
  <c r="E7" i="18" s="1"/>
  <c r="H7" i="18"/>
  <c r="I7" i="18" s="1"/>
  <c r="J7" i="18" s="1"/>
  <c r="K7" i="18" s="1"/>
  <c r="L7" i="18" s="1"/>
  <c r="N27" i="18" s="1"/>
  <c r="F25" i="18"/>
  <c r="F30" i="18" s="1"/>
  <c r="F32" i="18" s="1"/>
  <c r="G25" i="18"/>
  <c r="G30" i="18" s="1"/>
  <c r="G32" i="18" s="1"/>
  <c r="F19" i="18"/>
  <c r="G35" i="3" l="1"/>
  <c r="G34" i="3"/>
  <c r="G32" i="3"/>
  <c r="G30" i="3"/>
  <c r="G25" i="3"/>
  <c r="G21" i="3"/>
  <c r="G19" i="3"/>
  <c r="G17" i="3"/>
  <c r="G14" i="3"/>
  <c r="G12" i="3"/>
  <c r="G10" i="3"/>
  <c r="G9" i="3"/>
  <c r="I17" i="8"/>
  <c r="J17" i="8"/>
  <c r="K17" i="8"/>
  <c r="L17" i="8"/>
  <c r="H17" i="8"/>
  <c r="I11" i="8"/>
  <c r="J11" i="8"/>
  <c r="K11" i="8"/>
  <c r="L11" i="8"/>
  <c r="I10" i="8"/>
  <c r="J10" i="8"/>
  <c r="K10" i="8"/>
  <c r="L10" i="8"/>
  <c r="H12" i="8"/>
  <c r="H11" i="8"/>
  <c r="I19" i="1"/>
  <c r="J19" i="1"/>
  <c r="K19" i="1"/>
  <c r="L19" i="1"/>
  <c r="I27" i="2"/>
  <c r="J27" i="2" s="1"/>
  <c r="K27" i="2" s="1"/>
  <c r="L27" i="2" s="1"/>
  <c r="H27" i="2"/>
  <c r="I23" i="2"/>
  <c r="J23" i="2"/>
  <c r="K23" i="2"/>
  <c r="L23" i="2"/>
  <c r="H23" i="2"/>
  <c r="I16" i="2"/>
  <c r="J16" i="2"/>
  <c r="K16" i="2"/>
  <c r="L16" i="2"/>
  <c r="H16" i="2"/>
  <c r="I29" i="3"/>
  <c r="J29" i="3"/>
  <c r="K29" i="3"/>
  <c r="L29" i="3"/>
  <c r="H29" i="3"/>
  <c r="I28" i="3"/>
  <c r="J28" i="3"/>
  <c r="K28" i="3"/>
  <c r="L28" i="3"/>
  <c r="H28" i="3"/>
  <c r="I27" i="3"/>
  <c r="J27" i="3"/>
  <c r="K27" i="3"/>
  <c r="L27" i="3"/>
  <c r="H27" i="3"/>
  <c r="I26" i="3"/>
  <c r="J26" i="3"/>
  <c r="K26" i="3"/>
  <c r="L26" i="3"/>
  <c r="H26" i="3"/>
  <c r="I11" i="3"/>
  <c r="J11" i="3"/>
  <c r="K11" i="3"/>
  <c r="L11" i="3"/>
  <c r="I14" i="8"/>
  <c r="J14" i="8" s="1"/>
  <c r="K14" i="8" s="1"/>
  <c r="L14" i="8" s="1"/>
  <c r="I9" i="9"/>
  <c r="J9" i="9"/>
  <c r="K9" i="9"/>
  <c r="L9" i="9"/>
  <c r="H9" i="9"/>
  <c r="I13" i="7"/>
  <c r="J13" i="7"/>
  <c r="K13" i="7"/>
  <c r="L13" i="7"/>
  <c r="I12" i="7"/>
  <c r="J12" i="7"/>
  <c r="K12" i="7"/>
  <c r="L12" i="7"/>
  <c r="I26" i="7"/>
  <c r="J26" i="7" s="1"/>
  <c r="H26" i="7"/>
  <c r="I24" i="7"/>
  <c r="J24" i="7"/>
  <c r="K24" i="7" s="1"/>
  <c r="L24" i="7" s="1"/>
  <c r="H24" i="7"/>
  <c r="G32" i="7"/>
  <c r="F32" i="7"/>
  <c r="H29" i="7"/>
  <c r="I29" i="7" s="1"/>
  <c r="J21" i="7"/>
  <c r="K21" i="7"/>
  <c r="L21" i="7"/>
  <c r="I21" i="7"/>
  <c r="J18" i="7"/>
  <c r="K18" i="7"/>
  <c r="L18" i="7" s="1"/>
  <c r="I18" i="7"/>
  <c r="H15" i="9"/>
  <c r="G12" i="9"/>
  <c r="F16" i="9"/>
  <c r="G16" i="9"/>
  <c r="E16" i="9"/>
  <c r="I13" i="3" l="1"/>
  <c r="K13" i="3"/>
  <c r="J13" i="3"/>
  <c r="L13" i="3"/>
  <c r="K26" i="7"/>
  <c r="L26" i="7" s="1"/>
  <c r="J29" i="7"/>
  <c r="I32" i="7"/>
  <c r="H32" i="7"/>
  <c r="K29" i="7" l="1"/>
  <c r="J32" i="7"/>
  <c r="K32" i="7" l="1"/>
  <c r="L29" i="7"/>
  <c r="L32" i="7" l="1"/>
  <c r="E6" i="9" l="1"/>
  <c r="D3" i="9"/>
  <c r="D1" i="9"/>
  <c r="B5" i="9" s="1"/>
  <c r="D2" i="9"/>
  <c r="B6" i="9"/>
  <c r="F6" i="9"/>
  <c r="G6" i="9"/>
  <c r="H6" i="9"/>
  <c r="I6" i="9" s="1"/>
  <c r="J6" i="9" s="1"/>
  <c r="K6" i="9" s="1"/>
  <c r="L6" i="9" s="1"/>
  <c r="H8" i="9"/>
  <c r="I10" i="9"/>
  <c r="J10" i="9"/>
  <c r="K10" i="9"/>
  <c r="L10" i="9"/>
  <c r="E15" i="9"/>
  <c r="F15" i="9"/>
  <c r="G15" i="9"/>
  <c r="I15" i="9"/>
  <c r="J15" i="9" s="1"/>
  <c r="K15" i="9" s="1"/>
  <c r="L15" i="9" s="1"/>
  <c r="J10" i="7"/>
  <c r="K10" i="7"/>
  <c r="L10" i="7"/>
  <c r="I10" i="7"/>
  <c r="H22" i="8"/>
  <c r="H13" i="7"/>
  <c r="H12" i="7"/>
  <c r="F24" i="8"/>
  <c r="G24" i="8"/>
  <c r="E24" i="8"/>
  <c r="L27" i="8"/>
  <c r="L16" i="8" s="1"/>
  <c r="K27" i="8"/>
  <c r="K16" i="8" s="1"/>
  <c r="J27" i="8"/>
  <c r="J16" i="8" s="1"/>
  <c r="I27" i="8"/>
  <c r="I16" i="8" s="1"/>
  <c r="H27" i="8"/>
  <c r="H13" i="8"/>
  <c r="H10" i="8"/>
  <c r="H11" i="3"/>
  <c r="H16" i="8" l="1"/>
  <c r="H25" i="3"/>
  <c r="I25" i="3"/>
  <c r="J25" i="3"/>
  <c r="K25" i="3"/>
  <c r="L25" i="3"/>
  <c r="I11" i="7"/>
  <c r="J11" i="7"/>
  <c r="K11" i="7"/>
  <c r="L11" i="7"/>
  <c r="H11" i="7"/>
  <c r="H8" i="7"/>
  <c r="H13" i="3"/>
  <c r="I39" i="5"/>
  <c r="J39" i="5"/>
  <c r="K39" i="5"/>
  <c r="L39" i="5"/>
  <c r="H39" i="5"/>
  <c r="I38" i="5"/>
  <c r="J38" i="5"/>
  <c r="K38" i="5"/>
  <c r="L38" i="5"/>
  <c r="H38" i="5"/>
  <c r="H34" i="3"/>
  <c r="H10" i="3"/>
  <c r="H19" i="1"/>
  <c r="H15" i="1"/>
  <c r="H19" i="6"/>
  <c r="H17" i="6"/>
  <c r="J15" i="6"/>
  <c r="K15" i="6" s="1"/>
  <c r="L15" i="6" s="1"/>
  <c r="I15" i="6"/>
  <c r="F13" i="6"/>
  <c r="G13" i="6"/>
  <c r="E13" i="6"/>
  <c r="H13" i="6"/>
  <c r="I11" i="6"/>
  <c r="J11" i="6" l="1"/>
  <c r="F37" i="1"/>
  <c r="G37" i="1"/>
  <c r="E37" i="1"/>
  <c r="H8" i="1"/>
  <c r="H12" i="1" s="1"/>
  <c r="H8" i="6" l="1"/>
  <c r="H10" i="6" s="1"/>
  <c r="H8" i="5"/>
  <c r="H9" i="1"/>
  <c r="K11" i="6"/>
  <c r="H9" i="5" l="1"/>
  <c r="H10" i="1"/>
  <c r="H13" i="1" s="1"/>
  <c r="H16" i="1" s="1"/>
  <c r="H10" i="18" s="1"/>
  <c r="H18" i="18" s="1"/>
  <c r="H12" i="5"/>
  <c r="H14" i="5"/>
  <c r="H11" i="2" s="1"/>
  <c r="H29" i="18"/>
  <c r="H18" i="6"/>
  <c r="H20" i="6" s="1"/>
  <c r="H17" i="3"/>
  <c r="H19" i="3" s="1"/>
  <c r="H14" i="6"/>
  <c r="L11" i="6"/>
  <c r="H15" i="2" l="1"/>
  <c r="H17" i="2" s="1"/>
  <c r="I17" i="6"/>
  <c r="I13" i="6" s="1"/>
  <c r="H30" i="5"/>
  <c r="H9" i="2"/>
  <c r="H18" i="5"/>
  <c r="H22" i="2" s="1"/>
  <c r="H17" i="5"/>
  <c r="H13" i="5"/>
  <c r="H15" i="5" s="1"/>
  <c r="I37" i="1"/>
  <c r="J37" i="1" s="1"/>
  <c r="K37" i="1" s="1"/>
  <c r="L37" i="1" s="1"/>
  <c r="I35" i="1"/>
  <c r="J35" i="1" s="1"/>
  <c r="K35" i="1" s="1"/>
  <c r="L35" i="1" s="1"/>
  <c r="I34" i="1"/>
  <c r="J34" i="1" s="1"/>
  <c r="K34" i="1" s="1"/>
  <c r="L34" i="1" s="1"/>
  <c r="H32" i="5" l="1"/>
  <c r="H10" i="2"/>
  <c r="H35" i="5"/>
  <c r="H21" i="2"/>
  <c r="H24" i="2" s="1"/>
  <c r="H23" i="18" s="1"/>
  <c r="H19" i="5"/>
  <c r="H21" i="5" s="1"/>
  <c r="H23" i="5" s="1"/>
  <c r="H12" i="3" s="1"/>
  <c r="I28" i="18"/>
  <c r="I15" i="1"/>
  <c r="I10" i="3"/>
  <c r="I19" i="6"/>
  <c r="F29" i="8"/>
  <c r="G29" i="8"/>
  <c r="H26" i="8" s="1"/>
  <c r="E29" i="8"/>
  <c r="D2" i="8"/>
  <c r="D3" i="8"/>
  <c r="G7" i="8" s="1"/>
  <c r="D1" i="8"/>
  <c r="B6" i="8" s="1"/>
  <c r="F14" i="7"/>
  <c r="G14" i="7"/>
  <c r="E14" i="7"/>
  <c r="D2" i="7"/>
  <c r="D3" i="7"/>
  <c r="G6" i="7" s="1"/>
  <c r="D1" i="7"/>
  <c r="B5" i="7" s="1"/>
  <c r="E11" i="6"/>
  <c r="D2" i="6"/>
  <c r="D3" i="6"/>
  <c r="G6" i="6" s="1"/>
  <c r="D1" i="6"/>
  <c r="B5" i="6" s="1"/>
  <c r="F20" i="6"/>
  <c r="G20" i="6"/>
  <c r="E20" i="6"/>
  <c r="F17" i="6" s="1"/>
  <c r="E15" i="6"/>
  <c r="F8" i="6"/>
  <c r="G8" i="6"/>
  <c r="G11" i="6" s="1"/>
  <c r="E8" i="6"/>
  <c r="G17" i="6"/>
  <c r="F11" i="6"/>
  <c r="F9" i="5"/>
  <c r="G9" i="5"/>
  <c r="E9" i="5"/>
  <c r="E33" i="5" s="1"/>
  <c r="F18" i="5"/>
  <c r="F19" i="5" s="1"/>
  <c r="G18" i="5"/>
  <c r="E18" i="5"/>
  <c r="F17" i="5"/>
  <c r="G17" i="5"/>
  <c r="G19" i="5" s="1"/>
  <c r="E17" i="5"/>
  <c r="F14" i="5"/>
  <c r="G14" i="5"/>
  <c r="E14" i="5"/>
  <c r="F13" i="5"/>
  <c r="F15" i="5" s="1"/>
  <c r="G13" i="5"/>
  <c r="E13" i="5"/>
  <c r="F12" i="5"/>
  <c r="G12" i="5"/>
  <c r="E12" i="5"/>
  <c r="F8" i="5"/>
  <c r="F31" i="5" s="1"/>
  <c r="G8" i="5"/>
  <c r="G31" i="5" s="1"/>
  <c r="E8" i="5"/>
  <c r="D3" i="5"/>
  <c r="B6" i="5" s="1"/>
  <c r="D2" i="5"/>
  <c r="D1" i="5"/>
  <c r="B5" i="5" s="1"/>
  <c r="G37" i="5"/>
  <c r="G6" i="3"/>
  <c r="F10" i="1"/>
  <c r="G10" i="1"/>
  <c r="E10" i="1"/>
  <c r="F6" i="2"/>
  <c r="H29" i="8" l="1"/>
  <c r="H26" i="2" s="1"/>
  <c r="H28" i="2" s="1"/>
  <c r="H29" i="2" s="1"/>
  <c r="I26" i="8"/>
  <c r="H7" i="8"/>
  <c r="I7" i="8" s="1"/>
  <c r="J7" i="8" s="1"/>
  <c r="K7" i="8" s="1"/>
  <c r="L7" i="8" s="1"/>
  <c r="F7" i="8"/>
  <c r="E7" i="8" s="1"/>
  <c r="B7" i="8"/>
  <c r="F6" i="7"/>
  <c r="E6" i="7" s="1"/>
  <c r="H6" i="7"/>
  <c r="I6" i="7" s="1"/>
  <c r="J6" i="7" s="1"/>
  <c r="K6" i="7" s="1"/>
  <c r="L6" i="7" s="1"/>
  <c r="B6" i="7"/>
  <c r="B6" i="6"/>
  <c r="G15" i="6"/>
  <c r="F15" i="6"/>
  <c r="H6" i="6"/>
  <c r="I6" i="6" s="1"/>
  <c r="J6" i="6" s="1"/>
  <c r="K6" i="6" s="1"/>
  <c r="L6" i="6" s="1"/>
  <c r="F6" i="6"/>
  <c r="E6" i="6" s="1"/>
  <c r="E14" i="6"/>
  <c r="F14" i="6"/>
  <c r="G14" i="6"/>
  <c r="E37" i="5"/>
  <c r="E35" i="5"/>
  <c r="F37" i="5"/>
  <c r="E36" i="5"/>
  <c r="E19" i="5"/>
  <c r="G15" i="5"/>
  <c r="G21" i="5" s="1"/>
  <c r="G33" i="5"/>
  <c r="F33" i="5"/>
  <c r="G32" i="5"/>
  <c r="E30" i="5"/>
  <c r="F34" i="5"/>
  <c r="G34" i="5"/>
  <c r="E34" i="5"/>
  <c r="E31" i="5"/>
  <c r="G6" i="5"/>
  <c r="G27" i="5"/>
  <c r="F6" i="5"/>
  <c r="H6" i="5"/>
  <c r="F21" i="5"/>
  <c r="E15" i="5"/>
  <c r="F30" i="5"/>
  <c r="F35" i="5"/>
  <c r="F36" i="5"/>
  <c r="G30" i="5"/>
  <c r="E32" i="5"/>
  <c r="G35" i="5"/>
  <c r="G36" i="5"/>
  <c r="F32" i="5"/>
  <c r="H6" i="3"/>
  <c r="I6" i="3" s="1"/>
  <c r="J6" i="3" s="1"/>
  <c r="K6" i="3" s="1"/>
  <c r="L6" i="3" s="1"/>
  <c r="I29" i="8" l="1"/>
  <c r="I26" i="2" s="1"/>
  <c r="I28" i="2" s="1"/>
  <c r="J26" i="8"/>
  <c r="F38" i="5"/>
  <c r="F39" i="5" s="1"/>
  <c r="E38" i="5"/>
  <c r="E21" i="5"/>
  <c r="F23" i="5" s="1"/>
  <c r="G23" i="5"/>
  <c r="G38" i="5"/>
  <c r="H27" i="5"/>
  <c r="I6" i="5"/>
  <c r="F27" i="5"/>
  <c r="E6" i="5"/>
  <c r="E27" i="5" s="1"/>
  <c r="K26" i="8" l="1"/>
  <c r="J29" i="8"/>
  <c r="J26" i="2" s="1"/>
  <c r="J28" i="2" s="1"/>
  <c r="G39" i="5"/>
  <c r="J6" i="5"/>
  <c r="I27" i="5"/>
  <c r="L26" i="8" l="1"/>
  <c r="L29" i="8" s="1"/>
  <c r="L26" i="2" s="1"/>
  <c r="L28" i="2" s="1"/>
  <c r="K29" i="8"/>
  <c r="K26" i="2" s="1"/>
  <c r="K28" i="2" s="1"/>
  <c r="K6" i="5"/>
  <c r="J27" i="5"/>
  <c r="L6" i="5" l="1"/>
  <c r="L27" i="5" s="1"/>
  <c r="K27" i="5"/>
  <c r="D3" i="3" l="1"/>
  <c r="B6" i="3" s="1"/>
  <c r="D2" i="3"/>
  <c r="D1" i="3"/>
  <c r="B5" i="3"/>
  <c r="F34" i="2"/>
  <c r="G34" i="2"/>
  <c r="E34" i="2"/>
  <c r="F32" i="2"/>
  <c r="G32" i="2"/>
  <c r="E32" i="2"/>
  <c r="F29" i="2"/>
  <c r="G29" i="2"/>
  <c r="E29" i="2"/>
  <c r="F28" i="2"/>
  <c r="G28" i="2"/>
  <c r="E28" i="2"/>
  <c r="G24" i="2"/>
  <c r="F24" i="2"/>
  <c r="E24" i="2"/>
  <c r="F12" i="2"/>
  <c r="F18" i="2" s="1"/>
  <c r="G12" i="2"/>
  <c r="G18" i="2" s="1"/>
  <c r="E12" i="2"/>
  <c r="E18" i="2" s="1"/>
  <c r="G6" i="2"/>
  <c r="H6" i="2" s="1"/>
  <c r="I6" i="2" s="1"/>
  <c r="J6" i="2" s="1"/>
  <c r="K6" i="2" s="1"/>
  <c r="L6" i="2" s="1"/>
  <c r="B5" i="2"/>
  <c r="B6" i="2"/>
  <c r="D3" i="2"/>
  <c r="D2" i="2"/>
  <c r="D1" i="2"/>
  <c r="I36" i="1"/>
  <c r="J36" i="1" s="1"/>
  <c r="K36" i="1" s="1"/>
  <c r="L36" i="1" s="1"/>
  <c r="G36" i="1"/>
  <c r="F36" i="1"/>
  <c r="E36" i="1"/>
  <c r="G35" i="1"/>
  <c r="F35" i="1"/>
  <c r="E35" i="1"/>
  <c r="I8" i="1"/>
  <c r="G33" i="1"/>
  <c r="F33" i="1"/>
  <c r="E19" i="1"/>
  <c r="F13" i="1"/>
  <c r="F16" i="1" s="1"/>
  <c r="F20" i="1" s="1"/>
  <c r="G13" i="1"/>
  <c r="G16" i="1" s="1"/>
  <c r="G20" i="1" s="1"/>
  <c r="E13" i="1"/>
  <c r="E16" i="1" s="1"/>
  <c r="E20" i="1" s="1"/>
  <c r="G6" i="1"/>
  <c r="B6" i="1"/>
  <c r="B5" i="1"/>
  <c r="J33" i="1" l="1"/>
  <c r="K33" i="1" s="1"/>
  <c r="L33" i="1" s="1"/>
  <c r="E6" i="2"/>
  <c r="E23" i="1"/>
  <c r="E30" i="7" s="1"/>
  <c r="E31" i="7" s="1"/>
  <c r="G23" i="1"/>
  <c r="G30" i="7" s="1"/>
  <c r="G31" i="7" s="1"/>
  <c r="F23" i="1"/>
  <c r="F30" i="7" s="1"/>
  <c r="F31" i="7" s="1"/>
  <c r="F6" i="1"/>
  <c r="F34" i="1"/>
  <c r="G32" i="1"/>
  <c r="E34" i="1"/>
  <c r="G34" i="1"/>
  <c r="H6" i="1"/>
  <c r="J8" i="1" l="1"/>
  <c r="I8" i="6"/>
  <c r="I10" i="6" s="1"/>
  <c r="I29" i="18" s="1"/>
  <c r="I8" i="5"/>
  <c r="I12" i="1"/>
  <c r="I9" i="1"/>
  <c r="I9" i="5" s="1"/>
  <c r="F26" i="1"/>
  <c r="F28" i="1" s="1"/>
  <c r="G26" i="1"/>
  <c r="G28" i="1" s="1"/>
  <c r="E26" i="1"/>
  <c r="E28" i="1" s="1"/>
  <c r="F32" i="1"/>
  <c r="E6" i="1"/>
  <c r="E32" i="1" s="1"/>
  <c r="I6" i="1"/>
  <c r="H32" i="1"/>
  <c r="I18" i="5" l="1"/>
  <c r="I22" i="2" s="1"/>
  <c r="I17" i="5"/>
  <c r="I13" i="5"/>
  <c r="I10" i="1"/>
  <c r="I13" i="1" s="1"/>
  <c r="I16" i="1" s="1"/>
  <c r="I10" i="18" s="1"/>
  <c r="I18" i="18" s="1"/>
  <c r="I14" i="5"/>
  <c r="I11" i="2" s="1"/>
  <c r="I12" i="5"/>
  <c r="I18" i="6"/>
  <c r="I20" i="6" s="1"/>
  <c r="I14" i="6"/>
  <c r="I17" i="3"/>
  <c r="I19" i="3" s="1"/>
  <c r="K8" i="1"/>
  <c r="J8" i="6"/>
  <c r="J10" i="6" s="1"/>
  <c r="J29" i="18" s="1"/>
  <c r="J8" i="5"/>
  <c r="J9" i="1"/>
  <c r="J9" i="5" s="1"/>
  <c r="J12" i="1"/>
  <c r="J6" i="1"/>
  <c r="I32" i="1"/>
  <c r="J10" i="1" l="1"/>
  <c r="J13" i="1" s="1"/>
  <c r="I30" i="5"/>
  <c r="I9" i="2"/>
  <c r="I15" i="5"/>
  <c r="J18" i="5"/>
  <c r="J22" i="2" s="1"/>
  <c r="J13" i="5"/>
  <c r="J17" i="5"/>
  <c r="J18" i="6"/>
  <c r="J17" i="3"/>
  <c r="J19" i="3" s="1"/>
  <c r="L8" i="1"/>
  <c r="K8" i="5"/>
  <c r="K8" i="6"/>
  <c r="K10" i="6" s="1"/>
  <c r="K29" i="18" s="1"/>
  <c r="K9" i="1"/>
  <c r="K9" i="5" s="1"/>
  <c r="K12" i="1"/>
  <c r="I21" i="2"/>
  <c r="I24" i="2" s="1"/>
  <c r="I35" i="5"/>
  <c r="I19" i="5"/>
  <c r="I15" i="2"/>
  <c r="I17" i="2" s="1"/>
  <c r="J17" i="6"/>
  <c r="J13" i="6" s="1"/>
  <c r="J28" i="18" s="1"/>
  <c r="J14" i="5"/>
  <c r="J11" i="2" s="1"/>
  <c r="J12" i="5"/>
  <c r="I32" i="5"/>
  <c r="I10" i="2"/>
  <c r="K6" i="1"/>
  <c r="J32" i="1"/>
  <c r="I21" i="5" l="1"/>
  <c r="I23" i="5" s="1"/>
  <c r="I12" i="3" s="1"/>
  <c r="I29" i="2"/>
  <c r="I23" i="18"/>
  <c r="K10" i="1"/>
  <c r="K13" i="1" s="1"/>
  <c r="J35" i="5"/>
  <c r="J21" i="2"/>
  <c r="J24" i="2" s="1"/>
  <c r="J19" i="5"/>
  <c r="J9" i="2"/>
  <c r="J15" i="5"/>
  <c r="J30" i="5"/>
  <c r="J32" i="5"/>
  <c r="J10" i="2"/>
  <c r="K13" i="5"/>
  <c r="K18" i="5"/>
  <c r="K22" i="2" s="1"/>
  <c r="K17" i="5"/>
  <c r="J10" i="3"/>
  <c r="J15" i="1"/>
  <c r="J16" i="1" s="1"/>
  <c r="J10" i="18" s="1"/>
  <c r="J18" i="18" s="1"/>
  <c r="J14" i="6"/>
  <c r="J19" i="6"/>
  <c r="J20" i="6" s="1"/>
  <c r="K18" i="6"/>
  <c r="K17" i="3"/>
  <c r="K19" i="3" s="1"/>
  <c r="K14" i="5"/>
  <c r="K11" i="2" s="1"/>
  <c r="K12" i="5"/>
  <c r="L8" i="5"/>
  <c r="L8" i="6"/>
  <c r="L10" i="6" s="1"/>
  <c r="L29" i="18" s="1"/>
  <c r="L9" i="1"/>
  <c r="L9" i="5" s="1"/>
  <c r="L12" i="1"/>
  <c r="L6" i="1"/>
  <c r="K32" i="1"/>
  <c r="J29" i="2" l="1"/>
  <c r="J23" i="18"/>
  <c r="J21" i="5"/>
  <c r="J23" i="5" s="1"/>
  <c r="J12" i="3" s="1"/>
  <c r="L10" i="1"/>
  <c r="L13" i="1" s="1"/>
  <c r="N13" i="1" s="1"/>
  <c r="L18" i="6"/>
  <c r="L17" i="3"/>
  <c r="L19" i="3" s="1"/>
  <c r="L14" i="5"/>
  <c r="L11" i="2" s="1"/>
  <c r="L12" i="5"/>
  <c r="K9" i="2"/>
  <c r="K15" i="5"/>
  <c r="K30" i="5"/>
  <c r="K35" i="5"/>
  <c r="K21" i="2"/>
  <c r="K24" i="2" s="1"/>
  <c r="K19" i="5"/>
  <c r="K10" i="2"/>
  <c r="K32" i="5"/>
  <c r="K17" i="6"/>
  <c r="K13" i="6" s="1"/>
  <c r="K28" i="18" s="1"/>
  <c r="J15" i="2"/>
  <c r="J17" i="2" s="1"/>
  <c r="L13" i="5"/>
  <c r="L18" i="5"/>
  <c r="L22" i="2" s="1"/>
  <c r="L17" i="5"/>
  <c r="N8" i="1"/>
  <c r="L32" i="1"/>
  <c r="N5" i="1"/>
  <c r="K29" i="2" l="1"/>
  <c r="K23" i="18"/>
  <c r="K21" i="5"/>
  <c r="K23" i="5" s="1"/>
  <c r="K12" i="3" s="1"/>
  <c r="N10" i="1"/>
  <c r="L10" i="2"/>
  <c r="L32" i="5"/>
  <c r="K19" i="6"/>
  <c r="K20" i="6" s="1"/>
  <c r="K10" i="3"/>
  <c r="K14" i="6"/>
  <c r="K15" i="1"/>
  <c r="K16" i="1" s="1"/>
  <c r="K10" i="18" s="1"/>
  <c r="K18" i="18" s="1"/>
  <c r="L9" i="2"/>
  <c r="L15" i="5"/>
  <c r="L30" i="5"/>
  <c r="L35" i="5"/>
  <c r="L21" i="2"/>
  <c r="L24" i="2" s="1"/>
  <c r="L19" i="5"/>
  <c r="H11" i="9"/>
  <c r="H12" i="9" s="1"/>
  <c r="I11" i="9"/>
  <c r="J11" i="9"/>
  <c r="K11" i="9"/>
  <c r="L11" i="9"/>
  <c r="L29" i="2" l="1"/>
  <c r="L23" i="18"/>
  <c r="I8" i="9"/>
  <c r="I12" i="9" s="1"/>
  <c r="I14" i="9" s="1"/>
  <c r="I16" i="9" s="1"/>
  <c r="I25" i="1" s="1"/>
  <c r="H14" i="9"/>
  <c r="H16" i="9" s="1"/>
  <c r="H25" i="1" s="1"/>
  <c r="L21" i="5"/>
  <c r="L23" i="5" s="1"/>
  <c r="L12" i="3" s="1"/>
  <c r="L17" i="6"/>
  <c r="L13" i="6" s="1"/>
  <c r="L28" i="18" s="1"/>
  <c r="K15" i="2"/>
  <c r="K17" i="2" s="1"/>
  <c r="J8" i="9"/>
  <c r="J12" i="9" s="1"/>
  <c r="L19" i="6" l="1"/>
  <c r="L20" i="6" s="1"/>
  <c r="L15" i="2" s="1"/>
  <c r="L17" i="2" s="1"/>
  <c r="L14" i="6"/>
  <c r="L10" i="3"/>
  <c r="L15" i="1"/>
  <c r="L16" i="1" s="1"/>
  <c r="J14" i="9"/>
  <c r="J16" i="9" s="1"/>
  <c r="J25" i="1" s="1"/>
  <c r="K8" i="9"/>
  <c r="K12" i="9" s="1"/>
  <c r="N16" i="1" l="1"/>
  <c r="L10" i="18"/>
  <c r="L18" i="18" s="1"/>
  <c r="K14" i="9"/>
  <c r="K16" i="9" s="1"/>
  <c r="K25" i="1" s="1"/>
  <c r="L8" i="9"/>
  <c r="L12" i="9" s="1"/>
  <c r="L14" i="9" s="1"/>
  <c r="L16" i="9" s="1"/>
  <c r="L25" i="1" s="1"/>
  <c r="N25" i="1" l="1"/>
  <c r="H8" i="2" l="1"/>
  <c r="I8" i="2"/>
  <c r="J8" i="2"/>
  <c r="K8" i="2"/>
  <c r="L8" i="2"/>
  <c r="H12" i="2"/>
  <c r="I12" i="2"/>
  <c r="J12" i="2"/>
  <c r="K12" i="2"/>
  <c r="L12" i="2"/>
  <c r="H18" i="2"/>
  <c r="I18" i="2"/>
  <c r="J18" i="2"/>
  <c r="K18" i="2"/>
  <c r="L18" i="2"/>
  <c r="H31" i="2"/>
  <c r="I31" i="2"/>
  <c r="J31" i="2"/>
  <c r="K31" i="2"/>
  <c r="L31" i="2"/>
  <c r="H32" i="2"/>
  <c r="I32" i="2"/>
  <c r="J32" i="2"/>
  <c r="K32" i="2"/>
  <c r="L32" i="2"/>
  <c r="H34" i="2"/>
  <c r="I34" i="2"/>
  <c r="J34" i="2"/>
  <c r="K34" i="2"/>
  <c r="L34" i="2"/>
  <c r="H11" i="18"/>
  <c r="I11" i="18"/>
  <c r="J11" i="18"/>
  <c r="K11" i="18"/>
  <c r="L11" i="18"/>
  <c r="H12" i="18"/>
  <c r="I12" i="18"/>
  <c r="J12" i="18"/>
  <c r="K12" i="18"/>
  <c r="L12" i="18"/>
  <c r="H13" i="18"/>
  <c r="I13" i="18"/>
  <c r="J13" i="18"/>
  <c r="K13" i="18"/>
  <c r="L13" i="18"/>
  <c r="H14" i="18"/>
  <c r="I14" i="18"/>
  <c r="J14" i="18"/>
  <c r="K14" i="18"/>
  <c r="L14" i="18"/>
  <c r="H19" i="18"/>
  <c r="I19" i="18"/>
  <c r="J19" i="18"/>
  <c r="K19" i="18"/>
  <c r="L19" i="18"/>
  <c r="H22" i="18"/>
  <c r="I22" i="18"/>
  <c r="J22" i="18"/>
  <c r="K22" i="18"/>
  <c r="L22" i="18"/>
  <c r="H24" i="18"/>
  <c r="I24" i="18"/>
  <c r="J24" i="18"/>
  <c r="K24" i="18"/>
  <c r="L24" i="18"/>
  <c r="H25" i="18"/>
  <c r="I25" i="18"/>
  <c r="J25" i="18"/>
  <c r="K25" i="18"/>
  <c r="L25" i="18"/>
  <c r="Q27" i="18"/>
  <c r="Q28" i="18"/>
  <c r="H30" i="18"/>
  <c r="I30" i="18"/>
  <c r="J30" i="18"/>
  <c r="K30" i="18"/>
  <c r="L30" i="18"/>
  <c r="H32" i="18"/>
  <c r="I32" i="18"/>
  <c r="J32" i="18"/>
  <c r="K32" i="18"/>
  <c r="L32" i="18"/>
  <c r="H35" i="18"/>
  <c r="I35" i="18"/>
  <c r="J35" i="18"/>
  <c r="K35" i="18"/>
  <c r="L35" i="18"/>
  <c r="H9" i="8"/>
  <c r="I9" i="8"/>
  <c r="J9" i="8"/>
  <c r="K9" i="8"/>
  <c r="L9" i="8"/>
  <c r="I13" i="8"/>
  <c r="J13" i="8"/>
  <c r="K13" i="8"/>
  <c r="L13" i="8"/>
  <c r="H15" i="8"/>
  <c r="I15" i="8"/>
  <c r="J15" i="8"/>
  <c r="K15" i="8"/>
  <c r="L15" i="8"/>
  <c r="H18" i="8"/>
  <c r="I18" i="8"/>
  <c r="J18" i="8"/>
  <c r="K18" i="8"/>
  <c r="L18" i="8"/>
  <c r="I22" i="8"/>
  <c r="J22" i="8"/>
  <c r="K22" i="8"/>
  <c r="L22" i="8"/>
  <c r="H23" i="8"/>
  <c r="I23" i="8"/>
  <c r="J23" i="8"/>
  <c r="K23" i="8"/>
  <c r="L23" i="8"/>
  <c r="H24" i="8"/>
  <c r="I24" i="8"/>
  <c r="J24" i="8"/>
  <c r="K24" i="8"/>
  <c r="L24" i="8"/>
  <c r="I8" i="7"/>
  <c r="J8" i="7"/>
  <c r="K8" i="7"/>
  <c r="L8" i="7"/>
  <c r="H9" i="7"/>
  <c r="I9" i="7"/>
  <c r="J9" i="7"/>
  <c r="K9" i="7"/>
  <c r="L9" i="7"/>
  <c r="H14" i="7"/>
  <c r="I14" i="7"/>
  <c r="J14" i="7"/>
  <c r="K14" i="7"/>
  <c r="L14" i="7"/>
  <c r="H17" i="7"/>
  <c r="I17" i="7"/>
  <c r="J17" i="7"/>
  <c r="K17" i="7"/>
  <c r="L17" i="7"/>
  <c r="H19" i="7"/>
  <c r="I19" i="7"/>
  <c r="J19" i="7"/>
  <c r="K19" i="7"/>
  <c r="L19" i="7"/>
  <c r="H20" i="7"/>
  <c r="I20" i="7"/>
  <c r="J20" i="7"/>
  <c r="K20" i="7"/>
  <c r="L20" i="7"/>
  <c r="H30" i="7"/>
  <c r="I30" i="7"/>
  <c r="J30" i="7"/>
  <c r="K30" i="7"/>
  <c r="L30" i="7"/>
  <c r="H31" i="7"/>
  <c r="I31" i="7"/>
  <c r="J31" i="7"/>
  <c r="K31" i="7"/>
  <c r="L31" i="7"/>
  <c r="H18" i="1"/>
  <c r="I18" i="1"/>
  <c r="J18" i="1"/>
  <c r="K18" i="1"/>
  <c r="L18" i="1"/>
  <c r="H20" i="1"/>
  <c r="I20" i="1"/>
  <c r="J20" i="1"/>
  <c r="K20" i="1"/>
  <c r="L20" i="1"/>
  <c r="N20" i="1"/>
  <c r="H22" i="1"/>
  <c r="I22" i="1"/>
  <c r="J22" i="1"/>
  <c r="K22" i="1"/>
  <c r="L22" i="1"/>
  <c r="H23" i="1"/>
  <c r="I23" i="1"/>
  <c r="J23" i="1"/>
  <c r="K23" i="1"/>
  <c r="L23" i="1"/>
  <c r="N23" i="1"/>
  <c r="H26" i="1"/>
  <c r="I26" i="1"/>
  <c r="J26" i="1"/>
  <c r="K26" i="1"/>
  <c r="L26" i="1"/>
  <c r="N26" i="1"/>
  <c r="H9" i="3"/>
  <c r="I9" i="3"/>
  <c r="J9" i="3"/>
  <c r="K9" i="3"/>
  <c r="L9" i="3"/>
  <c r="H14" i="3"/>
  <c r="I14" i="3"/>
  <c r="J14" i="3"/>
  <c r="K14" i="3"/>
  <c r="L14" i="3"/>
  <c r="H21" i="3"/>
  <c r="I21" i="3"/>
  <c r="J21" i="3"/>
  <c r="K21" i="3"/>
  <c r="L21" i="3"/>
  <c r="H24" i="3"/>
  <c r="I24" i="3"/>
  <c r="J24" i="3"/>
  <c r="K24" i="3"/>
  <c r="L24" i="3"/>
  <c r="H30" i="3"/>
  <c r="I30" i="3"/>
  <c r="J30" i="3"/>
  <c r="K30" i="3"/>
  <c r="L30" i="3"/>
  <c r="H32" i="3"/>
  <c r="I32" i="3"/>
  <c r="J32" i="3"/>
  <c r="K32" i="3"/>
  <c r="L32" i="3"/>
  <c r="I34" i="3"/>
  <c r="J34" i="3"/>
  <c r="K34" i="3"/>
  <c r="L34" i="3"/>
  <c r="H35" i="3"/>
  <c r="I35" i="3"/>
  <c r="J35" i="3"/>
  <c r="K35" i="3"/>
  <c r="L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Minh Le</author>
  </authors>
  <commentList>
    <comment ref="E27" authorId="0" shapeId="0" xr:uid="{5D528F87-2D1B-496C-AD0C-8B24AC164D24}">
      <text>
        <r>
          <rPr>
            <b/>
            <sz val="9"/>
            <color rgb="FF000000"/>
            <rFont val="Tahoma"/>
            <family val="2"/>
          </rPr>
          <t>Kevin Le: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Using open price of the day</t>
        </r>
      </text>
    </comment>
    <comment ref="F27" authorId="0" shapeId="0" xr:uid="{3E15606E-B2BB-4AC1-B1C9-DE148AB1BCFE}">
      <text>
        <r>
          <rPr>
            <b/>
            <sz val="9"/>
            <color rgb="FF000000"/>
            <rFont val="Tahoma"/>
            <family val="2"/>
          </rPr>
          <t xml:space="preserve">Kevin Le:
</t>
        </r>
        <r>
          <rPr>
            <sz val="9"/>
            <color rgb="FF000000"/>
            <rFont val="Tahoma"/>
            <family val="2"/>
          </rPr>
          <t>Using open price of the day</t>
        </r>
      </text>
    </comment>
    <comment ref="G27" authorId="0" shapeId="0" xr:uid="{EC9CF1DA-E373-4350-9AEF-232A37BF76A1}">
      <text>
        <r>
          <rPr>
            <b/>
            <sz val="9"/>
            <color rgb="FF000000"/>
            <rFont val="Tahoma"/>
            <family val="2"/>
          </rPr>
          <t xml:space="preserve">Kevin Le:
</t>
        </r>
        <r>
          <rPr>
            <sz val="9"/>
            <color rgb="FF000000"/>
            <rFont val="Tahoma"/>
            <family val="2"/>
          </rPr>
          <t>Using open price of the day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Minh Le</author>
  </authors>
  <commentList>
    <comment ref="B11" authorId="0" shapeId="0" xr:uid="{9BAF0F42-15E4-4779-BE50-277D858F215F}">
      <text>
        <r>
          <rPr>
            <b/>
            <sz val="9"/>
            <color indexed="81"/>
            <rFont val="Tahoma"/>
            <family val="2"/>
          </rPr>
          <t>Kevin Le:</t>
        </r>
        <r>
          <rPr>
            <sz val="9"/>
            <color indexed="81"/>
            <rFont val="Tahoma"/>
            <family val="2"/>
          </rPr>
          <t xml:space="preserve">
Other Current Asset + Prepaid Asset</t>
        </r>
      </text>
    </comment>
    <comment ref="E16" authorId="0" shapeId="0" xr:uid="{252B7373-7F3D-4D62-9DB6-A377778FC9DA}">
      <text>
        <r>
          <rPr>
            <b/>
            <sz val="9"/>
            <color indexed="81"/>
            <rFont val="Tahoma"/>
            <family val="2"/>
          </rPr>
          <t>Kevin Le:</t>
        </r>
        <r>
          <rPr>
            <sz val="9"/>
            <color indexed="81"/>
            <rFont val="Tahoma"/>
            <family val="2"/>
          </rPr>
          <t xml:space="preserve">
Goodwill + Defined Pension Benefits + Other Non-Current Assets</t>
        </r>
      </text>
    </comment>
    <comment ref="F16" authorId="0" shapeId="0" xr:uid="{87AA9A8E-7722-4BC7-8BE3-29C9CB61D076}">
      <text>
        <r>
          <rPr>
            <b/>
            <sz val="9"/>
            <color indexed="81"/>
            <rFont val="Tahoma"/>
            <family val="2"/>
          </rPr>
          <t xml:space="preserve">Kevin Le:
</t>
        </r>
        <r>
          <rPr>
            <sz val="9"/>
            <color indexed="81"/>
            <rFont val="Tahoma"/>
            <family val="2"/>
          </rPr>
          <t>Goodwill + Defined Pension Benefits + Other Non-Current Assets</t>
        </r>
      </text>
    </comment>
    <comment ref="G16" authorId="0" shapeId="0" xr:uid="{9EE522B1-C292-4D08-8871-7935D02A8A22}">
      <text>
        <r>
          <rPr>
            <b/>
            <sz val="9"/>
            <color rgb="FF000000"/>
            <rFont val="Tahoma"/>
            <family val="2"/>
          </rPr>
          <t xml:space="preserve">Kevin Le:
</t>
        </r>
        <r>
          <rPr>
            <sz val="9"/>
            <color rgb="FF000000"/>
            <rFont val="Tahoma"/>
            <family val="2"/>
          </rPr>
          <t>Goodwill + Defined Pension Benefits + Other Non-Current Assets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Minh Le</author>
  </authors>
  <commentList>
    <comment ref="D33" authorId="0" shapeId="0" xr:uid="{910F7128-E515-4ECC-96DD-ADD28FEEECA0}">
      <text>
        <r>
          <rPr>
            <b/>
            <sz val="9"/>
            <color rgb="FF000000"/>
            <rFont val="Tahoma"/>
            <family val="2"/>
          </rPr>
          <t xml:space="preserve">Kevin Le:
</t>
        </r>
        <r>
          <rPr>
            <sz val="9"/>
            <color rgb="FF000000"/>
            <rFont val="Tahoma"/>
            <family val="2"/>
          </rPr>
          <t xml:space="preserve">Estimated Rates
</t>
        </r>
      </text>
    </comment>
    <comment ref="L34" authorId="0" shapeId="0" xr:uid="{2BAEE19B-625E-4B09-AE4D-87D175B79428}">
      <text>
        <r>
          <rPr>
            <b/>
            <sz val="9"/>
            <color indexed="81"/>
            <rFont val="Tahoma"/>
            <family val="2"/>
          </rPr>
          <t xml:space="preserve">Kevin Le:
</t>
        </r>
        <r>
          <rPr>
            <sz val="9"/>
            <color indexed="81"/>
            <rFont val="Tahoma"/>
            <family val="2"/>
          </rPr>
          <t xml:space="preserve">Normalization to pre-2025 rate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Minh Le</author>
  </authors>
  <commentList>
    <comment ref="D33" authorId="0" shapeId="0" xr:uid="{47A70BA5-6AC3-411C-B2EB-787FC6FA3BA2}">
      <text>
        <r>
          <rPr>
            <b/>
            <sz val="9"/>
            <color rgb="FF000000"/>
            <rFont val="Tahoma"/>
            <family val="2"/>
          </rPr>
          <t xml:space="preserve">Kevin Le:
</t>
        </r>
        <r>
          <rPr>
            <sz val="9"/>
            <color rgb="FF000000"/>
            <rFont val="Tahoma"/>
            <family val="2"/>
          </rPr>
          <t xml:space="preserve">Estimated Rates
</t>
        </r>
      </text>
    </comment>
    <comment ref="E33" authorId="0" shapeId="0" xr:uid="{D7509C5B-4261-4208-ADB8-2723C05BFF4B}">
      <text>
        <r>
          <rPr>
            <b/>
            <sz val="9"/>
            <color indexed="81"/>
            <rFont val="Tahoma"/>
            <family val="2"/>
          </rPr>
          <t xml:space="preserve">Kevin Le: 
</t>
        </r>
        <r>
          <rPr>
            <sz val="9"/>
            <color indexed="81"/>
            <rFont val="Tahoma"/>
            <family val="2"/>
          </rPr>
          <t xml:space="preserve">Estimated rate for 2025 - 2030 
</t>
        </r>
      </text>
    </comment>
    <comment ref="F33" authorId="0" shapeId="0" xr:uid="{24C76EB1-F52F-4194-A5CA-1AE0A9290ADC}">
      <text>
        <r>
          <rPr>
            <b/>
            <sz val="9"/>
            <color rgb="FF000000"/>
            <rFont val="Tahoma"/>
            <family val="2"/>
          </rPr>
          <t xml:space="preserve">Kevin Le:
</t>
        </r>
        <r>
          <rPr>
            <sz val="9"/>
            <color rgb="FF000000"/>
            <rFont val="Tahoma"/>
            <family val="2"/>
          </rPr>
          <t xml:space="preserve">1: Libertation tariffs is applied
</t>
        </r>
        <r>
          <rPr>
            <sz val="9"/>
            <color rgb="FF000000"/>
            <rFont val="Tahoma"/>
            <family val="2"/>
          </rPr>
          <t xml:space="preserve">0: No libertation tariffs
</t>
        </r>
      </text>
    </comment>
  </commentList>
</comments>
</file>

<file path=xl/sharedStrings.xml><?xml version="1.0" encoding="utf-8"?>
<sst xmlns="http://schemas.openxmlformats.org/spreadsheetml/2006/main" count="385" uniqueCount="241">
  <si>
    <t>Company Name:</t>
  </si>
  <si>
    <t>Company Ticker</t>
  </si>
  <si>
    <t>Recent Fiscal Reporting Date:</t>
  </si>
  <si>
    <t>Company Ticker:</t>
  </si>
  <si>
    <t>Target Corporation</t>
  </si>
  <si>
    <t>TGT</t>
  </si>
  <si>
    <t>Revenue</t>
  </si>
  <si>
    <t>Cost of Revenue</t>
  </si>
  <si>
    <t>Gross Profit</t>
  </si>
  <si>
    <t>Selling, General, &amp; Administrative</t>
  </si>
  <si>
    <t>EBITDA</t>
  </si>
  <si>
    <t>Depreciation &amp; Amortization</t>
  </si>
  <si>
    <t>Operating Income (EBIT)</t>
  </si>
  <si>
    <t>Interest Expense</t>
  </si>
  <si>
    <t>Other non-operating income/(expense)</t>
  </si>
  <si>
    <t>Pretax Income (EBT)</t>
  </si>
  <si>
    <t>Income Taxes</t>
  </si>
  <si>
    <t>Net Income</t>
  </si>
  <si>
    <t>Diluted Average Shares</t>
  </si>
  <si>
    <t>Earnings per Share</t>
  </si>
  <si>
    <t>Share Price</t>
  </si>
  <si>
    <t>Trailing P/E</t>
  </si>
  <si>
    <t>CAGR</t>
  </si>
  <si>
    <t>Ratios &amp; Assumptions</t>
  </si>
  <si>
    <t>Step Function</t>
  </si>
  <si>
    <t>Revenue Growth</t>
  </si>
  <si>
    <t>Gross Margin</t>
  </si>
  <si>
    <t>SGA % of Revenue</t>
  </si>
  <si>
    <t>Effective Tax Rate</t>
  </si>
  <si>
    <t>Cash</t>
  </si>
  <si>
    <t>Inventory</t>
  </si>
  <si>
    <t>Accounts Receivable, net</t>
  </si>
  <si>
    <t>Other Current Assets</t>
  </si>
  <si>
    <t>Total Current Assets</t>
  </si>
  <si>
    <t>Other Non-Current Assets</t>
  </si>
  <si>
    <t>Total Non-Current Assets</t>
  </si>
  <si>
    <t>Total Assets</t>
  </si>
  <si>
    <t>Accounts Payable</t>
  </si>
  <si>
    <t>Other Current Liabilities</t>
  </si>
  <si>
    <t>Revolver</t>
  </si>
  <si>
    <t>Total Current Liabilities</t>
  </si>
  <si>
    <t>Long-Term Debt</t>
  </si>
  <si>
    <t>Other Non-Current Liabilities</t>
  </si>
  <si>
    <t>Total Non-Current Liabilities</t>
  </si>
  <si>
    <t>Total Liabilities</t>
  </si>
  <si>
    <t>Total Stockholder Equity</t>
  </si>
  <si>
    <t>Total Liabilities &amp; Equity</t>
  </si>
  <si>
    <t>Net Property Plant &amp; Equipment (PPE)</t>
  </si>
  <si>
    <t>Check</t>
  </si>
  <si>
    <t>Operating Activities</t>
  </si>
  <si>
    <t>Depreciation</t>
  </si>
  <si>
    <t>Stock-based Compensation</t>
  </si>
  <si>
    <t>(Increase)/Decrease in Working Capital</t>
  </si>
  <si>
    <t>Change in other long-term assets and liabilities</t>
  </si>
  <si>
    <t>Cash Flows From Operating Activities</t>
  </si>
  <si>
    <t>Investing Activities</t>
  </si>
  <si>
    <t>Capital Expenditures</t>
  </si>
  <si>
    <t>Other Investing Activities</t>
  </si>
  <si>
    <t>Cash Flow from Investing Activities</t>
  </si>
  <si>
    <t>Cash Flow Available for Financing Activities</t>
  </si>
  <si>
    <t>Financing Activities</t>
  </si>
  <si>
    <t>(Repayment)/Issuance of Revolver</t>
  </si>
  <si>
    <t>Issuance of Long-Term Debt</t>
  </si>
  <si>
    <t>(Repayment) of Long-Term Debt</t>
  </si>
  <si>
    <t>Net (Repurchases)/Sales of Common Stock</t>
  </si>
  <si>
    <t>Dividends</t>
  </si>
  <si>
    <t>Option Proceeds</t>
  </si>
  <si>
    <t>Cash Flows from Financing Activities</t>
  </si>
  <si>
    <t>Net Change in Cash and Cash Equivalents</t>
  </si>
  <si>
    <t>Exchange Rate Effects</t>
  </si>
  <si>
    <t>Beginning Cash Balance</t>
  </si>
  <si>
    <t>Ending Cash Balance</t>
  </si>
  <si>
    <t>Working Capital Balances</t>
  </si>
  <si>
    <t>Inventories</t>
  </si>
  <si>
    <t>Total non-cash current assets</t>
  </si>
  <si>
    <t>Other current liabilities</t>
  </si>
  <si>
    <t>Total non-debt current liabilities</t>
  </si>
  <si>
    <t>Net working capital/(deficit)</t>
  </si>
  <si>
    <t>(Increase)/decrease in working capital</t>
  </si>
  <si>
    <t>Number of Days in Period</t>
  </si>
  <si>
    <t>Accounts Receivable % of Sales</t>
  </si>
  <si>
    <t>Accounts Receivable, net (days sales)</t>
  </si>
  <si>
    <t>Inventory % of COGS</t>
  </si>
  <si>
    <t>Inventory (days inventory)</t>
  </si>
  <si>
    <t>Other Current Assets % of Revenue</t>
  </si>
  <si>
    <t>Accounts Payable % of COGS</t>
  </si>
  <si>
    <t>Accounts Payable (days purchases)</t>
  </si>
  <si>
    <t>Other Current Liabilities % of COGS</t>
  </si>
  <si>
    <t>Cash Conversion Cycle</t>
  </si>
  <si>
    <t>Days Change</t>
  </si>
  <si>
    <t>Sales</t>
  </si>
  <si>
    <t>Step Funtion</t>
  </si>
  <si>
    <t>CapEx % of Sales</t>
  </si>
  <si>
    <t>Depreciation Expense % of Capex</t>
  </si>
  <si>
    <t>Depreciation Expense % of PP&amp;E</t>
  </si>
  <si>
    <t>Beginning PP&amp;E</t>
  </si>
  <si>
    <t>CapEx</t>
  </si>
  <si>
    <t>Historicals Not Needed</t>
  </si>
  <si>
    <t>Ending PP&amp;E</t>
  </si>
  <si>
    <t>Beginning Equity Balance</t>
  </si>
  <si>
    <t>Stock-Based Compensation</t>
  </si>
  <si>
    <t>Repurchase of Equity</t>
  </si>
  <si>
    <t>Ending Equity Balance</t>
  </si>
  <si>
    <t>Share Repurchase Assumptions</t>
  </si>
  <si>
    <t>Current Year EPS</t>
  </si>
  <si>
    <t>Assumed Current Year P/E Multiple</t>
  </si>
  <si>
    <t>Projected Share Price</t>
  </si>
  <si>
    <t>Shares Repurchased - millions</t>
  </si>
  <si>
    <t>$ Amount Repurchased</t>
  </si>
  <si>
    <t>New Shares from Exercised Options</t>
  </si>
  <si>
    <t>New Shares issued from options - millions</t>
  </si>
  <si>
    <t>Average Strike Price</t>
  </si>
  <si>
    <t>Proceeds</t>
  </si>
  <si>
    <t>Dividend Assumptions</t>
  </si>
  <si>
    <t>Year 1 Div Increase</t>
  </si>
  <si>
    <t>Dividend Payout Ratio</t>
  </si>
  <si>
    <t>Dividend Change</t>
  </si>
  <si>
    <t>Plus: Beginning Cash Balance</t>
  </si>
  <si>
    <t>Less: Minimum Cash Balance</t>
  </si>
  <si>
    <t>Cash Available for Debt Repayment</t>
  </si>
  <si>
    <t>Repayment of Long-Term Debt</t>
  </si>
  <si>
    <t>Excess Cash Available for Revolver</t>
  </si>
  <si>
    <t>Beginning Balance</t>
  </si>
  <si>
    <t>Issuance/(Repayment) of Revolver</t>
  </si>
  <si>
    <t>Ending Balance</t>
  </si>
  <si>
    <t>Issuance</t>
  </si>
  <si>
    <t>Assume LT Debt is Refinanced -&gt;</t>
  </si>
  <si>
    <t>(Repayment)</t>
  </si>
  <si>
    <t>Review 10K Repayment Schedule -&gt;</t>
  </si>
  <si>
    <t>Revolver:</t>
  </si>
  <si>
    <t>Average Balance</t>
  </si>
  <si>
    <t>SOFR</t>
  </si>
  <si>
    <t>Spread</t>
  </si>
  <si>
    <t>Interest rate</t>
  </si>
  <si>
    <t>Interest (expense)</t>
  </si>
  <si>
    <t>Long-term debt:</t>
  </si>
  <si>
    <t>Average balances</t>
  </si>
  <si>
    <t>Total interest expense:</t>
  </si>
  <si>
    <t>Cash balances:</t>
  </si>
  <si>
    <t>Interest income</t>
  </si>
  <si>
    <t>Total Interest income/(expense)</t>
  </si>
  <si>
    <t>Average diluted Shares</t>
  </si>
  <si>
    <t>Effects of other dilutive securities</t>
  </si>
  <si>
    <t>Avg. Basic Shares</t>
  </si>
  <si>
    <t>Ending Balance - basic (actual)</t>
  </si>
  <si>
    <t>Shares Repurchased</t>
  </si>
  <si>
    <t>Shares issued from RSUs and PSUs</t>
  </si>
  <si>
    <t>Shares issued from options</t>
  </si>
  <si>
    <t>Beginning Balance - basic (actual)</t>
  </si>
  <si>
    <t>2024A</t>
  </si>
  <si>
    <t>2023A</t>
  </si>
  <si>
    <t>2025A</t>
  </si>
  <si>
    <t>Income Statement for Target Corporation  (all $ values in millions of USD except per share values)</t>
  </si>
  <si>
    <t>Fiscal Year Ending January 31,</t>
  </si>
  <si>
    <t xml:space="preserve"> Net Income</t>
  </si>
  <si>
    <t>Regression</t>
  </si>
  <si>
    <t>Cost of Revenue (in Positive value)</t>
  </si>
  <si>
    <t>Average U.S. Tariff Rates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</si>
  <si>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</si>
  <si>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</si>
  <si>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</si>
  <si>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</si>
  <si>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</si>
  <si>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</si>
  <si>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</si>
  <si>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</si>
  <si>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</si>
  <si>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</si>
  <si>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</si>
  <si>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</si>
  <si>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</si>
  <si>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</si>
  <si>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</si>
  <si>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</si>
  <si>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</si>
  <si>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</si>
  <si>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</si>
  <si>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</si>
  <si>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</si>
  <si>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</si>
  <si>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</si>
  <si>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</si>
  <si>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</si>
  <si>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</si>
  <si>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</si>
  <si>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</si>
  <si>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</si>
  <si>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</si>
  <si>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Fiscal Year</t>
  </si>
  <si>
    <t>2026E</t>
  </si>
  <si>
    <t>2027E</t>
  </si>
  <si>
    <t>2028E</t>
  </si>
  <si>
    <t>2029E</t>
  </si>
  <si>
    <t>2030E</t>
  </si>
  <si>
    <t>Inflation Rate</t>
  </si>
  <si>
    <t>Libertation (Binary)</t>
  </si>
  <si>
    <t>Weighted Average Cost of Capital (WACC)</t>
  </si>
  <si>
    <t>Fiscal Year Ending</t>
  </si>
  <si>
    <t>Total Debt (millions):</t>
  </si>
  <si>
    <t>&lt;- LT Debt + Other Current Borrowings</t>
  </si>
  <si>
    <t>Market Cap (millions):</t>
  </si>
  <si>
    <t>&lt;- Current Market Capitalization</t>
  </si>
  <si>
    <t>Debt %:</t>
  </si>
  <si>
    <t>Operating Income</t>
  </si>
  <si>
    <t>Equity %:</t>
  </si>
  <si>
    <t>Pretax Income</t>
  </si>
  <si>
    <t>Pretax Cost of Debt:</t>
  </si>
  <si>
    <t>&lt;- Avg. YTM on outstanding Debt</t>
  </si>
  <si>
    <t>Taxes</t>
  </si>
  <si>
    <t>Tax Rate:</t>
  </si>
  <si>
    <t>Effective Cost of Debt:</t>
  </si>
  <si>
    <t>&lt;- Pretax Cost of Debt * (1-Tax Rate)</t>
  </si>
  <si>
    <t>Beta:</t>
  </si>
  <si>
    <t>Risk Free Rate:</t>
  </si>
  <si>
    <t>&lt;- Current 10-year Treasury yield</t>
  </si>
  <si>
    <t>Unlevered Net Income (NOPAT)</t>
  </si>
  <si>
    <t>Market Risk Premium:</t>
  </si>
  <si>
    <t>NOPAT Check</t>
  </si>
  <si>
    <t>Cost of Equity:</t>
  </si>
  <si>
    <t>&lt;- From CAPM</t>
  </si>
  <si>
    <t>Working Capital</t>
  </si>
  <si>
    <t>WACC:</t>
  </si>
  <si>
    <t>Net Working Capital</t>
  </si>
  <si>
    <t>Increase/(Decrease) in NWC</t>
  </si>
  <si>
    <t>DCF Calculations</t>
  </si>
  <si>
    <t>Adjustments to NOPAT</t>
  </si>
  <si>
    <t>(+) Depreciation</t>
  </si>
  <si>
    <t>Enterprise Value:</t>
  </si>
  <si>
    <t>(-) CapEx</t>
  </si>
  <si>
    <t>(-) Change in NWC</t>
  </si>
  <si>
    <t>Growth Rate:</t>
  </si>
  <si>
    <t>&lt;- LT Revenue Growth Rate</t>
  </si>
  <si>
    <t>Unlevered Free Cash Flow</t>
  </si>
  <si>
    <t>Cash:</t>
  </si>
  <si>
    <t>Debt:</t>
  </si>
  <si>
    <t>Year</t>
  </si>
  <si>
    <t>Shares Outstanding (million):</t>
  </si>
  <si>
    <t>PV of FCF</t>
  </si>
  <si>
    <t>Equity Value:</t>
  </si>
  <si>
    <t>&lt;- Ent. Value + Cash - Debt</t>
  </si>
  <si>
    <t>Equity Value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</si>
</sst>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yyyy\A"/>
    <numFmt numFmtId="165" formatCode="yyyy\E"/>
    <numFmt numFmtId="166" formatCode="_(* #,##0.0_);_(* \(#,##0.0\);_(* &quot;-&quot;??_);_(@_)"/>
    <numFmt numFmtId="167" formatCode="0.0%"/>
    <numFmt numFmtId="168" formatCode="_(* #,##0_);_(* \(#,##0\);_(* &quot;-&quot;??_);_(@_)"/>
    <numFmt numFmtId="169" formatCode="yyyy"/>
    <numFmt numFmtId="170" formatCode="0.0"/>
    <numFmt numFmtId="171" formatCode="#,##0.0\x"/>
    <numFmt numFmtId="172" formatCode="&quot;$&quot;#,##0.0_);\(&quot;$&quot;#,##0.0\)"/>
    <numFmt numFmtId="173" formatCode="_(* #,##0.0_);_(* \(#,##0.0\);_(* &quot;-&quot;?_);_(@_)"/>
  </numFmts>
  <fonts count="4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i/>
      <sz val="12"/>
      <color rgb="FF021AFF"/>
      <name val="Aptos Narrow"/>
      <family val="2"/>
      <scheme val="minor"/>
    </font>
    <font>
      <sz val="12"/>
      <color rgb="FF021AFF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12"/>
      <color theme="9" tint="-0.249977111117893"/>
      <name val="Aptos Narrow"/>
      <family val="2"/>
      <scheme val="minor"/>
    </font>
    <font>
      <b/>
      <sz val="12"/>
      <color theme="9" tint="-0.249977111117893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rgb="FF021AFF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21AFF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33CC"/>
      <name val="Aptos Narrow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9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9" tint="-0.499984740745262"/>
      <name val="Aptos Narrow"/>
      <family val="2"/>
      <scheme val="minor"/>
    </font>
    <font>
      <u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2" borderId="0" applyNumberFormat="0" applyBorder="0" applyAlignment="0" applyProtection="0"/>
    <xf numFmtId="0" fontId="5" fillId="3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9" fillId="0" borderId="0" xfId="0" applyFont="1" applyAlignment="1">
      <alignment horizontal="left" indent="1"/>
    </xf>
    <xf numFmtId="0" fontId="0" fillId="0" borderId="1" xfId="0" applyBorder="1"/>
    <xf numFmtId="0" fontId="9" fillId="0" borderId="2" xfId="0" applyFont="1" applyBorder="1" applyAlignment="1">
      <alignment horizontal="left" indent="1"/>
    </xf>
    <xf numFmtId="0" fontId="0" fillId="0" borderId="3" xfId="0" applyBorder="1"/>
    <xf numFmtId="0" fontId="6" fillId="0" borderId="0" xfId="0" applyFont="1"/>
    <xf numFmtId="166" fontId="0" fillId="0" borderId="0" xfId="0" applyNumberFormat="1"/>
    <xf numFmtId="166" fontId="0" fillId="0" borderId="3" xfId="0" applyNumberFormat="1" applyBorder="1"/>
    <xf numFmtId="0" fontId="9" fillId="3" borderId="0" xfId="4" applyFont="1"/>
    <xf numFmtId="164" fontId="9" fillId="3" borderId="0" xfId="4" applyNumberFormat="1" applyFont="1"/>
    <xf numFmtId="165" fontId="9" fillId="3" borderId="0" xfId="4" applyNumberFormat="1" applyFont="1"/>
    <xf numFmtId="0" fontId="10" fillId="0" borderId="0" xfId="0" applyFont="1"/>
    <xf numFmtId="0" fontId="10" fillId="0" borderId="3" xfId="0" applyFont="1" applyBorder="1"/>
    <xf numFmtId="0" fontId="10" fillId="0" borderId="0" xfId="0" applyFont="1" applyAlignment="1">
      <alignment horizontal="left"/>
    </xf>
    <xf numFmtId="166" fontId="11" fillId="0" borderId="0" xfId="0" applyNumberFormat="1" applyFont="1"/>
    <xf numFmtId="166" fontId="11" fillId="0" borderId="3" xfId="0" applyNumberFormat="1" applyFont="1" applyBorder="1"/>
    <xf numFmtId="166" fontId="10" fillId="0" borderId="0" xfId="0" applyNumberFormat="1" applyFont="1"/>
    <xf numFmtId="0" fontId="10" fillId="0" borderId="1" xfId="0" applyFont="1" applyBorder="1" applyAlignment="1">
      <alignment horizontal="left"/>
    </xf>
    <xf numFmtId="166" fontId="9" fillId="0" borderId="0" xfId="0" applyNumberFormat="1" applyFont="1"/>
    <xf numFmtId="166" fontId="10" fillId="0" borderId="3" xfId="0" applyNumberFormat="1" applyFont="1" applyBorder="1"/>
    <xf numFmtId="0" fontId="10" fillId="0" borderId="1" xfId="0" applyFont="1" applyBorder="1"/>
    <xf numFmtId="166" fontId="9" fillId="0" borderId="3" xfId="0" applyNumberFormat="1" applyFont="1" applyBorder="1"/>
    <xf numFmtId="166" fontId="11" fillId="0" borderId="1" xfId="0" applyNumberFormat="1" applyFont="1" applyBorder="1"/>
    <xf numFmtId="166" fontId="11" fillId="0" borderId="5" xfId="0" applyNumberFormat="1" applyFont="1" applyBorder="1"/>
    <xf numFmtId="0" fontId="9" fillId="0" borderId="6" xfId="0" applyFont="1" applyBorder="1" applyAlignment="1">
      <alignment horizontal="left" indent="1"/>
    </xf>
    <xf numFmtId="0" fontId="9" fillId="0" borderId="7" xfId="0" applyFont="1" applyBorder="1" applyAlignment="1">
      <alignment horizontal="left" indent="1"/>
    </xf>
    <xf numFmtId="0" fontId="10" fillId="0" borderId="2" xfId="0" applyFont="1" applyBorder="1"/>
    <xf numFmtId="166" fontId="9" fillId="0" borderId="2" xfId="0" applyNumberFormat="1" applyFont="1" applyBorder="1"/>
    <xf numFmtId="166" fontId="9" fillId="0" borderId="8" xfId="0" applyNumberFormat="1" applyFont="1" applyBorder="1"/>
    <xf numFmtId="166" fontId="10" fillId="0" borderId="7" xfId="0" applyNumberFormat="1" applyFont="1" applyBorder="1"/>
    <xf numFmtId="0" fontId="14" fillId="4" borderId="0" xfId="0" applyFont="1" applyFill="1" applyAlignment="1">
      <alignment horizontal="left"/>
    </xf>
    <xf numFmtId="0" fontId="0" fillId="4" borderId="0" xfId="0" applyFill="1"/>
    <xf numFmtId="164" fontId="0" fillId="4" borderId="0" xfId="0" applyNumberFormat="1" applyFill="1"/>
    <xf numFmtId="164" fontId="0" fillId="4" borderId="3" xfId="0" applyNumberFormat="1" applyFill="1" applyBorder="1"/>
    <xf numFmtId="0" fontId="14" fillId="0" borderId="0" xfId="0" applyFont="1"/>
    <xf numFmtId="0" fontId="15" fillId="0" borderId="0" xfId="0" applyFont="1"/>
    <xf numFmtId="167" fontId="15" fillId="0" borderId="0" xfId="2" applyNumberFormat="1" applyFont="1" applyBorder="1"/>
    <xf numFmtId="167" fontId="16" fillId="0" borderId="0" xfId="0" applyNumberFormat="1" applyFont="1"/>
    <xf numFmtId="167" fontId="15" fillId="0" borderId="0" xfId="0" applyNumberFormat="1" applyFont="1"/>
    <xf numFmtId="167" fontId="17" fillId="0" borderId="0" xfId="0" applyNumberFormat="1" applyFont="1"/>
    <xf numFmtId="168" fontId="15" fillId="0" borderId="0" xfId="1" applyNumberFormat="1" applyFont="1"/>
    <xf numFmtId="168" fontId="16" fillId="0" borderId="0" xfId="1" applyNumberFormat="1" applyFont="1" applyFill="1" applyBorder="1"/>
    <xf numFmtId="167" fontId="15" fillId="0" borderId="3" xfId="2" applyNumberFormat="1" applyFont="1" applyBorder="1"/>
    <xf numFmtId="168" fontId="15" fillId="0" borderId="3" xfId="1" applyNumberFormat="1" applyFont="1" applyBorder="1"/>
    <xf numFmtId="0" fontId="9" fillId="0" borderId="0" xfId="0" applyFont="1"/>
    <xf numFmtId="0" fontId="14" fillId="0" borderId="0" xfId="0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8" fontId="10" fillId="0" borderId="0" xfId="0" applyNumberFormat="1" applyFont="1"/>
    <xf numFmtId="0" fontId="20" fillId="4" borderId="0" xfId="0" applyFont="1" applyFill="1" applyAlignment="1">
      <alignment horizontal="left"/>
    </xf>
    <xf numFmtId="0" fontId="9" fillId="4" borderId="0" xfId="0" applyFont="1" applyFill="1"/>
    <xf numFmtId="164" fontId="9" fillId="4" borderId="0" xfId="0" applyNumberFormat="1" applyFont="1" applyFill="1"/>
    <xf numFmtId="164" fontId="9" fillId="4" borderId="3" xfId="0" applyNumberFormat="1" applyFont="1" applyFill="1" applyBorder="1"/>
    <xf numFmtId="165" fontId="9" fillId="4" borderId="0" xfId="0" applyNumberFormat="1" applyFont="1" applyFill="1"/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0" fillId="3" borderId="0" xfId="4" applyFont="1" applyAlignment="1"/>
    <xf numFmtId="0" fontId="9" fillId="0" borderId="1" xfId="0" applyFont="1" applyBorder="1" applyAlignment="1">
      <alignment horizontal="left" indent="1"/>
    </xf>
    <xf numFmtId="0" fontId="9" fillId="0" borderId="2" xfId="0" applyFont="1" applyBorder="1" applyAlignment="1">
      <alignment horizontal="left" indent="2"/>
    </xf>
    <xf numFmtId="0" fontId="9" fillId="0" borderId="0" xfId="0" applyFont="1" applyAlignment="1">
      <alignment horizontal="left" indent="2"/>
    </xf>
    <xf numFmtId="0" fontId="9" fillId="0" borderId="2" xfId="0" applyFont="1" applyBorder="1"/>
    <xf numFmtId="166" fontId="11" fillId="0" borderId="0" xfId="0" applyNumberFormat="1" applyFont="1" applyAlignment="1">
      <alignment horizontal="right"/>
    </xf>
    <xf numFmtId="166" fontId="11" fillId="0" borderId="3" xfId="0" applyNumberFormat="1" applyFont="1" applyBorder="1" applyAlignment="1">
      <alignment horizontal="right"/>
    </xf>
    <xf numFmtId="0" fontId="10" fillId="0" borderId="7" xfId="0" applyFont="1" applyBorder="1"/>
    <xf numFmtId="166" fontId="10" fillId="0" borderId="1" xfId="0" applyNumberFormat="1" applyFont="1" applyBorder="1"/>
    <xf numFmtId="0" fontId="10" fillId="0" borderId="6" xfId="0" applyFont="1" applyBorder="1"/>
    <xf numFmtId="166" fontId="10" fillId="0" borderId="6" xfId="0" applyNumberFormat="1" applyFont="1" applyBorder="1"/>
    <xf numFmtId="166" fontId="9" fillId="0" borderId="6" xfId="0" applyNumberFormat="1" applyFont="1" applyBorder="1"/>
    <xf numFmtId="166" fontId="9" fillId="0" borderId="14" xfId="0" applyNumberFormat="1" applyFont="1" applyBorder="1"/>
    <xf numFmtId="0" fontId="9" fillId="0" borderId="7" xfId="0" applyFont="1" applyBorder="1"/>
    <xf numFmtId="166" fontId="10" fillId="0" borderId="2" xfId="0" applyNumberFormat="1" applyFont="1" applyBorder="1"/>
    <xf numFmtId="166" fontId="10" fillId="0" borderId="4" xfId="0" applyNumberFormat="1" applyFont="1" applyBorder="1"/>
    <xf numFmtId="166" fontId="9" fillId="0" borderId="7" xfId="0" applyNumberFormat="1" applyFont="1" applyBorder="1"/>
    <xf numFmtId="166" fontId="9" fillId="0" borderId="15" xfId="0" applyNumberFormat="1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10" fillId="3" borderId="0" xfId="4" applyFont="1"/>
    <xf numFmtId="0" fontId="10" fillId="0" borderId="0" xfId="0" applyFont="1" applyAlignment="1">
      <alignment horizontal="left" indent="1"/>
    </xf>
    <xf numFmtId="0" fontId="10" fillId="0" borderId="1" xfId="0" applyFont="1" applyBorder="1" applyAlignment="1">
      <alignment horizontal="left" indent="1"/>
    </xf>
    <xf numFmtId="0" fontId="9" fillId="0" borderId="6" xfId="0" applyFont="1" applyBorder="1"/>
    <xf numFmtId="0" fontId="0" fillId="0" borderId="6" xfId="0" applyBorder="1"/>
    <xf numFmtId="0" fontId="0" fillId="0" borderId="2" xfId="0" applyBorder="1"/>
    <xf numFmtId="0" fontId="17" fillId="0" borderId="4" xfId="0" applyFont="1" applyBorder="1" applyAlignment="1">
      <alignment horizontal="center"/>
    </xf>
    <xf numFmtId="166" fontId="21" fillId="0" borderId="0" xfId="1" applyNumberFormat="1" applyFont="1"/>
    <xf numFmtId="166" fontId="10" fillId="0" borderId="1" xfId="1" applyNumberFormat="1" applyFont="1" applyBorder="1"/>
    <xf numFmtId="166" fontId="17" fillId="0" borderId="1" xfId="1" applyNumberFormat="1" applyFont="1" applyBorder="1"/>
    <xf numFmtId="166" fontId="24" fillId="0" borderId="0" xfId="0" applyNumberFormat="1" applyFont="1"/>
    <xf numFmtId="166" fontId="11" fillId="0" borderId="0" xfId="1" applyNumberFormat="1" applyFont="1"/>
    <xf numFmtId="169" fontId="0" fillId="0" borderId="0" xfId="0" applyNumberFormat="1"/>
    <xf numFmtId="166" fontId="21" fillId="0" borderId="0" xfId="0" applyNumberFormat="1" applyFont="1"/>
    <xf numFmtId="166" fontId="0" fillId="0" borderId="0" xfId="1" applyNumberFormat="1" applyFont="1"/>
    <xf numFmtId="166" fontId="21" fillId="0" borderId="1" xfId="1" applyNumberFormat="1" applyFont="1" applyBorder="1"/>
    <xf numFmtId="166" fontId="0" fillId="0" borderId="1" xfId="0" applyNumberFormat="1" applyBorder="1"/>
    <xf numFmtId="167" fontId="15" fillId="0" borderId="0" xfId="2" applyNumberFormat="1" applyFont="1"/>
    <xf numFmtId="167" fontId="16" fillId="0" borderId="0" xfId="2" applyNumberFormat="1" applyFont="1"/>
    <xf numFmtId="170" fontId="15" fillId="0" borderId="0" xfId="0" applyNumberFormat="1" applyFont="1"/>
    <xf numFmtId="170" fontId="15" fillId="0" borderId="3" xfId="0" applyNumberFormat="1" applyFont="1" applyBorder="1"/>
    <xf numFmtId="170" fontId="16" fillId="0" borderId="0" xfId="0" applyNumberFormat="1" applyFont="1"/>
    <xf numFmtId="166" fontId="15" fillId="0" borderId="0" xfId="0" applyNumberFormat="1" applyFont="1"/>
    <xf numFmtId="166" fontId="15" fillId="0" borderId="3" xfId="0" applyNumberFormat="1" applyFont="1" applyBorder="1"/>
    <xf numFmtId="167" fontId="15" fillId="0" borderId="1" xfId="2" applyNumberFormat="1" applyFont="1" applyBorder="1"/>
    <xf numFmtId="167" fontId="15" fillId="0" borderId="5" xfId="2" applyNumberFormat="1" applyFont="1" applyBorder="1"/>
    <xf numFmtId="167" fontId="16" fillId="0" borderId="1" xfId="0" applyNumberFormat="1" applyFont="1" applyBorder="1"/>
    <xf numFmtId="43" fontId="15" fillId="0" borderId="0" xfId="0" applyNumberFormat="1" applyFont="1"/>
    <xf numFmtId="43" fontId="15" fillId="0" borderId="3" xfId="0" applyNumberFormat="1" applyFont="1" applyBorder="1"/>
    <xf numFmtId="166" fontId="21" fillId="0" borderId="0" xfId="1" applyNumberFormat="1" applyFont="1" applyBorder="1"/>
    <xf numFmtId="166" fontId="17" fillId="0" borderId="0" xfId="1" applyNumberFormat="1" applyFont="1" applyBorder="1"/>
    <xf numFmtId="166" fontId="17" fillId="0" borderId="3" xfId="1" applyNumberFormat="1" applyFont="1" applyBorder="1"/>
    <xf numFmtId="0" fontId="15" fillId="0" borderId="0" xfId="0" applyFont="1" applyAlignment="1">
      <alignment horizontal="left" indent="1"/>
    </xf>
    <xf numFmtId="167" fontId="0" fillId="0" borderId="0" xfId="0" applyNumberFormat="1"/>
    <xf numFmtId="9" fontId="0" fillId="0" borderId="0" xfId="0" applyNumberFormat="1"/>
    <xf numFmtId="166" fontId="21" fillId="0" borderId="2" xfId="1" applyNumberFormat="1" applyFont="1" applyBorder="1"/>
    <xf numFmtId="166" fontId="0" fillId="0" borderId="2" xfId="0" applyNumberFormat="1" applyBorder="1"/>
    <xf numFmtId="166" fontId="11" fillId="0" borderId="0" xfId="1" applyNumberFormat="1" applyFont="1" applyBorder="1"/>
    <xf numFmtId="166" fontId="11" fillId="0" borderId="3" xfId="1" applyNumberFormat="1" applyFont="1" applyBorder="1"/>
    <xf numFmtId="167" fontId="11" fillId="0" borderId="0" xfId="0" applyNumberFormat="1" applyFont="1"/>
    <xf numFmtId="9" fontId="11" fillId="0" borderId="0" xfId="0" applyNumberFormat="1" applyFont="1"/>
    <xf numFmtId="0" fontId="9" fillId="3" borderId="0" xfId="4" applyFont="1" applyAlignment="1"/>
    <xf numFmtId="166" fontId="22" fillId="0" borderId="0" xfId="1" applyNumberFormat="1" applyFont="1" applyBorder="1"/>
    <xf numFmtId="171" fontId="17" fillId="0" borderId="0" xfId="0" applyNumberFormat="1" applyFont="1"/>
    <xf numFmtId="43" fontId="0" fillId="0" borderId="0" xfId="0" applyNumberFormat="1"/>
    <xf numFmtId="166" fontId="17" fillId="0" borderId="5" xfId="1" applyNumberFormat="1" applyFont="1" applyBorder="1"/>
    <xf numFmtId="166" fontId="25" fillId="0" borderId="0" xfId="1" applyNumberFormat="1" applyFont="1" applyBorder="1"/>
    <xf numFmtId="166" fontId="25" fillId="0" borderId="3" xfId="1" applyNumberFormat="1" applyFont="1" applyBorder="1"/>
    <xf numFmtId="166" fontId="26" fillId="0" borderId="0" xfId="0" applyNumberFormat="1" applyFont="1"/>
    <xf numFmtId="167" fontId="17" fillId="0" borderId="4" xfId="0" applyNumberFormat="1" applyFont="1" applyBorder="1"/>
    <xf numFmtId="164" fontId="9" fillId="3" borderId="3" xfId="4" applyNumberFormat="1" applyFont="1" applyBorder="1"/>
    <xf numFmtId="166" fontId="24" fillId="0" borderId="1" xfId="1" applyNumberFormat="1" applyFont="1" applyBorder="1"/>
    <xf numFmtId="0" fontId="27" fillId="5" borderId="3" xfId="0" applyFont="1" applyFill="1" applyBorder="1" applyAlignment="1">
      <alignment horizontal="right"/>
    </xf>
    <xf numFmtId="166" fontId="17" fillId="7" borderId="0" xfId="1" applyNumberFormat="1" applyFont="1" applyFill="1"/>
    <xf numFmtId="0" fontId="0" fillId="0" borderId="11" xfId="0" applyBorder="1"/>
    <xf numFmtId="10" fontId="17" fillId="0" borderId="0" xfId="0" applyNumberFormat="1" applyFont="1"/>
    <xf numFmtId="10" fontId="17" fillId="0" borderId="3" xfId="0" applyNumberFormat="1" applyFont="1" applyBorder="1"/>
    <xf numFmtId="10" fontId="0" fillId="0" borderId="0" xfId="0" applyNumberFormat="1"/>
    <xf numFmtId="10" fontId="0" fillId="0" borderId="3" xfId="0" applyNumberFormat="1" applyBorder="1"/>
    <xf numFmtId="43" fontId="0" fillId="0" borderId="3" xfId="0" applyNumberFormat="1" applyBorder="1"/>
    <xf numFmtId="172" fontId="0" fillId="0" borderId="0" xfId="0" applyNumberFormat="1"/>
    <xf numFmtId="172" fontId="0" fillId="0" borderId="3" xfId="0" applyNumberFormat="1" applyBorder="1"/>
    <xf numFmtId="10" fontId="28" fillId="0" borderId="0" xfId="2" applyNumberFormat="1" applyFont="1" applyBorder="1"/>
    <xf numFmtId="10" fontId="29" fillId="0" borderId="0" xfId="0" applyNumberFormat="1" applyFont="1"/>
    <xf numFmtId="10" fontId="29" fillId="0" borderId="3" xfId="0" applyNumberFormat="1" applyFont="1" applyBorder="1"/>
    <xf numFmtId="172" fontId="21" fillId="0" borderId="0" xfId="0" applyNumberFormat="1" applyFont="1"/>
    <xf numFmtId="172" fontId="21" fillId="0" borderId="3" xfId="0" applyNumberFormat="1" applyFont="1" applyBorder="1"/>
    <xf numFmtId="10" fontId="30" fillId="0" borderId="0" xfId="2" applyNumberFormat="1" applyFont="1" applyBorder="1"/>
    <xf numFmtId="10" fontId="29" fillId="0" borderId="0" xfId="2" applyNumberFormat="1" applyFont="1" applyBorder="1"/>
    <xf numFmtId="10" fontId="29" fillId="0" borderId="3" xfId="2" applyNumberFormat="1" applyFont="1" applyBorder="1"/>
    <xf numFmtId="0" fontId="9" fillId="0" borderId="12" xfId="0" applyFont="1" applyBorder="1"/>
    <xf numFmtId="172" fontId="0" fillId="0" borderId="1" xfId="0" applyNumberFormat="1" applyBorder="1"/>
    <xf numFmtId="172" fontId="0" fillId="0" borderId="5" xfId="0" applyNumberFormat="1" applyBorder="1"/>
    <xf numFmtId="166" fontId="4" fillId="0" borderId="0" xfId="0" applyNumberFormat="1" applyFont="1"/>
    <xf numFmtId="166" fontId="34" fillId="0" borderId="0" xfId="0" applyNumberFormat="1" applyFont="1"/>
    <xf numFmtId="166" fontId="35" fillId="0" borderId="0" xfId="0" applyNumberFormat="1" applyFont="1"/>
    <xf numFmtId="0" fontId="3" fillId="0" borderId="0" xfId="5"/>
    <xf numFmtId="170" fontId="3" fillId="0" borderId="0" xfId="5" applyNumberFormat="1"/>
    <xf numFmtId="166" fontId="3" fillId="0" borderId="0" xfId="5" applyNumberFormat="1"/>
    <xf numFmtId="166" fontId="21" fillId="0" borderId="0" xfId="6" applyNumberFormat="1" applyFont="1" applyBorder="1"/>
    <xf numFmtId="0" fontId="3" fillId="0" borderId="0" xfId="5" applyAlignment="1">
      <alignment horizontal="left" indent="2"/>
    </xf>
    <xf numFmtId="166" fontId="3" fillId="0" borderId="1" xfId="5" applyNumberFormat="1" applyBorder="1"/>
    <xf numFmtId="166" fontId="17" fillId="0" borderId="1" xfId="6" applyNumberFormat="1" applyFont="1" applyBorder="1"/>
    <xf numFmtId="173" fontId="3" fillId="0" borderId="5" xfId="5" applyNumberFormat="1" applyBorder="1"/>
    <xf numFmtId="173" fontId="3" fillId="0" borderId="1" xfId="5" applyNumberFormat="1" applyBorder="1"/>
    <xf numFmtId="0" fontId="3" fillId="0" borderId="0" xfId="5" applyAlignment="1">
      <alignment horizontal="left" indent="1"/>
    </xf>
    <xf numFmtId="166" fontId="17" fillId="0" borderId="3" xfId="6" applyNumberFormat="1" applyFont="1" applyBorder="1"/>
    <xf numFmtId="166" fontId="17" fillId="0" borderId="0" xfId="6" applyNumberFormat="1" applyFont="1" applyBorder="1"/>
    <xf numFmtId="0" fontId="9" fillId="0" borderId="0" xfId="5" applyFont="1" applyAlignment="1">
      <alignment horizontal="left" indent="2"/>
    </xf>
    <xf numFmtId="166" fontId="21" fillId="0" borderId="1" xfId="6" applyNumberFormat="1" applyFont="1" applyBorder="1"/>
    <xf numFmtId="166" fontId="24" fillId="0" borderId="0" xfId="6" applyNumberFormat="1" applyFont="1" applyBorder="1"/>
    <xf numFmtId="169" fontId="3" fillId="0" borderId="0" xfId="5" applyNumberFormat="1"/>
    <xf numFmtId="166" fontId="17" fillId="0" borderId="0" xfId="1" applyNumberFormat="1" applyFont="1" applyBorder="1" applyAlignment="1">
      <alignment horizontal="right"/>
    </xf>
    <xf numFmtId="166" fontId="17" fillId="0" borderId="3" xfId="1" applyNumberFormat="1" applyFont="1" applyBorder="1" applyAlignment="1">
      <alignment horizontal="right"/>
    </xf>
    <xf numFmtId="166" fontId="21" fillId="0" borderId="0" xfId="1" applyNumberFormat="1" applyFont="1" applyBorder="1" applyAlignment="1">
      <alignment horizontal="right"/>
    </xf>
    <xf numFmtId="166" fontId="9" fillId="0" borderId="16" xfId="0" applyNumberFormat="1" applyFont="1" applyBorder="1"/>
    <xf numFmtId="166" fontId="11" fillId="0" borderId="14" xfId="0" applyNumberFormat="1" applyFont="1" applyBorder="1"/>
    <xf numFmtId="166" fontId="10" fillId="0" borderId="17" xfId="0" applyNumberFormat="1" applyFont="1" applyBorder="1"/>
    <xf numFmtId="166" fontId="10" fillId="0" borderId="9" xfId="0" applyNumberFormat="1" applyFont="1" applyBorder="1"/>
    <xf numFmtId="166" fontId="10" fillId="0" borderId="16" xfId="0" applyNumberFormat="1" applyFont="1" applyBorder="1"/>
    <xf numFmtId="166" fontId="10" fillId="0" borderId="13" xfId="0" applyNumberFormat="1" applyFont="1" applyBorder="1"/>
    <xf numFmtId="166" fontId="10" fillId="0" borderId="12" xfId="0" applyNumberFormat="1" applyFont="1" applyBorder="1"/>
    <xf numFmtId="166" fontId="9" fillId="0" borderId="10" xfId="0" applyNumberFormat="1" applyFont="1" applyBorder="1"/>
    <xf numFmtId="166" fontId="31" fillId="0" borderId="16" xfId="0" applyNumberFormat="1" applyFont="1" applyBorder="1"/>
    <xf numFmtId="166" fontId="9" fillId="0" borderId="16" xfId="1" applyNumberFormat="1" applyFont="1" applyBorder="1"/>
    <xf numFmtId="166" fontId="35" fillId="0" borderId="16" xfId="0" applyNumberFormat="1" applyFont="1" applyBorder="1"/>
    <xf numFmtId="166" fontId="21" fillId="0" borderId="3" xfId="1" applyNumberFormat="1" applyFont="1" applyBorder="1"/>
    <xf numFmtId="166" fontId="21" fillId="0" borderId="8" xfId="1" applyNumberFormat="1" applyFont="1" applyBorder="1"/>
    <xf numFmtId="166" fontId="22" fillId="0" borderId="10" xfId="1" applyNumberFormat="1" applyFont="1" applyBorder="1"/>
    <xf numFmtId="166" fontId="25" fillId="0" borderId="16" xfId="1" applyNumberFormat="1" applyFont="1" applyBorder="1"/>
    <xf numFmtId="166" fontId="21" fillId="0" borderId="10" xfId="6" applyNumberFormat="1" applyFont="1" applyBorder="1"/>
    <xf numFmtId="166" fontId="21" fillId="0" borderId="3" xfId="0" applyNumberFormat="1" applyFont="1" applyBorder="1"/>
    <xf numFmtId="166" fontId="21" fillId="0" borderId="5" xfId="1" applyNumberFormat="1" applyFont="1" applyBorder="1"/>
    <xf numFmtId="166" fontId="17" fillId="0" borderId="0" xfId="0" applyNumberFormat="1" applyFont="1"/>
    <xf numFmtId="166" fontId="25" fillId="0" borderId="0" xfId="0" applyNumberFormat="1" applyFont="1"/>
    <xf numFmtId="0" fontId="9" fillId="0" borderId="0" xfId="5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3" xfId="0" applyFont="1" applyBorder="1"/>
    <xf numFmtId="0" fontId="3" fillId="0" borderId="1" xfId="0" applyFont="1" applyBorder="1"/>
    <xf numFmtId="0" fontId="3" fillId="0" borderId="0" xfId="0" applyFont="1" applyAlignment="1">
      <alignment horizontal="left" indent="1"/>
    </xf>
    <xf numFmtId="166" fontId="3" fillId="0" borderId="0" xfId="0" applyNumberFormat="1" applyFont="1"/>
    <xf numFmtId="166" fontId="3" fillId="0" borderId="1" xfId="0" applyNumberFormat="1" applyFont="1" applyBorder="1"/>
    <xf numFmtId="171" fontId="3" fillId="0" borderId="0" xfId="0" applyNumberFormat="1" applyFont="1"/>
    <xf numFmtId="43" fontId="3" fillId="0" borderId="0" xfId="0" applyNumberFormat="1" applyFont="1"/>
    <xf numFmtId="166" fontId="3" fillId="0" borderId="0" xfId="1" applyNumberFormat="1" applyFont="1" applyBorder="1"/>
    <xf numFmtId="166" fontId="3" fillId="0" borderId="1" xfId="1" applyNumberFormat="1" applyFont="1" applyBorder="1"/>
    <xf numFmtId="9" fontId="3" fillId="0" borderId="0" xfId="2" applyFont="1"/>
    <xf numFmtId="0" fontId="3" fillId="0" borderId="1" xfId="0" applyFont="1" applyBorder="1" applyAlignment="1">
      <alignment horizontal="left" indent="1"/>
    </xf>
    <xf numFmtId="0" fontId="3" fillId="6" borderId="1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167" fontId="3" fillId="0" borderId="0" xfId="2" applyNumberFormat="1" applyFont="1" applyBorder="1" applyAlignment="1">
      <alignment horizontal="right"/>
    </xf>
    <xf numFmtId="167" fontId="3" fillId="0" borderId="0" xfId="2" applyNumberFormat="1" applyFont="1" applyBorder="1"/>
    <xf numFmtId="0" fontId="3" fillId="5" borderId="0" xfId="0" applyFont="1" applyFill="1"/>
    <xf numFmtId="0" fontId="3" fillId="5" borderId="3" xfId="0" applyFont="1" applyFill="1" applyBorder="1"/>
    <xf numFmtId="166" fontId="3" fillId="0" borderId="0" xfId="1" applyNumberFormat="1" applyFont="1"/>
    <xf numFmtId="0" fontId="3" fillId="5" borderId="3" xfId="0" applyFont="1" applyFill="1" applyBorder="1" applyAlignment="1">
      <alignment horizontal="right"/>
    </xf>
    <xf numFmtId="0" fontId="3" fillId="0" borderId="9" xfId="0" applyFont="1" applyBorder="1"/>
    <xf numFmtId="0" fontId="3" fillId="0" borderId="16" xfId="0" applyFont="1" applyBorder="1"/>
    <xf numFmtId="168" fontId="3" fillId="0" borderId="16" xfId="0" applyNumberFormat="1" applyFont="1" applyBorder="1"/>
    <xf numFmtId="168" fontId="3" fillId="0" borderId="10" xfId="0" applyNumberFormat="1" applyFont="1" applyBorder="1"/>
    <xf numFmtId="0" fontId="3" fillId="0" borderId="11" xfId="0" applyFont="1" applyBorder="1"/>
    <xf numFmtId="166" fontId="3" fillId="0" borderId="0" xfId="0" applyNumberFormat="1" applyFont="1" applyAlignment="1">
      <alignment horizontal="right"/>
    </xf>
    <xf numFmtId="14" fontId="9" fillId="0" borderId="0" xfId="0" applyNumberFormat="1" applyFont="1"/>
    <xf numFmtId="0" fontId="8" fillId="2" borderId="0" xfId="3" applyFont="1"/>
    <xf numFmtId="0" fontId="6" fillId="3" borderId="0" xfId="4" applyFont="1"/>
    <xf numFmtId="0" fontId="3" fillId="0" borderId="7" xfId="0" applyFont="1" applyBorder="1"/>
    <xf numFmtId="166" fontId="3" fillId="0" borderId="7" xfId="0" applyNumberFormat="1" applyFont="1" applyBorder="1"/>
    <xf numFmtId="166" fontId="3" fillId="0" borderId="3" xfId="0" applyNumberFormat="1" applyFont="1" applyBorder="1"/>
    <xf numFmtId="166" fontId="9" fillId="0" borderId="9" xfId="0" applyNumberFormat="1" applyFont="1" applyBorder="1"/>
    <xf numFmtId="164" fontId="6" fillId="3" borderId="0" xfId="4" applyNumberFormat="1" applyFont="1"/>
    <xf numFmtId="164" fontId="6" fillId="3" borderId="3" xfId="4" applyNumberFormat="1" applyFont="1" applyBorder="1"/>
    <xf numFmtId="166" fontId="11" fillId="0" borderId="7" xfId="0" applyNumberFormat="1" applyFont="1" applyBorder="1"/>
    <xf numFmtId="166" fontId="11" fillId="0" borderId="15" xfId="0" applyNumberFormat="1" applyFont="1" applyBorder="1"/>
    <xf numFmtId="10" fontId="3" fillId="0" borderId="0" xfId="2" applyNumberFormat="1" applyFont="1"/>
    <xf numFmtId="10" fontId="3" fillId="0" borderId="3" xfId="2" applyNumberFormat="1" applyFont="1" applyBorder="1"/>
    <xf numFmtId="0" fontId="0" fillId="0" borderId="18" xfId="0" applyBorder="1"/>
    <xf numFmtId="0" fontId="36" fillId="0" borderId="19" xfId="0" applyFont="1" applyBorder="1" applyAlignment="1">
      <alignment horizontal="center"/>
    </xf>
    <xf numFmtId="0" fontId="36" fillId="0" borderId="19" xfId="0" applyFont="1" applyBorder="1" applyAlignment="1">
      <alignment horizontal="centerContinuous"/>
    </xf>
    <xf numFmtId="0" fontId="36" fillId="0" borderId="0" xfId="0" applyFont="1" applyAlignment="1">
      <alignment horizontal="center"/>
    </xf>
    <xf numFmtId="10" fontId="3" fillId="0" borderId="0" xfId="2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9" fillId="0" borderId="1" xfId="0" applyNumberFormat="1" applyFont="1" applyBorder="1"/>
    <xf numFmtId="166" fontId="3" fillId="0" borderId="1" xfId="0" applyNumberFormat="1" applyFont="1" applyBorder="1" applyAlignment="1">
      <alignment horizontal="right"/>
    </xf>
    <xf numFmtId="10" fontId="3" fillId="0" borderId="0" xfId="2" applyNumberFormat="1" applyFont="1" applyBorder="1"/>
    <xf numFmtId="0" fontId="3" fillId="0" borderId="0" xfId="2" applyNumberFormat="1" applyFont="1"/>
    <xf numFmtId="0" fontId="15" fillId="0" borderId="19" xfId="0" applyFont="1" applyBorder="1" applyAlignment="1">
      <alignment horizontal="centerContinuous"/>
    </xf>
    <xf numFmtId="0" fontId="3" fillId="0" borderId="18" xfId="0" applyFont="1" applyBorder="1"/>
    <xf numFmtId="0" fontId="15" fillId="0" borderId="0" xfId="0" applyFont="1" applyAlignment="1">
      <alignment horizontal="center"/>
    </xf>
    <xf numFmtId="0" fontId="15" fillId="0" borderId="19" xfId="0" applyFont="1" applyBorder="1" applyAlignment="1">
      <alignment horizontal="center"/>
    </xf>
    <xf numFmtId="10" fontId="9" fillId="0" borderId="1" xfId="0" applyNumberFormat="1" applyFont="1" applyBorder="1" applyAlignment="1">
      <alignment horizontal="right"/>
    </xf>
    <xf numFmtId="10" fontId="9" fillId="0" borderId="1" xfId="2" applyNumberFormat="1" applyFont="1" applyBorder="1"/>
    <xf numFmtId="0" fontId="9" fillId="0" borderId="1" xfId="0" applyFont="1" applyBorder="1"/>
    <xf numFmtId="0" fontId="2" fillId="0" borderId="0" xfId="7"/>
    <xf numFmtId="169" fontId="2" fillId="0" borderId="0" xfId="7" applyNumberFormat="1"/>
    <xf numFmtId="0" fontId="8" fillId="8" borderId="0" xfId="7" applyFont="1" applyFill="1"/>
    <xf numFmtId="0" fontId="38" fillId="8" borderId="0" xfId="7" applyFont="1" applyFill="1"/>
    <xf numFmtId="0" fontId="2" fillId="9" borderId="0" xfId="7" applyFill="1"/>
    <xf numFmtId="164" fontId="2" fillId="9" borderId="0" xfId="7" applyNumberFormat="1" applyFill="1"/>
    <xf numFmtId="165" fontId="2" fillId="9" borderId="0" xfId="7" applyNumberFormat="1" applyFill="1"/>
    <xf numFmtId="0" fontId="9" fillId="0" borderId="11" xfId="7" applyFont="1" applyBorder="1"/>
    <xf numFmtId="168" fontId="17" fillId="0" borderId="3" xfId="8" applyNumberFormat="1" applyFont="1" applyFill="1" applyBorder="1"/>
    <xf numFmtId="0" fontId="2" fillId="0" borderId="3" xfId="7" applyBorder="1"/>
    <xf numFmtId="167" fontId="0" fillId="0" borderId="3" xfId="9" applyNumberFormat="1" applyFont="1" applyFill="1" applyBorder="1"/>
    <xf numFmtId="0" fontId="9" fillId="0" borderId="0" xfId="7" applyFont="1"/>
    <xf numFmtId="166" fontId="22" fillId="0" borderId="0" xfId="7" applyNumberFormat="1" applyFont="1"/>
    <xf numFmtId="0" fontId="2" fillId="0" borderId="1" xfId="7" applyBorder="1" applyAlignment="1">
      <alignment horizontal="left" indent="1"/>
    </xf>
    <xf numFmtId="0" fontId="2" fillId="0" borderId="1" xfId="7" applyBorder="1"/>
    <xf numFmtId="166" fontId="21" fillId="0" borderId="1" xfId="8" applyNumberFormat="1" applyFont="1" applyBorder="1"/>
    <xf numFmtId="166" fontId="21" fillId="0" borderId="0" xfId="7" applyNumberFormat="1" applyFont="1"/>
    <xf numFmtId="10" fontId="17" fillId="0" borderId="3" xfId="9" applyNumberFormat="1" applyFont="1" applyFill="1" applyBorder="1"/>
    <xf numFmtId="0" fontId="2" fillId="0" borderId="0" xfId="7" applyAlignment="1">
      <alignment horizontal="left" indent="1"/>
    </xf>
    <xf numFmtId="166" fontId="21" fillId="0" borderId="0" xfId="8" applyNumberFormat="1" applyFont="1"/>
    <xf numFmtId="167" fontId="21" fillId="0" borderId="3" xfId="7" applyNumberFormat="1" applyFont="1" applyBorder="1"/>
    <xf numFmtId="0" fontId="9" fillId="0" borderId="2" xfId="7" applyFont="1" applyBorder="1"/>
    <xf numFmtId="0" fontId="2" fillId="0" borderId="2" xfId="7" applyBorder="1"/>
    <xf numFmtId="166" fontId="22" fillId="0" borderId="2" xfId="7" applyNumberFormat="1" applyFont="1" applyBorder="1"/>
    <xf numFmtId="10" fontId="2" fillId="0" borderId="3" xfId="7" applyNumberFormat="1" applyBorder="1"/>
    <xf numFmtId="167" fontId="21" fillId="0" borderId="0" xfId="9" applyNumberFormat="1" applyFont="1"/>
    <xf numFmtId="0" fontId="17" fillId="0" borderId="3" xfId="7" applyFont="1" applyBorder="1"/>
    <xf numFmtId="10" fontId="17" fillId="0" borderId="3" xfId="7" applyNumberFormat="1" applyFont="1" applyBorder="1"/>
    <xf numFmtId="166" fontId="9" fillId="0" borderId="0" xfId="8" applyNumberFormat="1" applyFont="1"/>
    <xf numFmtId="0" fontId="15" fillId="0" borderId="0" xfId="7" applyFont="1" applyAlignment="1">
      <alignment horizontal="left" indent="1"/>
    </xf>
    <xf numFmtId="166" fontId="15" fillId="0" borderId="0" xfId="8" applyNumberFormat="1" applyFont="1"/>
    <xf numFmtId="166" fontId="2" fillId="0" borderId="0" xfId="7" applyNumberFormat="1"/>
    <xf numFmtId="166" fontId="2" fillId="0" borderId="3" xfId="7" applyNumberFormat="1" applyBorder="1"/>
    <xf numFmtId="0" fontId="2" fillId="0" borderId="11" xfId="7" applyBorder="1"/>
    <xf numFmtId="0" fontId="40" fillId="0" borderId="0" xfId="7" applyFont="1" applyAlignment="1">
      <alignment horizontal="left"/>
    </xf>
    <xf numFmtId="0" fontId="9" fillId="9" borderId="12" xfId="7" applyFont="1" applyFill="1" applyBorder="1"/>
    <xf numFmtId="0" fontId="9" fillId="9" borderId="1" xfId="7" applyFont="1" applyFill="1" applyBorder="1"/>
    <xf numFmtId="10" fontId="9" fillId="9" borderId="5" xfId="7" applyNumberFormat="1" applyFont="1" applyFill="1" applyBorder="1"/>
    <xf numFmtId="0" fontId="41" fillId="0" borderId="0" xfId="7" applyFont="1" applyAlignment="1">
      <alignment horizontal="left"/>
    </xf>
    <xf numFmtId="0" fontId="41" fillId="0" borderId="1" xfId="7" applyFont="1" applyBorder="1" applyAlignment="1">
      <alignment horizontal="left"/>
    </xf>
    <xf numFmtId="0" fontId="9" fillId="0" borderId="0" xfId="7" applyFont="1" applyAlignment="1">
      <alignment horizontal="left"/>
    </xf>
    <xf numFmtId="166" fontId="9" fillId="0" borderId="0" xfId="7" applyNumberFormat="1" applyFont="1"/>
    <xf numFmtId="0" fontId="9" fillId="10" borderId="11" xfId="7" applyFont="1" applyFill="1" applyBorder="1"/>
    <xf numFmtId="0" fontId="2" fillId="10" borderId="0" xfId="7" applyFill="1"/>
    <xf numFmtId="168" fontId="0" fillId="0" borderId="3" xfId="8" applyNumberFormat="1" applyFont="1" applyBorder="1"/>
    <xf numFmtId="0" fontId="41" fillId="11" borderId="0" xfId="7" applyFont="1" applyFill="1" applyAlignment="1">
      <alignment horizontal="left" indent="1"/>
    </xf>
    <xf numFmtId="0" fontId="41" fillId="11" borderId="0" xfId="7" applyFont="1" applyFill="1"/>
    <xf numFmtId="166" fontId="21" fillId="11" borderId="0" xfId="7" applyNumberFormat="1" applyFont="1" applyFill="1"/>
    <xf numFmtId="167" fontId="21" fillId="0" borderId="3" xfId="9" applyNumberFormat="1" applyFont="1" applyBorder="1"/>
    <xf numFmtId="0" fontId="42" fillId="0" borderId="2" xfId="7" applyFont="1" applyBorder="1" applyAlignment="1">
      <alignment horizontal="left"/>
    </xf>
    <xf numFmtId="166" fontId="9" fillId="0" borderId="2" xfId="7" applyNumberFormat="1" applyFont="1" applyBorder="1"/>
    <xf numFmtId="168" fontId="9" fillId="0" borderId="0" xfId="7" applyNumberFormat="1" applyFont="1"/>
    <xf numFmtId="168" fontId="21" fillId="0" borderId="3" xfId="8" applyNumberFormat="1" applyFont="1" applyBorder="1"/>
    <xf numFmtId="43" fontId="2" fillId="0" borderId="0" xfId="7" applyNumberFormat="1"/>
    <xf numFmtId="0" fontId="9" fillId="0" borderId="4" xfId="7" applyFont="1" applyBorder="1" applyAlignment="1">
      <alignment horizontal="center"/>
    </xf>
    <xf numFmtId="10" fontId="0" fillId="0" borderId="0" xfId="9" applyNumberFormat="1" applyFont="1"/>
    <xf numFmtId="166" fontId="21" fillId="0" borderId="3" xfId="8" applyNumberFormat="1" applyFont="1" applyBorder="1"/>
    <xf numFmtId="43" fontId="2" fillId="0" borderId="4" xfId="7" applyNumberFormat="1" applyBorder="1"/>
    <xf numFmtId="0" fontId="2" fillId="9" borderId="1" xfId="7" applyFill="1" applyBorder="1"/>
    <xf numFmtId="43" fontId="0" fillId="9" borderId="5" xfId="8" applyFont="1" applyFill="1" applyBorder="1"/>
    <xf numFmtId="0" fontId="18" fillId="0" borderId="4" xfId="0" applyFont="1" applyBorder="1" applyAlignment="1">
      <alignment horizontal="left"/>
    </xf>
    <xf numFmtId="14" fontId="18" fillId="0" borderId="4" xfId="0" applyNumberFormat="1" applyFont="1" applyBorder="1" applyAlignment="1">
      <alignment horizontal="left"/>
    </xf>
    <xf numFmtId="0" fontId="19" fillId="2" borderId="0" xfId="3" applyFont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14" fontId="9" fillId="0" borderId="12" xfId="0" applyNumberFormat="1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8" fillId="2" borderId="0" xfId="3" applyFont="1" applyAlignment="1">
      <alignment horizontal="left"/>
    </xf>
    <xf numFmtId="0" fontId="23" fillId="0" borderId="13" xfId="0" applyFont="1" applyBorder="1" applyAlignment="1">
      <alignment horizontal="left"/>
    </xf>
    <xf numFmtId="0" fontId="23" fillId="0" borderId="14" xfId="0" applyFont="1" applyBorder="1" applyAlignment="1">
      <alignment horizontal="left"/>
    </xf>
    <xf numFmtId="14" fontId="23" fillId="0" borderId="13" xfId="0" applyNumberFormat="1" applyFont="1" applyBorder="1" applyAlignment="1">
      <alignment horizontal="left"/>
    </xf>
    <xf numFmtId="0" fontId="21" fillId="0" borderId="13" xfId="0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14" fontId="21" fillId="0" borderId="13" xfId="0" applyNumberFormat="1" applyFont="1" applyBorder="1" applyAlignment="1">
      <alignment horizontal="left"/>
    </xf>
    <xf numFmtId="14" fontId="21" fillId="0" borderId="14" xfId="0" applyNumberFormat="1" applyFont="1" applyBorder="1" applyAlignment="1">
      <alignment horizontal="left"/>
    </xf>
    <xf numFmtId="166" fontId="0" fillId="5" borderId="0" xfId="0" applyNumberFormat="1" applyFill="1" applyAlignment="1">
      <alignment horizontal="center" vertical="center"/>
    </xf>
    <xf numFmtId="166" fontId="0" fillId="5" borderId="3" xfId="0" applyNumberForma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1" fillId="0" borderId="13" xfId="5" applyFont="1" applyBorder="1" applyAlignment="1">
      <alignment horizontal="left"/>
    </xf>
    <xf numFmtId="0" fontId="21" fillId="0" borderId="14" xfId="5" applyFont="1" applyBorder="1" applyAlignment="1">
      <alignment horizontal="left"/>
    </xf>
    <xf numFmtId="14" fontId="21" fillId="0" borderId="13" xfId="5" applyNumberFormat="1" applyFont="1" applyBorder="1" applyAlignment="1">
      <alignment horizontal="left"/>
    </xf>
    <xf numFmtId="0" fontId="3" fillId="6" borderId="0" xfId="5" applyFill="1" applyAlignment="1">
      <alignment horizontal="center" vertical="center"/>
    </xf>
    <xf numFmtId="0" fontId="3" fillId="6" borderId="3" xfId="5" applyFill="1" applyBorder="1" applyAlignment="1">
      <alignment horizontal="center" vertical="center"/>
    </xf>
    <xf numFmtId="0" fontId="3" fillId="6" borderId="1" xfId="5" applyFill="1" applyBorder="1" applyAlignment="1">
      <alignment horizontal="center" vertical="center"/>
    </xf>
    <xf numFmtId="0" fontId="3" fillId="6" borderId="5" xfId="5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9" fillId="0" borderId="13" xfId="7" applyFont="1" applyBorder="1" applyAlignment="1">
      <alignment horizontal="left"/>
    </xf>
    <xf numFmtId="0" fontId="39" fillId="0" borderId="14" xfId="7" applyFont="1" applyBorder="1" applyAlignment="1">
      <alignment horizontal="left"/>
    </xf>
    <xf numFmtId="14" fontId="39" fillId="0" borderId="13" xfId="7" applyNumberFormat="1" applyFont="1" applyBorder="1" applyAlignment="1">
      <alignment horizontal="left"/>
    </xf>
    <xf numFmtId="0" fontId="37" fillId="8" borderId="9" xfId="7" applyFont="1" applyFill="1" applyBorder="1" applyAlignment="1">
      <alignment horizontal="left"/>
    </xf>
    <xf numFmtId="0" fontId="37" fillId="8" borderId="16" xfId="7" applyFont="1" applyFill="1" applyBorder="1" applyAlignment="1">
      <alignment horizontal="left"/>
    </xf>
    <xf numFmtId="0" fontId="37" fillId="8" borderId="10" xfId="7" applyFont="1" applyFill="1" applyBorder="1" applyAlignment="1">
      <alignment horizontal="left"/>
    </xf>
    <xf numFmtId="166" fontId="1" fillId="0" borderId="0" xfId="0" applyNumberFormat="1" applyFont="1"/>
    <xf numFmtId="0" fontId="3" fillId="0" borderId="0" xfId="0" applyNumberFormat="1" applyFont="1"/>
    <xf numFmtId="0" fontId="3" fillId="0" borderId="1" xfId="0" applyNumberFormat="1" applyFont="1" applyBorder="1"/>
  </cellXfs>
  <cellStyles count="10">
    <cellStyle name="20% - Accent2" xfId="4" builtinId="34"/>
    <cellStyle name="Accent2" xfId="3" builtinId="33"/>
    <cellStyle name="Comma" xfId="1" builtinId="3"/>
    <cellStyle name="Comma 2" xfId="6" xr:uid="{978C967F-2E84-9441-AD74-2B1A79298134}"/>
    <cellStyle name="Comma 3" xfId="8" xr:uid="{389E407A-EB55-184A-9D90-C6E17DFC3D32}"/>
    <cellStyle name="Normal" xfId="0" builtinId="0"/>
    <cellStyle name="Normal 2" xfId="5" xr:uid="{AAF465E5-5A0C-6540-9EF9-7ECAFB5C2A5A}"/>
    <cellStyle name="Normal 3" xfId="7" xr:uid="{898AA49F-BDE2-744B-B148-550015C2517E}"/>
    <cellStyle name="Percent" xfId="2" builtinId="5"/>
    <cellStyle name="Percent 2" xfId="9" xr:uid="{5AEB7A1F-CE75-3F46-AE90-38997FA77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_phana/Downloads/Lecture%203-2%20HD%20FYE%2001312024%20DCF%20COMPLETE%20SP25%20(1).xlsx" TargetMode="External"/><Relationship Id="rId1" Type="http://schemas.openxmlformats.org/officeDocument/2006/relationships/externalLinkPath" Target="/Users/h_phana/Downloads/Lecture%203-2%20HD%20FYE%2001312024%20DCF%20COMPLETE%20SP2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come_Statement"/>
      <sheetName val="Balance_Sheet"/>
      <sheetName val="Cash_Flows"/>
      <sheetName val="NWC"/>
      <sheetName val="Fixed_Asset_Schedule"/>
      <sheetName val="Equity"/>
      <sheetName val="#Shares"/>
      <sheetName val="Debt&amp;Interest"/>
      <sheetName val="DCF"/>
    </sheetNames>
    <sheetDataSet>
      <sheetData sheetId="0">
        <row r="1">
          <cell r="D1" t="str">
            <v>Home Depot, Inc.</v>
          </cell>
        </row>
        <row r="2">
          <cell r="D2" t="str">
            <v>HD</v>
          </cell>
        </row>
        <row r="3">
          <cell r="D3">
            <v>45322</v>
          </cell>
        </row>
      </sheetData>
      <sheetData sheetId="1"/>
      <sheetData sheetId="2"/>
      <sheetData sheetId="3"/>
      <sheetData sheetId="4"/>
      <sheetData sheetId="5">
        <row r="20">
          <cell r="H20">
            <v>9.9919086615901112</v>
          </cell>
          <cell r="I20">
            <v>9.631822962488048</v>
          </cell>
          <cell r="J20">
            <v>9.2261459170188047</v>
          </cell>
          <cell r="K20">
            <v>8.7765604010182052</v>
          </cell>
          <cell r="L20">
            <v>8.2875849110821598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7D4C-8AEF-4E2F-9C49-F83BB97ABEBB}">
  <dimension ref="A1:N37"/>
  <sheetViews>
    <sheetView showGridLines="0" tabSelected="1" topLeftCell="A2" workbookViewId="0">
      <selection activeCell="L23" sqref="L23"/>
    </sheetView>
  </sheetViews>
  <sheetFormatPr baseColWidth="10" defaultColWidth="8.83203125" defaultRowHeight="16" x14ac:dyDescent="0.2"/>
  <cols>
    <col min="1" max="1" width="3.83203125" style="13" customWidth="1"/>
    <col min="2" max="2" width="35" style="13" bestFit="1" customWidth="1"/>
    <col min="3" max="4" width="8.83203125" style="13"/>
    <col min="5" max="12" width="11.33203125" style="13" customWidth="1"/>
    <col min="13" max="13" width="8.83203125" style="13"/>
    <col min="14" max="14" width="13.5" style="13" bestFit="1" customWidth="1"/>
    <col min="15" max="16384" width="8.83203125" style="13"/>
  </cols>
  <sheetData>
    <row r="1" spans="1:14" x14ac:dyDescent="0.2">
      <c r="A1" s="46" t="s">
        <v>0</v>
      </c>
      <c r="B1" s="46"/>
      <c r="D1" s="313" t="s">
        <v>4</v>
      </c>
      <c r="E1" s="313"/>
    </row>
    <row r="2" spans="1:14" x14ac:dyDescent="0.2">
      <c r="A2" s="46" t="s">
        <v>3</v>
      </c>
      <c r="B2" s="46"/>
      <c r="D2" s="316" t="s">
        <v>5</v>
      </c>
      <c r="E2" s="317"/>
    </row>
    <row r="3" spans="1:14" x14ac:dyDescent="0.2">
      <c r="A3" s="46" t="s">
        <v>2</v>
      </c>
      <c r="B3" s="46"/>
      <c r="D3" s="314">
        <v>45688</v>
      </c>
      <c r="E3" s="313"/>
    </row>
    <row r="5" spans="1:14" ht="19.75" customHeight="1" x14ac:dyDescent="0.3">
      <c r="B5" s="315" t="str">
        <f>"Income Statement for "&amp;D1&amp;"  (all $ values in millions of USD except per share values)"</f>
        <v>Income Statement for Target Corporation  (all $ values in millions of USD except per share values)</v>
      </c>
      <c r="C5" s="315"/>
      <c r="D5" s="315"/>
      <c r="E5" s="315"/>
      <c r="F5" s="315"/>
      <c r="G5" s="315"/>
      <c r="H5" s="315"/>
      <c r="I5" s="315"/>
      <c r="J5" s="315"/>
      <c r="K5" s="315"/>
      <c r="L5" s="315"/>
      <c r="N5" s="47" t="str">
        <f>TEXT(G6,"yyyy")&amp;" - "&amp;TEXT(L6,"yyyy")</f>
        <v>2025 - 2030</v>
      </c>
    </row>
    <row r="6" spans="1:14" x14ac:dyDescent="0.2">
      <c r="B6" s="10" t="str">
        <f>"Fiscal Year Ending "&amp;TEXT(D3,"mmmm dd,")</f>
        <v>Fiscal Year Ending January 31,</v>
      </c>
      <c r="C6" s="10"/>
      <c r="D6" s="10"/>
      <c r="E6" s="11">
        <f>EDATE(F6,-12)</f>
        <v>44957</v>
      </c>
      <c r="F6" s="11">
        <f>EDATE(G6,-12)</f>
        <v>45322</v>
      </c>
      <c r="G6" s="11">
        <f>D3</f>
        <v>45688</v>
      </c>
      <c r="H6" s="12">
        <f>EDATE(G6,12)</f>
        <v>46053</v>
      </c>
      <c r="I6" s="12">
        <f t="shared" ref="I6:L6" si="0">EDATE(H6,12)</f>
        <v>46418</v>
      </c>
      <c r="J6" s="12">
        <f t="shared" si="0"/>
        <v>46783</v>
      </c>
      <c r="K6" s="12">
        <f t="shared" si="0"/>
        <v>47149</v>
      </c>
      <c r="L6" s="12">
        <f t="shared" si="0"/>
        <v>47514</v>
      </c>
      <c r="N6" s="47" t="s">
        <v>22</v>
      </c>
    </row>
    <row r="7" spans="1:14" x14ac:dyDescent="0.2">
      <c r="G7" s="14"/>
    </row>
    <row r="8" spans="1:14" x14ac:dyDescent="0.2">
      <c r="B8" s="15" t="s">
        <v>6</v>
      </c>
      <c r="E8" s="16">
        <v>109120</v>
      </c>
      <c r="F8" s="16">
        <v>107412</v>
      </c>
      <c r="G8" s="17">
        <v>106566</v>
      </c>
      <c r="H8" s="18">
        <f>G8*(1+H33)</f>
        <v>105500.34</v>
      </c>
      <c r="I8" s="18">
        <f>H8*(1+I33)</f>
        <v>105183.83898</v>
      </c>
      <c r="J8" s="18">
        <f t="shared" ref="J8:L8" si="1">I8*(1+J33)</f>
        <v>105604.57433592</v>
      </c>
      <c r="K8" s="18">
        <f t="shared" si="1"/>
        <v>106766.22465361511</v>
      </c>
      <c r="L8" s="18">
        <f t="shared" si="1"/>
        <v>108688.01669738018</v>
      </c>
      <c r="N8" s="48">
        <f>RATE(YEAR($L$6)-YEAR($G$6),0,-G8,L8)</f>
        <v>3.9511923719001531E-3</v>
      </c>
    </row>
    <row r="9" spans="1:14" x14ac:dyDescent="0.2">
      <c r="B9" s="19" t="s">
        <v>7</v>
      </c>
      <c r="C9" s="22"/>
      <c r="D9" s="22"/>
      <c r="E9" s="24">
        <v>-82306</v>
      </c>
      <c r="F9" s="24">
        <v>-77828</v>
      </c>
      <c r="G9" s="25">
        <v>-76502</v>
      </c>
      <c r="H9" s="151">
        <f>(1-H34)*-H8</f>
        <v>-78597.753299999997</v>
      </c>
      <c r="I9" s="151">
        <f t="shared" ref="I9:L9" si="2">(1-I34)*-I8</f>
        <v>-77836.040845199997</v>
      </c>
      <c r="J9" s="151">
        <f t="shared" si="2"/>
        <v>-77619.362136901196</v>
      </c>
      <c r="K9" s="151">
        <f t="shared" si="2"/>
        <v>-77939.343997139033</v>
      </c>
      <c r="L9" s="151">
        <f t="shared" si="2"/>
        <v>-78798.812105600635</v>
      </c>
      <c r="N9" s="49"/>
    </row>
    <row r="10" spans="1:14" x14ac:dyDescent="0.2">
      <c r="B10" s="3" t="s">
        <v>8</v>
      </c>
      <c r="E10" s="20">
        <f>E8+E9</f>
        <v>26814</v>
      </c>
      <c r="F10" s="20">
        <f t="shared" ref="F10:G10" si="3">F8+F9</f>
        <v>29584</v>
      </c>
      <c r="G10" s="180">
        <f t="shared" si="3"/>
        <v>30064</v>
      </c>
      <c r="H10" s="228">
        <f>SUM(H8:H9)</f>
        <v>26902.5867</v>
      </c>
      <c r="I10" s="173">
        <f t="shared" ref="I10:L10" si="4">SUM(I8:I9)</f>
        <v>27347.798134800003</v>
      </c>
      <c r="J10" s="173">
        <f t="shared" si="4"/>
        <v>27985.212199018802</v>
      </c>
      <c r="K10" s="173">
        <f t="shared" si="4"/>
        <v>28826.880656476074</v>
      </c>
      <c r="L10" s="173">
        <f t="shared" si="4"/>
        <v>29889.204591779548</v>
      </c>
      <c r="N10" s="48">
        <f>RATE(YEAR($L$6)-YEAR($G$6),0,-G10,L10)</f>
        <v>-1.1655358170898856E-3</v>
      </c>
    </row>
    <row r="11" spans="1:14" x14ac:dyDescent="0.2">
      <c r="E11" s="18"/>
      <c r="F11" s="18"/>
      <c r="G11" s="21"/>
      <c r="H11" s="18"/>
      <c r="I11" s="18"/>
      <c r="J11" s="18"/>
      <c r="K11" s="18"/>
      <c r="L11" s="18"/>
      <c r="N11" s="49"/>
    </row>
    <row r="12" spans="1:14" x14ac:dyDescent="0.2">
      <c r="B12" s="19" t="s">
        <v>9</v>
      </c>
      <c r="C12" s="22"/>
      <c r="D12" s="22"/>
      <c r="E12" s="24">
        <v>-20581</v>
      </c>
      <c r="F12" s="24">
        <v>-21462</v>
      </c>
      <c r="G12" s="24">
        <v>-21969</v>
      </c>
      <c r="H12" s="179">
        <f>H8*-H35</f>
        <v>-20045.064599999998</v>
      </c>
      <c r="I12" s="66">
        <f t="shared" ref="I12:L12" si="5">I8*-I35</f>
        <v>-20195.29708416</v>
      </c>
      <c r="J12" s="66">
        <f t="shared" si="5"/>
        <v>-20487.287421168479</v>
      </c>
      <c r="K12" s="66">
        <f t="shared" si="5"/>
        <v>-20926.180032108561</v>
      </c>
      <c r="L12" s="66">
        <f t="shared" si="5"/>
        <v>-21520.227306081277</v>
      </c>
      <c r="N12" s="49"/>
    </row>
    <row r="13" spans="1:14" x14ac:dyDescent="0.2">
      <c r="B13" s="3" t="s">
        <v>10</v>
      </c>
      <c r="E13" s="20">
        <f>SUM(E10+E12)</f>
        <v>6233</v>
      </c>
      <c r="F13" s="20">
        <f t="shared" ref="F13:G13" si="6">SUM(F10+F12)</f>
        <v>8122</v>
      </c>
      <c r="G13" s="23">
        <f t="shared" si="6"/>
        <v>8095</v>
      </c>
      <c r="H13" s="20">
        <f>H10+H12</f>
        <v>6857.522100000002</v>
      </c>
      <c r="I13" s="20">
        <f t="shared" ref="I13:L13" si="7">I10+I12</f>
        <v>7152.5010506400031</v>
      </c>
      <c r="J13" s="20">
        <f t="shared" si="7"/>
        <v>7497.9247778503232</v>
      </c>
      <c r="K13" s="20">
        <f t="shared" si="7"/>
        <v>7900.7006243675132</v>
      </c>
      <c r="L13" s="20">
        <f t="shared" si="7"/>
        <v>8368.9772856982709</v>
      </c>
      <c r="N13" s="48">
        <f>RATE(YEAR($L$6)-YEAR($G$6),0,-G13,L13)</f>
        <v>6.6792275741813061E-3</v>
      </c>
    </row>
    <row r="14" spans="1:14" x14ac:dyDescent="0.2">
      <c r="E14" s="18"/>
      <c r="F14" s="18"/>
      <c r="G14" s="21"/>
      <c r="H14" s="18"/>
      <c r="I14" s="18"/>
      <c r="J14" s="18"/>
      <c r="K14" s="18"/>
      <c r="L14" s="18"/>
      <c r="N14" s="49"/>
    </row>
    <row r="15" spans="1:14" x14ac:dyDescent="0.2">
      <c r="B15" s="19" t="s">
        <v>11</v>
      </c>
      <c r="C15" s="22"/>
      <c r="D15" s="22"/>
      <c r="E15" s="24">
        <v>-2385</v>
      </c>
      <c r="F15" s="24">
        <v>-2415</v>
      </c>
      <c r="G15" s="25">
        <v>-2529</v>
      </c>
      <c r="H15" s="179">
        <f>-Fixed_Asset_Schedule!H13</f>
        <v>-2648.52</v>
      </c>
      <c r="I15" s="66">
        <f>-Fixed_Asset_Schedule!I13</f>
        <v>-2776.8595881600004</v>
      </c>
      <c r="J15" s="66">
        <f>-Fixed_Asset_Schedule!J13</f>
        <v>-2887.4283904814406</v>
      </c>
      <c r="K15" s="66">
        <f>-Fixed_Asset_Schedule!K13</f>
        <v>-2983.6747204542262</v>
      </c>
      <c r="L15" s="66">
        <f>-Fixed_Asset_Schedule!L13</f>
        <v>-3068.6496994088729</v>
      </c>
      <c r="N15" s="49"/>
    </row>
    <row r="16" spans="1:14" x14ac:dyDescent="0.2">
      <c r="B16" s="3" t="s">
        <v>12</v>
      </c>
      <c r="E16" s="20">
        <f>SUM(E13+E15)</f>
        <v>3848</v>
      </c>
      <c r="F16" s="20">
        <f t="shared" ref="F16:G16" si="8">SUM(F13+F15)</f>
        <v>5707</v>
      </c>
      <c r="G16" s="23">
        <f t="shared" si="8"/>
        <v>5566</v>
      </c>
      <c r="H16" s="20">
        <f>H13+H15</f>
        <v>4209.0021000000015</v>
      </c>
      <c r="I16" s="20">
        <f t="shared" ref="I16:L16" si="9">I13+I15</f>
        <v>4375.6414624800027</v>
      </c>
      <c r="J16" s="20">
        <f t="shared" si="9"/>
        <v>4610.496387368883</v>
      </c>
      <c r="K16" s="20">
        <f t="shared" si="9"/>
        <v>4917.025903913287</v>
      </c>
      <c r="L16" s="20">
        <f t="shared" si="9"/>
        <v>5300.3275862893979</v>
      </c>
      <c r="N16" s="48">
        <f>RATE(YEAR($L$6)-YEAR($G$6),0,-G16,L16)</f>
        <v>-9.7339228282738218E-3</v>
      </c>
    </row>
    <row r="17" spans="2:14" x14ac:dyDescent="0.2">
      <c r="E17" s="18"/>
      <c r="F17" s="18"/>
      <c r="G17" s="21"/>
      <c r="H17" s="18"/>
      <c r="I17" s="18"/>
      <c r="J17" s="18"/>
      <c r="K17" s="18"/>
      <c r="L17" s="18"/>
      <c r="N17" s="49"/>
    </row>
    <row r="18" spans="2:14" x14ac:dyDescent="0.2">
      <c r="B18" s="15" t="s">
        <v>13</v>
      </c>
      <c r="E18" s="16">
        <v>-478</v>
      </c>
      <c r="F18" s="16">
        <v>-502</v>
      </c>
      <c r="G18" s="17">
        <v>-411</v>
      </c>
      <c r="H18" s="18">
        <f ca="1">-H20*H37</f>
        <v>-800.90323360323907</v>
      </c>
      <c r="I18" s="18">
        <f t="shared" ref="I18:L18" ca="1" si="10">-I20*I37</f>
        <v>-803.68924821061262</v>
      </c>
      <c r="J18" s="18">
        <f t="shared" ca="1" si="10"/>
        <v>-815.84915496651013</v>
      </c>
      <c r="K18" s="18">
        <f t="shared" ca="1" si="10"/>
        <v>-836.50648157860883</v>
      </c>
      <c r="L18" s="18">
        <f t="shared" ca="1" si="10"/>
        <v>-864.90701198864633</v>
      </c>
      <c r="N18" s="49"/>
    </row>
    <row r="19" spans="2:14" x14ac:dyDescent="0.2">
      <c r="B19" s="22" t="s">
        <v>14</v>
      </c>
      <c r="C19" s="22"/>
      <c r="D19" s="22"/>
      <c r="E19" s="24">
        <f>48</f>
        <v>48</v>
      </c>
      <c r="F19" s="24">
        <v>92</v>
      </c>
      <c r="G19" s="24">
        <v>106</v>
      </c>
      <c r="H19" s="179">
        <f>H36</f>
        <v>0</v>
      </c>
      <c r="I19" s="66">
        <f t="shared" ref="I19:L19" si="11">I36</f>
        <v>0</v>
      </c>
      <c r="J19" s="66">
        <f t="shared" si="11"/>
        <v>0</v>
      </c>
      <c r="K19" s="66">
        <f t="shared" si="11"/>
        <v>0</v>
      </c>
      <c r="L19" s="66">
        <f t="shared" si="11"/>
        <v>0</v>
      </c>
      <c r="N19" s="49"/>
    </row>
    <row r="20" spans="2:14" x14ac:dyDescent="0.2">
      <c r="B20" s="3" t="s">
        <v>15</v>
      </c>
      <c r="E20" s="20">
        <f>SUM(E16:E19)</f>
        <v>3418</v>
      </c>
      <c r="F20" s="20">
        <f t="shared" ref="F20:G20" si="12">SUM(F16:F19)</f>
        <v>5297</v>
      </c>
      <c r="G20" s="23">
        <f t="shared" si="12"/>
        <v>5261</v>
      </c>
      <c r="H20" s="20">
        <f ca="1">H16+SUM(H18:H19)</f>
        <v>3408.0988663967623</v>
      </c>
      <c r="I20" s="20">
        <f t="shared" ref="I20:L20" ca="1" si="13">I16+SUM(I18:I19)</f>
        <v>3571.95221426939</v>
      </c>
      <c r="J20" s="20">
        <f t="shared" ca="1" si="13"/>
        <v>3794.647232402373</v>
      </c>
      <c r="K20" s="20">
        <f t="shared" ca="1" si="13"/>
        <v>4080.519422334678</v>
      </c>
      <c r="L20" s="20">
        <f t="shared" ca="1" si="13"/>
        <v>4435.4205743007515</v>
      </c>
      <c r="N20" s="48">
        <f ca="1">RATE(YEAR($L$6)-YEAR($G$6),0,-G20,L20)</f>
        <v>-3.356355090696652E-2</v>
      </c>
    </row>
    <row r="21" spans="2:14" x14ac:dyDescent="0.2">
      <c r="E21" s="18"/>
      <c r="F21" s="18"/>
      <c r="G21" s="21"/>
      <c r="H21" s="18"/>
      <c r="I21" s="18"/>
      <c r="J21" s="18"/>
      <c r="K21" s="18"/>
      <c r="L21" s="18"/>
      <c r="N21" s="49"/>
    </row>
    <row r="22" spans="2:14" x14ac:dyDescent="0.2">
      <c r="B22" s="19" t="s">
        <v>16</v>
      </c>
      <c r="C22" s="22"/>
      <c r="D22" s="22"/>
      <c r="E22" s="24">
        <v>-638</v>
      </c>
      <c r="F22" s="24">
        <v>-1159</v>
      </c>
      <c r="G22" s="25">
        <v>-1170</v>
      </c>
      <c r="H22" s="179">
        <f ca="1">-H20*H37</f>
        <v>-800.90323360323907</v>
      </c>
      <c r="I22" s="66">
        <f t="shared" ref="I22:L22" ca="1" si="14">-I20*I37</f>
        <v>-803.68924821061262</v>
      </c>
      <c r="J22" s="66">
        <f t="shared" ca="1" si="14"/>
        <v>-815.84915496651013</v>
      </c>
      <c r="K22" s="66">
        <f t="shared" ca="1" si="14"/>
        <v>-836.50648157860883</v>
      </c>
      <c r="L22" s="66">
        <f t="shared" ca="1" si="14"/>
        <v>-864.90701198864633</v>
      </c>
      <c r="N22" s="49"/>
    </row>
    <row r="23" spans="2:14" ht="17" thickBot="1" x14ac:dyDescent="0.25">
      <c r="B23" s="27" t="s">
        <v>17</v>
      </c>
      <c r="C23" s="28"/>
      <c r="D23" s="28"/>
      <c r="E23" s="29">
        <f>SUM(E20:E22)</f>
        <v>2780</v>
      </c>
      <c r="F23" s="29">
        <f t="shared" ref="F23:G23" si="15">SUM(F20:F22)</f>
        <v>4138</v>
      </c>
      <c r="G23" s="30">
        <f t="shared" si="15"/>
        <v>4091</v>
      </c>
      <c r="H23" s="74">
        <f ca="1">H20+H22</f>
        <v>2607.1956327935231</v>
      </c>
      <c r="I23" s="74">
        <f t="shared" ref="I23:L23" ca="1" si="16">I20+I22</f>
        <v>2768.2629660587772</v>
      </c>
      <c r="J23" s="74">
        <f t="shared" ca="1" si="16"/>
        <v>2978.798077435863</v>
      </c>
      <c r="K23" s="74">
        <f t="shared" ca="1" si="16"/>
        <v>3244.0129407560689</v>
      </c>
      <c r="L23" s="74">
        <f t="shared" ca="1" si="16"/>
        <v>3570.513562312105</v>
      </c>
      <c r="N23" s="48">
        <f ca="1">RATE(YEAR($L$6)-YEAR($G$6),0,-G23,L23)</f>
        <v>-2.6848981509358782E-2</v>
      </c>
    </row>
    <row r="24" spans="2:14" ht="17" thickTop="1" x14ac:dyDescent="0.2">
      <c r="B24" s="15"/>
      <c r="E24" s="18"/>
      <c r="F24" s="18"/>
      <c r="G24" s="21"/>
      <c r="H24" s="18"/>
      <c r="I24" s="18"/>
      <c r="J24" s="18"/>
      <c r="K24" s="18"/>
      <c r="L24" s="18"/>
      <c r="N24" s="49"/>
    </row>
    <row r="25" spans="2:14" x14ac:dyDescent="0.2">
      <c r="B25" s="15" t="s">
        <v>18</v>
      </c>
      <c r="E25" s="16">
        <v>464.7</v>
      </c>
      <c r="F25" s="16">
        <v>462.8</v>
      </c>
      <c r="G25" s="17">
        <v>461.8</v>
      </c>
      <c r="H25" s="18">
        <f>IF($P$25="OFF",G25,'#Shares'!H16)</f>
        <v>456.90404566920495</v>
      </c>
      <c r="I25" s="18">
        <f>IF($P$25="OFF",H25,'#Shares'!I16)</f>
        <v>447.09217985716589</v>
      </c>
      <c r="J25" s="18">
        <f>IF($P$25="OFF",I25,'#Shares'!J16)</f>
        <v>437.66319541741245</v>
      </c>
      <c r="K25" s="18">
        <f>IF($P$25="OFF",J25,'#Shares'!K16)</f>
        <v>428.6618422583939</v>
      </c>
      <c r="L25" s="18">
        <f>IF($P$25="OFF",K25,'#Shares'!L16)</f>
        <v>420.12976960234374</v>
      </c>
      <c r="N25" s="48">
        <f>RATE(YEAR($L$6)-YEAR($G$6),0,-G25,L25)</f>
        <v>-1.8735910855188789E-2</v>
      </c>
    </row>
    <row r="26" spans="2:14" x14ac:dyDescent="0.2">
      <c r="B26" s="15" t="s">
        <v>19</v>
      </c>
      <c r="E26" s="18">
        <f>E23/E25</f>
        <v>5.9823542070152786</v>
      </c>
      <c r="F26" s="18">
        <f t="shared" ref="F26:G26" si="17">F23/F25</f>
        <v>8.9412273120138295</v>
      </c>
      <c r="G26" s="21">
        <f t="shared" si="17"/>
        <v>8.8588133391078383</v>
      </c>
      <c r="H26" s="18">
        <f ca="1">H23/H25</f>
        <v>5.7062213773460719</v>
      </c>
      <c r="I26" s="18">
        <f t="shared" ref="I26:L26" ca="1" si="18">I23/I25</f>
        <v>6.1917051802229333</v>
      </c>
      <c r="J26" s="18">
        <f t="shared" ca="1" si="18"/>
        <v>6.8061425055284674</v>
      </c>
      <c r="K26" s="18">
        <f t="shared" ca="1" si="18"/>
        <v>7.5677669924271074</v>
      </c>
      <c r="L26" s="18">
        <f t="shared" ca="1" si="18"/>
        <v>8.4985969113581863</v>
      </c>
      <c r="N26" s="48">
        <f ca="1">RATE(YEAR($L$6)-YEAR($G$6),0,-G26,L26)</f>
        <v>-8.2679787673199234E-3</v>
      </c>
    </row>
    <row r="27" spans="2:14" x14ac:dyDescent="0.2">
      <c r="B27" s="15" t="s">
        <v>20</v>
      </c>
      <c r="E27" s="16">
        <v>168.12</v>
      </c>
      <c r="F27" s="16">
        <v>140.5</v>
      </c>
      <c r="G27" s="17">
        <v>140.1</v>
      </c>
      <c r="H27" s="18"/>
      <c r="I27" s="18"/>
      <c r="J27" s="18"/>
      <c r="K27" s="18"/>
      <c r="L27" s="18"/>
    </row>
    <row r="28" spans="2:14" x14ac:dyDescent="0.2">
      <c r="B28" s="15" t="s">
        <v>21</v>
      </c>
      <c r="E28" s="18">
        <f>E27/E26</f>
        <v>28.102648920863309</v>
      </c>
      <c r="F28" s="18">
        <f t="shared" ref="F28:G28" si="19">F27/F26</f>
        <v>15.713726437892701</v>
      </c>
      <c r="G28" s="21">
        <f t="shared" si="19"/>
        <v>15.81475922757272</v>
      </c>
      <c r="H28" s="18"/>
      <c r="I28" s="18"/>
      <c r="J28" s="18"/>
      <c r="K28" s="18"/>
      <c r="L28" s="18"/>
    </row>
    <row r="29" spans="2:14" x14ac:dyDescent="0.2">
      <c r="G29" s="14"/>
    </row>
    <row r="30" spans="2:14" x14ac:dyDescent="0.2">
      <c r="G30" s="14"/>
    </row>
    <row r="31" spans="2:14" x14ac:dyDescent="0.2">
      <c r="G31" s="14"/>
    </row>
    <row r="32" spans="2:14" x14ac:dyDescent="0.2">
      <c r="B32" s="51" t="s">
        <v>23</v>
      </c>
      <c r="C32" s="52"/>
      <c r="D32" s="52"/>
      <c r="E32" s="53">
        <f>E6</f>
        <v>44957</v>
      </c>
      <c r="F32" s="53">
        <f>F6</f>
        <v>45322</v>
      </c>
      <c r="G32" s="54">
        <f>G6</f>
        <v>45688</v>
      </c>
      <c r="H32" s="55">
        <f>H6</f>
        <v>46053</v>
      </c>
      <c r="I32" s="55">
        <f t="shared" ref="I32:L32" si="20">I6</f>
        <v>46418</v>
      </c>
      <c r="J32" s="55">
        <f t="shared" si="20"/>
        <v>46783</v>
      </c>
      <c r="K32" s="55">
        <f t="shared" si="20"/>
        <v>47149</v>
      </c>
      <c r="L32" s="55">
        <f t="shared" si="20"/>
        <v>47514</v>
      </c>
      <c r="N32" s="36" t="s">
        <v>24</v>
      </c>
    </row>
    <row r="33" spans="2:14" x14ac:dyDescent="0.2">
      <c r="B33" s="15" t="s">
        <v>25</v>
      </c>
      <c r="E33" s="37"/>
      <c r="F33" s="38">
        <f>(F8/E8)-1</f>
        <v>-1.5652492668621676E-2</v>
      </c>
      <c r="G33" s="44">
        <f>(G8/F8)-1</f>
        <v>-7.876214948050464E-3</v>
      </c>
      <c r="H33" s="39">
        <v>-0.01</v>
      </c>
      <c r="I33" s="40">
        <f>H33+N33</f>
        <v>-3.0000000000000001E-3</v>
      </c>
      <c r="J33" s="40">
        <f t="shared" ref="J33:L35" si="21">I33+$N33</f>
        <v>4.0000000000000001E-3</v>
      </c>
      <c r="K33" s="40">
        <f t="shared" si="21"/>
        <v>1.0999999999999999E-2</v>
      </c>
      <c r="L33" s="40">
        <f t="shared" si="21"/>
        <v>1.7999999999999999E-2</v>
      </c>
      <c r="N33" s="41">
        <v>7.0000000000000001E-3</v>
      </c>
    </row>
    <row r="34" spans="2:14" x14ac:dyDescent="0.2">
      <c r="B34" s="15" t="s">
        <v>26</v>
      </c>
      <c r="E34" s="38">
        <f>E10/E8</f>
        <v>0.24572947214076246</v>
      </c>
      <c r="F34" s="38">
        <f>F10/F8</f>
        <v>0.2754254645663427</v>
      </c>
      <c r="G34" s="44">
        <f>G10/G8</f>
        <v>0.28211624720830286</v>
      </c>
      <c r="H34" s="39">
        <v>0.255</v>
      </c>
      <c r="I34" s="40">
        <f>H34+$N34</f>
        <v>0.26</v>
      </c>
      <c r="J34" s="40">
        <f t="shared" si="21"/>
        <v>0.26500000000000001</v>
      </c>
      <c r="K34" s="40">
        <f t="shared" si="21"/>
        <v>0.27</v>
      </c>
      <c r="L34" s="40">
        <f t="shared" si="21"/>
        <v>0.27500000000000002</v>
      </c>
      <c r="N34" s="41">
        <v>5.0000000000000001E-3</v>
      </c>
    </row>
    <row r="35" spans="2:14" x14ac:dyDescent="0.2">
      <c r="B35" s="15" t="s">
        <v>27</v>
      </c>
      <c r="E35" s="38">
        <f>-E12/E8</f>
        <v>0.18860887096774193</v>
      </c>
      <c r="F35" s="38">
        <f>-F12/F8</f>
        <v>0.19981007708635906</v>
      </c>
      <c r="G35" s="44">
        <f>-G12/G8</f>
        <v>0.20615393277405553</v>
      </c>
      <c r="H35" s="39">
        <v>0.19</v>
      </c>
      <c r="I35" s="40">
        <f>H35+$N35</f>
        <v>0.192</v>
      </c>
      <c r="J35" s="40">
        <f t="shared" si="21"/>
        <v>0.19400000000000001</v>
      </c>
      <c r="K35" s="40">
        <f t="shared" si="21"/>
        <v>0.19600000000000001</v>
      </c>
      <c r="L35" s="40">
        <f t="shared" si="21"/>
        <v>0.19800000000000001</v>
      </c>
      <c r="N35" s="41">
        <v>2E-3</v>
      </c>
    </row>
    <row r="36" spans="2:14" x14ac:dyDescent="0.2">
      <c r="B36" s="15" t="s">
        <v>14</v>
      </c>
      <c r="E36" s="42">
        <f>E19</f>
        <v>48</v>
      </c>
      <c r="F36" s="42">
        <f t="shared" ref="F36:G36" si="22">F19</f>
        <v>92</v>
      </c>
      <c r="G36" s="45">
        <f t="shared" si="22"/>
        <v>106</v>
      </c>
      <c r="H36" s="43"/>
      <c r="I36" s="50">
        <f>H36+$N36</f>
        <v>0</v>
      </c>
      <c r="J36" s="50">
        <f t="shared" ref="J36:L37" si="23">I36+$N36</f>
        <v>0</v>
      </c>
      <c r="K36" s="50">
        <f t="shared" si="23"/>
        <v>0</v>
      </c>
      <c r="L36" s="50">
        <f t="shared" si="23"/>
        <v>0</v>
      </c>
      <c r="N36" s="43">
        <v>0</v>
      </c>
    </row>
    <row r="37" spans="2:14" x14ac:dyDescent="0.2">
      <c r="B37" s="15" t="s">
        <v>28</v>
      </c>
      <c r="E37" s="38">
        <f>E22/-E20</f>
        <v>0.18665886483323582</v>
      </c>
      <c r="F37" s="38">
        <f t="shared" ref="F37:G37" si="24">F22/-F20</f>
        <v>0.21880309609212761</v>
      </c>
      <c r="G37" s="38">
        <f t="shared" si="24"/>
        <v>0.22239118038395742</v>
      </c>
      <c r="H37" s="39">
        <v>0.23499999999999999</v>
      </c>
      <c r="I37" s="40">
        <f>H37+$N37</f>
        <v>0.22499999999999998</v>
      </c>
      <c r="J37" s="40">
        <f t="shared" si="23"/>
        <v>0.21499999999999997</v>
      </c>
      <c r="K37" s="40">
        <f t="shared" si="23"/>
        <v>0.20499999999999996</v>
      </c>
      <c r="L37" s="40">
        <f t="shared" si="23"/>
        <v>0.19499999999999995</v>
      </c>
      <c r="N37" s="41">
        <v>-0.01</v>
      </c>
    </row>
  </sheetData>
  <mergeCells count="4">
    <mergeCell ref="D1:E1"/>
    <mergeCell ref="D3:E3"/>
    <mergeCell ref="B5:L5"/>
    <mergeCell ref="D2:E2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F95F-FF7B-4422-8269-C65244578346}">
  <dimension ref="A1:L100"/>
  <sheetViews>
    <sheetView showGridLines="0" topLeftCell="A27" workbookViewId="0">
      <selection activeCell="G41" sqref="G41"/>
    </sheetView>
  </sheetViews>
  <sheetFormatPr baseColWidth="10" defaultColWidth="8.83203125" defaultRowHeight="16" x14ac:dyDescent="0.2"/>
  <cols>
    <col min="1" max="1" width="4.1640625" style="194" customWidth="1"/>
    <col min="2" max="2" width="37.1640625" style="194" customWidth="1"/>
    <col min="3" max="3" width="32" style="194" bestFit="1" customWidth="1"/>
    <col min="4" max="4" width="24.1640625" style="194" customWidth="1"/>
    <col min="5" max="5" width="14.6640625" style="194" bestFit="1" customWidth="1"/>
    <col min="6" max="7" width="12.6640625" style="194" bestFit="1" customWidth="1"/>
    <col min="8" max="8" width="12" style="194" bestFit="1" customWidth="1"/>
    <col min="9" max="11" width="12.6640625" style="194" bestFit="1" customWidth="1"/>
    <col min="12" max="12" width="12.33203125" style="194" customWidth="1"/>
    <col min="13" max="13" width="8.83203125" style="194"/>
    <col min="14" max="14" width="12.6640625" style="194" bestFit="1" customWidth="1"/>
    <col min="15" max="16384" width="8.83203125" style="194"/>
  </cols>
  <sheetData>
    <row r="1" spans="1:12" x14ac:dyDescent="0.2">
      <c r="A1" s="46" t="s">
        <v>0</v>
      </c>
      <c r="D1" s="46" t="s">
        <v>4</v>
      </c>
    </row>
    <row r="2" spans="1:12" x14ac:dyDescent="0.2">
      <c r="A2" s="46" t="s">
        <v>3</v>
      </c>
      <c r="D2" s="46" t="s">
        <v>5</v>
      </c>
    </row>
    <row r="3" spans="1:12" x14ac:dyDescent="0.2">
      <c r="A3" s="46" t="s">
        <v>2</v>
      </c>
      <c r="D3" s="222">
        <v>45688</v>
      </c>
    </row>
    <row r="5" spans="1:12" ht="19" x14ac:dyDescent="0.25">
      <c r="B5" s="223" t="s">
        <v>152</v>
      </c>
      <c r="C5" s="223"/>
      <c r="D5" s="223"/>
      <c r="E5" s="223"/>
      <c r="F5" s="223"/>
      <c r="G5" s="223"/>
      <c r="H5" s="223"/>
      <c r="I5" s="223"/>
      <c r="J5" s="223"/>
      <c r="K5" s="223"/>
      <c r="L5" s="223"/>
    </row>
    <row r="6" spans="1:12" x14ac:dyDescent="0.2">
      <c r="B6" s="224" t="s">
        <v>153</v>
      </c>
      <c r="C6" s="224"/>
      <c r="D6" s="224"/>
      <c r="E6" s="229">
        <v>44957</v>
      </c>
      <c r="F6" s="229">
        <v>45322</v>
      </c>
      <c r="G6" s="230">
        <v>45688</v>
      </c>
      <c r="H6" s="229">
        <v>46053</v>
      </c>
      <c r="I6" s="229">
        <v>46418</v>
      </c>
      <c r="J6" s="229">
        <v>46783</v>
      </c>
      <c r="K6" s="229">
        <v>47149</v>
      </c>
      <c r="L6" s="229">
        <v>47514</v>
      </c>
    </row>
    <row r="7" spans="1:12" x14ac:dyDescent="0.2">
      <c r="G7" s="196"/>
    </row>
    <row r="8" spans="1:12" x14ac:dyDescent="0.2">
      <c r="B8" s="194" t="s">
        <v>6</v>
      </c>
      <c r="E8" s="16">
        <v>109120</v>
      </c>
      <c r="F8" s="16">
        <v>107412</v>
      </c>
      <c r="G8" s="17">
        <v>106566</v>
      </c>
      <c r="H8" s="199">
        <v>107631.66</v>
      </c>
      <c r="I8" s="199">
        <v>108492.71328000001</v>
      </c>
      <c r="J8" s="199">
        <v>109143.66955968001</v>
      </c>
      <c r="K8" s="199">
        <v>109580.24423791873</v>
      </c>
      <c r="L8" s="199">
        <v>109799.40472639457</v>
      </c>
    </row>
    <row r="9" spans="1:12" x14ac:dyDescent="0.2">
      <c r="B9" s="197" t="s">
        <v>7</v>
      </c>
      <c r="C9" s="197"/>
      <c r="D9" s="197"/>
      <c r="E9" s="24">
        <v>-82306</v>
      </c>
      <c r="F9" s="24">
        <v>-77828</v>
      </c>
      <c r="G9" s="25">
        <v>-76502</v>
      </c>
      <c r="H9" s="200">
        <v>-76956.636900000012</v>
      </c>
      <c r="I9" s="200">
        <v>-77897.768135040009</v>
      </c>
      <c r="J9" s="200">
        <v>-78692.585752529296</v>
      </c>
      <c r="K9" s="200">
        <v>-79336.096828253154</v>
      </c>
      <c r="L9" s="200">
        <v>-79824.167236088862</v>
      </c>
    </row>
    <row r="10" spans="1:12" s="46" customFormat="1" x14ac:dyDescent="0.2">
      <c r="B10" s="46" t="s">
        <v>8</v>
      </c>
      <c r="E10" s="20">
        <v>26814</v>
      </c>
      <c r="F10" s="20">
        <v>29584</v>
      </c>
      <c r="G10" s="23">
        <v>30064</v>
      </c>
      <c r="H10" s="20">
        <v>30675.023099999991</v>
      </c>
      <c r="I10" s="20">
        <v>30594.945144960002</v>
      </c>
      <c r="J10" s="20">
        <v>30451.083807150717</v>
      </c>
      <c r="K10" s="20">
        <v>30244.147409665573</v>
      </c>
      <c r="L10" s="20">
        <v>29975.237490305706</v>
      </c>
    </row>
    <row r="11" spans="1:12" x14ac:dyDescent="0.2">
      <c r="E11" s="199"/>
      <c r="F11" s="199"/>
      <c r="G11" s="227"/>
      <c r="H11" s="199"/>
      <c r="I11" s="199"/>
      <c r="J11" s="199"/>
      <c r="K11" s="199"/>
      <c r="L11" s="199"/>
    </row>
    <row r="12" spans="1:12" x14ac:dyDescent="0.2">
      <c r="B12" s="197" t="s">
        <v>9</v>
      </c>
      <c r="C12" s="197"/>
      <c r="D12" s="197"/>
      <c r="E12" s="24">
        <v>-20581</v>
      </c>
      <c r="F12" s="24">
        <v>-21462</v>
      </c>
      <c r="G12" s="25">
        <v>-21969</v>
      </c>
      <c r="H12" s="200">
        <v>-22602.6486</v>
      </c>
      <c r="I12" s="200">
        <v>-23000.455215360002</v>
      </c>
      <c r="J12" s="200">
        <v>-23356.745285771522</v>
      </c>
      <c r="K12" s="200">
        <v>-23669.332755390446</v>
      </c>
      <c r="L12" s="200">
        <v>-23936.270230354017</v>
      </c>
    </row>
    <row r="13" spans="1:12" s="46" customFormat="1" x14ac:dyDescent="0.2">
      <c r="B13" s="46" t="s">
        <v>10</v>
      </c>
      <c r="E13" s="20">
        <v>6233</v>
      </c>
      <c r="F13" s="20">
        <v>8122</v>
      </c>
      <c r="G13" s="23">
        <v>8095</v>
      </c>
      <c r="H13" s="20">
        <v>8072.3744999999908</v>
      </c>
      <c r="I13" s="20">
        <v>7594.4899296000003</v>
      </c>
      <c r="J13" s="20">
        <v>7094.3385213791953</v>
      </c>
      <c r="K13" s="20">
        <v>6574.8146542751274</v>
      </c>
      <c r="L13" s="20">
        <v>6038.9672599516889</v>
      </c>
    </row>
    <row r="14" spans="1:12" x14ac:dyDescent="0.2">
      <c r="E14" s="199"/>
      <c r="F14" s="199"/>
      <c r="G14" s="227"/>
      <c r="H14" s="199"/>
      <c r="I14" s="199"/>
      <c r="J14" s="199"/>
      <c r="K14" s="199"/>
      <c r="L14" s="199"/>
    </row>
    <row r="15" spans="1:12" x14ac:dyDescent="0.2">
      <c r="B15" s="197" t="s">
        <v>11</v>
      </c>
      <c r="C15" s="197"/>
      <c r="D15" s="197"/>
      <c r="E15" s="24">
        <v>-2385</v>
      </c>
      <c r="F15" s="24">
        <v>-2415</v>
      </c>
      <c r="G15" s="25">
        <v>-2529</v>
      </c>
      <c r="H15" s="200">
        <v>-2648.52</v>
      </c>
      <c r="I15" s="200">
        <v>-2783.30469984</v>
      </c>
      <c r="J15" s="200">
        <v>-2903.1772510540795</v>
      </c>
      <c r="K15" s="200">
        <v>-3008.4822573100646</v>
      </c>
      <c r="L15" s="200">
        <v>-3099.572860603816</v>
      </c>
    </row>
    <row r="16" spans="1:12" s="46" customFormat="1" x14ac:dyDescent="0.2">
      <c r="B16" s="46" t="s">
        <v>12</v>
      </c>
      <c r="E16" s="20">
        <v>3848</v>
      </c>
      <c r="F16" s="20">
        <v>5707</v>
      </c>
      <c r="G16" s="23">
        <v>5566</v>
      </c>
      <c r="H16" s="20">
        <v>5423.8544999999904</v>
      </c>
      <c r="I16" s="20">
        <v>4811.1852297599999</v>
      </c>
      <c r="J16" s="20">
        <v>4191.1612703251158</v>
      </c>
      <c r="K16" s="20">
        <v>3566.3323969650628</v>
      </c>
      <c r="L16" s="20">
        <v>2939.3943993478729</v>
      </c>
    </row>
    <row r="17" spans="2:12" x14ac:dyDescent="0.2">
      <c r="E17" s="199"/>
      <c r="F17" s="199"/>
      <c r="G17" s="227"/>
      <c r="H17" s="199"/>
      <c r="I17" s="199"/>
      <c r="J17" s="199"/>
      <c r="K17" s="199"/>
      <c r="L17" s="199"/>
    </row>
    <row r="18" spans="2:12" x14ac:dyDescent="0.2">
      <c r="B18" s="194" t="s">
        <v>13</v>
      </c>
      <c r="E18" s="16">
        <v>-478</v>
      </c>
      <c r="F18" s="16">
        <v>-502</v>
      </c>
      <c r="G18" s="17">
        <v>-411</v>
      </c>
      <c r="H18" s="199">
        <v>-1032.0694797570832</v>
      </c>
      <c r="I18" s="199">
        <v>-883.68708301714275</v>
      </c>
      <c r="J18" s="199">
        <v>-741.64582149785997</v>
      </c>
      <c r="K18" s="199">
        <v>-606.72044927621391</v>
      </c>
      <c r="L18" s="199">
        <v>-479.65013211115905</v>
      </c>
    </row>
    <row r="19" spans="2:12" x14ac:dyDescent="0.2">
      <c r="B19" s="197" t="s">
        <v>14</v>
      </c>
      <c r="C19" s="197"/>
      <c r="D19" s="197"/>
      <c r="E19" s="24">
        <v>48</v>
      </c>
      <c r="F19" s="24">
        <v>92</v>
      </c>
      <c r="G19" s="25">
        <v>106</v>
      </c>
      <c r="H19" s="200">
        <v>0</v>
      </c>
      <c r="I19" s="200">
        <v>0</v>
      </c>
      <c r="J19" s="200">
        <v>0</v>
      </c>
      <c r="K19" s="200">
        <v>0</v>
      </c>
      <c r="L19" s="200">
        <v>0</v>
      </c>
    </row>
    <row r="20" spans="2:12" s="46" customFormat="1" x14ac:dyDescent="0.2">
      <c r="B20" s="46" t="s">
        <v>15</v>
      </c>
      <c r="E20" s="20">
        <v>3418</v>
      </c>
      <c r="F20" s="20">
        <v>5297</v>
      </c>
      <c r="G20" s="23">
        <v>5261</v>
      </c>
      <c r="H20" s="20">
        <v>4391.7850202429072</v>
      </c>
      <c r="I20" s="20">
        <v>3927.498146742857</v>
      </c>
      <c r="J20" s="20">
        <v>3449.5154488272556</v>
      </c>
      <c r="K20" s="20">
        <v>2959.6119476888489</v>
      </c>
      <c r="L20" s="20">
        <v>2459.7442672367138</v>
      </c>
    </row>
    <row r="21" spans="2:12" x14ac:dyDescent="0.2">
      <c r="E21" s="199"/>
      <c r="F21" s="199"/>
      <c r="G21" s="227"/>
      <c r="H21" s="199"/>
      <c r="I21" s="199"/>
      <c r="J21" s="199"/>
      <c r="K21" s="199"/>
      <c r="L21" s="199"/>
    </row>
    <row r="22" spans="2:12" ht="17" thickBot="1" x14ac:dyDescent="0.25">
      <c r="B22" s="225" t="s">
        <v>16</v>
      </c>
      <c r="C22" s="225"/>
      <c r="D22" s="225"/>
      <c r="E22" s="231">
        <v>-638</v>
      </c>
      <c r="F22" s="231">
        <v>-1159</v>
      </c>
      <c r="G22" s="232">
        <v>-1170</v>
      </c>
      <c r="H22" s="226">
        <v>-1032.0694797570832</v>
      </c>
      <c r="I22" s="226">
        <v>-883.68708301714275</v>
      </c>
      <c r="J22" s="226">
        <v>-741.64582149785986</v>
      </c>
      <c r="K22" s="226">
        <v>-606.72044927621391</v>
      </c>
      <c r="L22" s="226">
        <v>-479.65013211115905</v>
      </c>
    </row>
    <row r="23" spans="2:12" s="46" customFormat="1" ht="17" thickTop="1" x14ac:dyDescent="0.2">
      <c r="B23" s="46" t="s">
        <v>154</v>
      </c>
      <c r="E23" s="20">
        <v>2780</v>
      </c>
      <c r="F23" s="20">
        <v>4138</v>
      </c>
      <c r="G23" s="23">
        <v>4091</v>
      </c>
      <c r="H23" s="20">
        <v>3359.715540485824</v>
      </c>
      <c r="I23" s="20">
        <v>3043.8110637257141</v>
      </c>
      <c r="J23" s="20">
        <v>2707.8696273293958</v>
      </c>
      <c r="K23" s="20">
        <v>2352.891498412635</v>
      </c>
      <c r="L23" s="20">
        <v>1980.0941351255547</v>
      </c>
    </row>
    <row r="24" spans="2:12" x14ac:dyDescent="0.2">
      <c r="E24" s="199"/>
      <c r="F24" s="199"/>
      <c r="G24" s="227"/>
      <c r="H24" s="199"/>
      <c r="I24" s="199"/>
      <c r="J24" s="199"/>
      <c r="K24" s="199"/>
      <c r="L24" s="199"/>
    </row>
    <row r="25" spans="2:12" x14ac:dyDescent="0.2">
      <c r="B25" s="194" t="s">
        <v>18</v>
      </c>
      <c r="E25" s="16">
        <v>464.7</v>
      </c>
      <c r="F25" s="16">
        <v>462.8</v>
      </c>
      <c r="G25" s="17">
        <v>461.8</v>
      </c>
      <c r="H25" s="199">
        <v>456.90404566920495</v>
      </c>
      <c r="I25" s="199">
        <v>447.09217985716589</v>
      </c>
      <c r="J25" s="199">
        <v>437.66319541741245</v>
      </c>
      <c r="K25" s="199">
        <v>428.6618422583939</v>
      </c>
      <c r="L25" s="199">
        <v>420.12976960234374</v>
      </c>
    </row>
    <row r="26" spans="2:12" x14ac:dyDescent="0.2">
      <c r="B26" s="194" t="s">
        <v>19</v>
      </c>
      <c r="E26" s="199">
        <v>5.9823542070152786</v>
      </c>
      <c r="F26" s="199">
        <v>8.9412273120138295</v>
      </c>
      <c r="G26" s="227">
        <v>8.8588133391078383</v>
      </c>
      <c r="H26" s="199">
        <v>7.353219067178566</v>
      </c>
      <c r="I26" s="199">
        <v>6.8080167823515305</v>
      </c>
      <c r="J26" s="199">
        <v>6.1871083876422821</v>
      </c>
      <c r="K26" s="199">
        <v>5.4889221910130521</v>
      </c>
      <c r="L26" s="199">
        <v>4.7130536286436691</v>
      </c>
    </row>
    <row r="27" spans="2:12" x14ac:dyDescent="0.2">
      <c r="B27" s="194" t="s">
        <v>20</v>
      </c>
      <c r="E27" s="16">
        <v>168.12</v>
      </c>
      <c r="F27" s="16">
        <v>140.5</v>
      </c>
      <c r="G27" s="17">
        <v>140.1</v>
      </c>
      <c r="H27" s="199"/>
      <c r="I27" s="199"/>
      <c r="J27" s="199"/>
      <c r="K27" s="199"/>
      <c r="L27" s="199"/>
    </row>
    <row r="28" spans="2:12" x14ac:dyDescent="0.2">
      <c r="B28" s="194" t="s">
        <v>21</v>
      </c>
      <c r="E28" s="199">
        <v>28.102648920863309</v>
      </c>
      <c r="F28" s="199">
        <v>15.713726437892701</v>
      </c>
      <c r="G28" s="227">
        <v>15.81475922757272</v>
      </c>
      <c r="H28" s="199"/>
      <c r="I28" s="199"/>
      <c r="J28" s="199"/>
      <c r="K28" s="199"/>
      <c r="L28" s="199"/>
    </row>
    <row r="29" spans="2:12" x14ac:dyDescent="0.2">
      <c r="E29" s="199"/>
      <c r="F29" s="199"/>
      <c r="G29" s="227"/>
      <c r="H29" s="199"/>
      <c r="I29" s="199"/>
      <c r="J29" s="199"/>
      <c r="K29" s="199"/>
      <c r="L29" s="199"/>
    </row>
    <row r="30" spans="2:12" x14ac:dyDescent="0.2">
      <c r="E30" s="199"/>
      <c r="F30" s="199"/>
      <c r="G30" s="227"/>
      <c r="H30" s="199"/>
      <c r="I30" s="199"/>
      <c r="J30" s="199"/>
      <c r="K30" s="199"/>
      <c r="L30" s="199"/>
    </row>
    <row r="31" spans="2:12" x14ac:dyDescent="0.2">
      <c r="E31" s="199"/>
      <c r="F31" s="199"/>
      <c r="G31" s="227"/>
      <c r="H31" s="199"/>
      <c r="I31" s="199"/>
      <c r="J31" s="199"/>
      <c r="K31" s="199"/>
      <c r="L31" s="199"/>
    </row>
    <row r="32" spans="2:12" x14ac:dyDescent="0.2">
      <c r="B32" s="10" t="s">
        <v>155</v>
      </c>
      <c r="C32" s="10"/>
      <c r="D32" s="10"/>
      <c r="E32" s="11"/>
      <c r="F32" s="11"/>
      <c r="G32" s="128"/>
      <c r="H32" s="11"/>
      <c r="I32" s="11"/>
      <c r="J32" s="11"/>
      <c r="K32" s="11"/>
      <c r="L32" s="11"/>
    </row>
    <row r="33" spans="1:12" x14ac:dyDescent="0.2">
      <c r="B33" s="194" t="s">
        <v>188</v>
      </c>
      <c r="C33" s="194" t="s">
        <v>156</v>
      </c>
      <c r="D33" s="199" t="s">
        <v>157</v>
      </c>
      <c r="E33" s="351"/>
      <c r="F33" s="199"/>
      <c r="G33" s="227"/>
      <c r="H33" s="199"/>
      <c r="I33" s="199"/>
      <c r="J33" s="199"/>
      <c r="K33" s="199"/>
      <c r="L33" s="199"/>
    </row>
    <row r="34" spans="1:12" x14ac:dyDescent="0.2">
      <c r="B34" s="20" t="s">
        <v>150</v>
      </c>
      <c r="C34" s="221">
        <f>-E9</f>
        <v>82306</v>
      </c>
      <c r="D34" s="239">
        <v>2.5000000000000001E-2</v>
      </c>
      <c r="E34" s="245"/>
      <c r="F34" s="233"/>
      <c r="G34" s="234"/>
      <c r="H34" s="205"/>
      <c r="I34" s="205"/>
      <c r="J34" s="205"/>
      <c r="K34" s="205"/>
      <c r="L34" s="205"/>
    </row>
    <row r="35" spans="1:12" x14ac:dyDescent="0.2">
      <c r="B35" s="20" t="s">
        <v>149</v>
      </c>
      <c r="C35" s="221">
        <f>-F9</f>
        <v>77828</v>
      </c>
      <c r="D35" s="240">
        <v>2.2499999999999999E-2</v>
      </c>
      <c r="E35" s="352"/>
      <c r="F35" s="199"/>
      <c r="G35" s="196"/>
      <c r="H35" s="199"/>
      <c r="I35" s="199"/>
      <c r="J35" s="199"/>
      <c r="K35" s="199"/>
      <c r="L35" s="199"/>
    </row>
    <row r="36" spans="1:12" x14ac:dyDescent="0.2">
      <c r="A36" s="197"/>
      <c r="B36" s="242" t="s">
        <v>151</v>
      </c>
      <c r="C36" s="243">
        <f>-G9</f>
        <v>76502</v>
      </c>
      <c r="D36" s="250">
        <v>0.22500000000000001</v>
      </c>
      <c r="E36" s="353"/>
      <c r="F36" s="200"/>
      <c r="G36" s="199"/>
      <c r="H36" s="199"/>
      <c r="I36" s="199"/>
      <c r="J36" s="199"/>
      <c r="K36" s="199"/>
      <c r="L36" s="199"/>
    </row>
    <row r="37" spans="1:12" x14ac:dyDescent="0.2">
      <c r="B37" s="20" t="s">
        <v>189</v>
      </c>
      <c r="C37" s="221">
        <f>-H9</f>
        <v>76956.636900000012</v>
      </c>
      <c r="D37" s="240">
        <v>0.18</v>
      </c>
      <c r="E37" s="352"/>
    </row>
    <row r="38" spans="1:12" x14ac:dyDescent="0.2">
      <c r="B38" s="20" t="s">
        <v>190</v>
      </c>
      <c r="C38" s="221">
        <f>-I9</f>
        <v>77897.768135040009</v>
      </c>
      <c r="D38" s="240">
        <v>0.15</v>
      </c>
      <c r="E38" s="352"/>
    </row>
    <row r="39" spans="1:12" x14ac:dyDescent="0.2">
      <c r="B39" s="20" t="s">
        <v>191</v>
      </c>
      <c r="C39" s="221">
        <f>-J9</f>
        <v>78692.585752529296</v>
      </c>
      <c r="D39" s="240">
        <v>0.12</v>
      </c>
      <c r="E39" s="352"/>
    </row>
    <row r="40" spans="1:12" x14ac:dyDescent="0.2">
      <c r="B40" s="20" t="s">
        <v>192</v>
      </c>
      <c r="C40" s="199">
        <f>-K9</f>
        <v>79336.096828253154</v>
      </c>
      <c r="D40" s="240">
        <v>0.12</v>
      </c>
      <c r="E40" s="352"/>
    </row>
    <row r="41" spans="1:12" x14ac:dyDescent="0.2">
      <c r="B41" s="20" t="s">
        <v>193</v>
      </c>
      <c r="C41" s="221">
        <f>-L9</f>
        <v>79824.167236088862</v>
      </c>
      <c r="D41" s="240">
        <v>0.1</v>
      </c>
      <c r="E41" s="352"/>
    </row>
    <row r="42" spans="1:12" x14ac:dyDescent="0.2">
      <c r="B42" s="199"/>
      <c r="C42" s="221"/>
      <c r="D42" s="241"/>
    </row>
    <row r="43" spans="1:12" x14ac:dyDescent="0.2">
      <c r="B43" s="199"/>
      <c r="C43" s="221"/>
    </row>
    <row r="44" spans="1:12" x14ac:dyDescent="0.2">
      <c r="B44" s="199"/>
      <c r="C44" s="194" t="s">
        <v>158</v>
      </c>
    </row>
    <row r="45" spans="1:12" ht="17" thickBot="1" x14ac:dyDescent="0.25">
      <c r="B45" s="199"/>
    </row>
    <row r="46" spans="1:12" x14ac:dyDescent="0.2">
      <c r="B46" s="199"/>
      <c r="C46" s="246" t="s">
        <v>159</v>
      </c>
      <c r="D46" s="246"/>
    </row>
    <row r="47" spans="1:12" x14ac:dyDescent="0.2">
      <c r="B47" s="199"/>
      <c r="C47" s="194" t="s">
        <v>160</v>
      </c>
      <c r="D47" s="194">
        <v>0.70514879893262927</v>
      </c>
    </row>
    <row r="48" spans="1:12" x14ac:dyDescent="0.2">
      <c r="B48" s="199"/>
      <c r="C48" s="194" t="s">
        <v>161</v>
      </c>
      <c r="D48" s="194">
        <v>0.49723482863612967</v>
      </c>
    </row>
    <row r="49" spans="2:12" x14ac:dyDescent="0.2">
      <c r="B49" s="199"/>
      <c r="C49" s="194" t="s">
        <v>162</v>
      </c>
      <c r="D49" s="194">
        <v>0.41344063340881793</v>
      </c>
    </row>
    <row r="50" spans="2:12" x14ac:dyDescent="0.2">
      <c r="B50" s="199"/>
      <c r="C50" s="194" t="s">
        <v>163</v>
      </c>
      <c r="D50" s="194">
        <v>1416.2828702672573</v>
      </c>
    </row>
    <row r="51" spans="2:12" ht="17" thickBot="1" x14ac:dyDescent="0.25">
      <c r="B51" s="199"/>
      <c r="C51" s="247" t="s">
        <v>164</v>
      </c>
      <c r="D51" s="247">
        <v>8</v>
      </c>
    </row>
    <row r="52" spans="2:12" x14ac:dyDescent="0.2">
      <c r="B52" s="199"/>
      <c r="L52" s="248"/>
    </row>
    <row r="53" spans="2:12" ht="17" thickBot="1" x14ac:dyDescent="0.25">
      <c r="B53" s="199"/>
      <c r="C53" s="194" t="s">
        <v>165</v>
      </c>
    </row>
    <row r="54" spans="2:12" x14ac:dyDescent="0.2">
      <c r="B54" s="199"/>
      <c r="C54" s="249"/>
      <c r="D54" s="249" t="s">
        <v>169</v>
      </c>
      <c r="E54" s="249" t="s">
        <v>170</v>
      </c>
      <c r="F54" s="249" t="s">
        <v>171</v>
      </c>
      <c r="G54" s="249" t="s">
        <v>172</v>
      </c>
      <c r="H54" s="249" t="s">
        <v>173</v>
      </c>
    </row>
    <row r="55" spans="2:12" x14ac:dyDescent="0.2">
      <c r="B55" s="199"/>
      <c r="C55" s="194" t="s">
        <v>155</v>
      </c>
      <c r="D55" s="194">
        <v>1</v>
      </c>
      <c r="E55" s="194">
        <v>11902758.213715553</v>
      </c>
      <c r="F55" s="194">
        <v>11902758.213715553</v>
      </c>
      <c r="G55" s="194">
        <v>5.9340008849928294</v>
      </c>
      <c r="H55" s="194">
        <v>5.07481544429094E-2</v>
      </c>
    </row>
    <row r="56" spans="2:12" x14ac:dyDescent="0.2">
      <c r="B56" s="199"/>
      <c r="C56" s="194" t="s">
        <v>166</v>
      </c>
      <c r="D56" s="194">
        <v>6</v>
      </c>
      <c r="E56" s="194">
        <v>12035143.011674765</v>
      </c>
      <c r="F56" s="194">
        <v>2005857.1686124608</v>
      </c>
    </row>
    <row r="57" spans="2:12" ht="17" thickBot="1" x14ac:dyDescent="0.25">
      <c r="B57" s="199"/>
      <c r="C57" s="247" t="s">
        <v>167</v>
      </c>
      <c r="D57" s="247">
        <v>7</v>
      </c>
      <c r="E57" s="247">
        <v>23937901.225390319</v>
      </c>
      <c r="F57" s="247"/>
      <c r="G57" s="247"/>
      <c r="H57" s="247"/>
    </row>
    <row r="58" spans="2:12" ht="17" thickBot="1" x14ac:dyDescent="0.25">
      <c r="B58" s="199"/>
    </row>
    <row r="59" spans="2:12" x14ac:dyDescent="0.2">
      <c r="B59" s="199"/>
      <c r="C59" s="249"/>
      <c r="D59" s="249" t="s">
        <v>174</v>
      </c>
      <c r="E59" s="249" t="s">
        <v>163</v>
      </c>
      <c r="F59" s="249" t="s">
        <v>175</v>
      </c>
      <c r="G59" s="249" t="s">
        <v>176</v>
      </c>
      <c r="H59" s="249" t="s">
        <v>177</v>
      </c>
      <c r="I59" s="249" t="s">
        <v>178</v>
      </c>
      <c r="J59" s="249" t="s">
        <v>179</v>
      </c>
      <c r="K59" s="249" t="s">
        <v>180</v>
      </c>
    </row>
    <row r="60" spans="2:12" x14ac:dyDescent="0.2">
      <c r="B60" s="199"/>
      <c r="C60" s="194" t="s">
        <v>168</v>
      </c>
      <c r="D60" s="194">
        <v>80858.806878635063</v>
      </c>
      <c r="E60" s="194">
        <v>1029.3867751196501</v>
      </c>
      <c r="F60" s="194">
        <v>78.550462112976433</v>
      </c>
      <c r="G60" s="194">
        <v>2.8661786134223348E-10</v>
      </c>
      <c r="H60" s="194">
        <v>78339.988179182896</v>
      </c>
      <c r="I60" s="194">
        <v>83377.625578087231</v>
      </c>
      <c r="J60" s="194">
        <v>78339.988179182896</v>
      </c>
      <c r="K60" s="194">
        <v>83377.625578087231</v>
      </c>
    </row>
    <row r="61" spans="2:12" ht="17" thickBot="1" x14ac:dyDescent="0.25">
      <c r="B61" s="199"/>
      <c r="C61" s="247" t="s">
        <v>181</v>
      </c>
      <c r="D61" s="247">
        <v>-18596.498861717981</v>
      </c>
      <c r="E61" s="247">
        <v>7634.0919134023752</v>
      </c>
      <c r="F61" s="247">
        <v>-2.4359804771370457</v>
      </c>
      <c r="G61" s="247">
        <v>5.07481544429094E-2</v>
      </c>
      <c r="H61" s="247">
        <v>-37276.448837352233</v>
      </c>
      <c r="I61" s="247">
        <v>83.451113916267786</v>
      </c>
      <c r="J61" s="247">
        <v>-37276.448837352233</v>
      </c>
      <c r="K61" s="247">
        <v>83.451113916267786</v>
      </c>
    </row>
    <row r="62" spans="2:12" x14ac:dyDescent="0.2">
      <c r="B62" s="199"/>
    </row>
    <row r="63" spans="2:12" x14ac:dyDescent="0.2">
      <c r="B63" s="199"/>
    </row>
    <row r="64" spans="2:12" x14ac:dyDescent="0.2">
      <c r="B64" s="199"/>
      <c r="C64"/>
      <c r="D64"/>
      <c r="E64"/>
      <c r="F64"/>
      <c r="G64"/>
      <c r="H64"/>
      <c r="I64"/>
      <c r="J64"/>
      <c r="K64"/>
      <c r="L64"/>
    </row>
    <row r="65" spans="2:12" x14ac:dyDescent="0.2">
      <c r="B65" s="199"/>
      <c r="C65" s="199"/>
      <c r="D65"/>
      <c r="E65"/>
      <c r="F65"/>
      <c r="G65"/>
      <c r="H65"/>
      <c r="I65"/>
      <c r="J65"/>
      <c r="K65"/>
      <c r="L65"/>
    </row>
    <row r="66" spans="2:12" x14ac:dyDescent="0.2">
      <c r="B66" s="199"/>
      <c r="C66" s="199"/>
      <c r="D66"/>
      <c r="E66"/>
      <c r="F66"/>
      <c r="G66"/>
      <c r="H66"/>
      <c r="I66"/>
      <c r="J66"/>
      <c r="K66"/>
      <c r="L66"/>
    </row>
    <row r="67" spans="2:12" x14ac:dyDescent="0.2">
      <c r="B67" s="199"/>
      <c r="C67" s="199"/>
      <c r="D67" s="238"/>
      <c r="E67" s="238"/>
      <c r="F67" s="238"/>
      <c r="G67"/>
      <c r="H67"/>
      <c r="I67"/>
      <c r="J67"/>
      <c r="K67"/>
      <c r="L67"/>
    </row>
    <row r="68" spans="2:12" x14ac:dyDescent="0.2">
      <c r="B68" s="199"/>
      <c r="C68" s="199"/>
      <c r="D68"/>
      <c r="E68"/>
      <c r="F68"/>
      <c r="G68"/>
      <c r="H68"/>
      <c r="I68"/>
      <c r="J68"/>
      <c r="K68"/>
      <c r="L68"/>
    </row>
    <row r="69" spans="2:12" x14ac:dyDescent="0.2"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</row>
    <row r="70" spans="2:12" x14ac:dyDescent="0.2"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</row>
    <row r="71" spans="2:12" x14ac:dyDescent="0.2"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</row>
    <row r="72" spans="2:12" x14ac:dyDescent="0.2"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</row>
    <row r="73" spans="2:12" x14ac:dyDescent="0.2"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</row>
    <row r="74" spans="2:12" x14ac:dyDescent="0.2"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</row>
    <row r="75" spans="2:12" x14ac:dyDescent="0.2"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</row>
    <row r="76" spans="2:12" x14ac:dyDescent="0.2"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</row>
    <row r="77" spans="2:12" x14ac:dyDescent="0.2"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</row>
    <row r="78" spans="2:12" x14ac:dyDescent="0.2"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</row>
    <row r="79" spans="2:12" x14ac:dyDescent="0.2"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</row>
    <row r="80" spans="2:12" x14ac:dyDescent="0.2"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</row>
    <row r="81" spans="2:12" x14ac:dyDescent="0.2"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</row>
    <row r="82" spans="2:12" x14ac:dyDescent="0.2">
      <c r="B82" s="199"/>
      <c r="C82" s="199"/>
      <c r="D82" s="199"/>
      <c r="E82" s="199"/>
      <c r="F82" s="199"/>
      <c r="G82" s="199"/>
      <c r="H82" s="199"/>
      <c r="I82" s="199"/>
      <c r="J82" s="199"/>
      <c r="K82" s="199"/>
      <c r="L82" s="199"/>
    </row>
    <row r="83" spans="2:12" x14ac:dyDescent="0.2"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</row>
    <row r="84" spans="2:12" x14ac:dyDescent="0.2"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</row>
    <row r="85" spans="2:12" x14ac:dyDescent="0.2"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</row>
    <row r="86" spans="2:12" x14ac:dyDescent="0.2"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</row>
    <row r="87" spans="2:12" x14ac:dyDescent="0.2"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</row>
    <row r="88" spans="2:12" x14ac:dyDescent="0.2"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</row>
    <row r="89" spans="2:12" x14ac:dyDescent="0.2"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</row>
    <row r="90" spans="2:12" x14ac:dyDescent="0.2"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</row>
    <row r="91" spans="2:12" x14ac:dyDescent="0.2"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</row>
    <row r="92" spans="2:12" x14ac:dyDescent="0.2"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</row>
    <row r="93" spans="2:12" x14ac:dyDescent="0.2"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</row>
    <row r="94" spans="2:12" x14ac:dyDescent="0.2"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</row>
    <row r="95" spans="2:12" x14ac:dyDescent="0.2"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</row>
    <row r="96" spans="2:12" x14ac:dyDescent="0.2"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</row>
    <row r="97" spans="2:12" x14ac:dyDescent="0.2"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</row>
    <row r="98" spans="2:12" x14ac:dyDescent="0.2">
      <c r="B98" s="199"/>
      <c r="C98" s="199"/>
      <c r="D98" s="199"/>
      <c r="E98" s="199"/>
      <c r="F98" s="199"/>
      <c r="G98" s="199"/>
      <c r="H98" s="199"/>
      <c r="I98" s="199"/>
      <c r="J98" s="199"/>
      <c r="K98" s="199"/>
      <c r="L98" s="199"/>
    </row>
    <row r="99" spans="2:12" x14ac:dyDescent="0.2"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</row>
    <row r="100" spans="2:12" x14ac:dyDescent="0.2"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7A9E-2B12-4829-A5EF-9D2B9FEA74B0}">
  <dimension ref="A1:L100"/>
  <sheetViews>
    <sheetView showGridLines="0" topLeftCell="B1" zoomScale="109" workbookViewId="0">
      <selection activeCell="J27" sqref="J27"/>
    </sheetView>
  </sheetViews>
  <sheetFormatPr baseColWidth="10" defaultColWidth="8.83203125" defaultRowHeight="16" x14ac:dyDescent="0.2"/>
  <cols>
    <col min="1" max="1" width="4.1640625" style="194" customWidth="1"/>
    <col min="2" max="2" width="37.1640625" style="194" customWidth="1"/>
    <col min="3" max="3" width="32" style="194" bestFit="1" customWidth="1"/>
    <col min="4" max="4" width="24.1640625" style="194" customWidth="1"/>
    <col min="5" max="5" width="13.1640625" style="194" customWidth="1"/>
    <col min="6" max="6" width="18.5" style="194" customWidth="1"/>
    <col min="7" max="7" width="12.6640625" style="194" bestFit="1" customWidth="1"/>
    <col min="8" max="8" width="12" style="194" bestFit="1" customWidth="1"/>
    <col min="9" max="11" width="12.6640625" style="194" bestFit="1" customWidth="1"/>
    <col min="12" max="12" width="12.33203125" style="194" customWidth="1"/>
    <col min="13" max="13" width="8.83203125" style="194"/>
    <col min="14" max="14" width="12.6640625" style="194" bestFit="1" customWidth="1"/>
    <col min="15" max="16384" width="8.83203125" style="194"/>
  </cols>
  <sheetData>
    <row r="1" spans="1:12" x14ac:dyDescent="0.2">
      <c r="A1" s="46" t="s">
        <v>0</v>
      </c>
      <c r="D1" s="46" t="s">
        <v>4</v>
      </c>
    </row>
    <row r="2" spans="1:12" x14ac:dyDescent="0.2">
      <c r="A2" s="46" t="s">
        <v>3</v>
      </c>
      <c r="D2" s="46" t="s">
        <v>5</v>
      </c>
    </row>
    <row r="3" spans="1:12" x14ac:dyDescent="0.2">
      <c r="A3" s="46" t="s">
        <v>2</v>
      </c>
      <c r="D3" s="222">
        <v>45688</v>
      </c>
    </row>
    <row r="5" spans="1:12" ht="19" x14ac:dyDescent="0.25">
      <c r="B5" s="223" t="s">
        <v>152</v>
      </c>
      <c r="C5" s="223"/>
      <c r="D5" s="223"/>
      <c r="E5" s="223"/>
      <c r="F5" s="223"/>
      <c r="G5" s="223"/>
      <c r="H5" s="223"/>
      <c r="I5" s="223"/>
      <c r="J5" s="223"/>
      <c r="K5" s="223"/>
      <c r="L5" s="223"/>
    </row>
    <row r="6" spans="1:12" x14ac:dyDescent="0.2">
      <c r="B6" s="10" t="s">
        <v>153</v>
      </c>
      <c r="C6" s="10"/>
      <c r="D6" s="10"/>
      <c r="E6" s="11">
        <v>44957</v>
      </c>
      <c r="F6" s="11">
        <v>45322</v>
      </c>
      <c r="G6" s="128">
        <v>45688</v>
      </c>
      <c r="H6" s="11">
        <v>46053</v>
      </c>
      <c r="I6" s="11">
        <v>46418</v>
      </c>
      <c r="J6" s="11">
        <v>46783</v>
      </c>
      <c r="K6" s="11">
        <v>47149</v>
      </c>
      <c r="L6" s="11">
        <v>47514</v>
      </c>
    </row>
    <row r="7" spans="1:12" x14ac:dyDescent="0.2">
      <c r="G7" s="196"/>
    </row>
    <row r="8" spans="1:12" x14ac:dyDescent="0.2">
      <c r="B8" s="194" t="s">
        <v>6</v>
      </c>
      <c r="E8" s="16">
        <v>109120</v>
      </c>
      <c r="F8" s="16">
        <v>107412</v>
      </c>
      <c r="G8" s="17">
        <v>106566</v>
      </c>
      <c r="H8" s="199">
        <v>105500.34</v>
      </c>
      <c r="I8" s="199">
        <v>105183.83898</v>
      </c>
      <c r="J8" s="199">
        <v>105604.57433592</v>
      </c>
      <c r="K8" s="199">
        <v>106766.22465361511</v>
      </c>
      <c r="L8" s="199">
        <v>108688.01669738018</v>
      </c>
    </row>
    <row r="9" spans="1:12" x14ac:dyDescent="0.2">
      <c r="B9" s="197" t="s">
        <v>7</v>
      </c>
      <c r="C9" s="197"/>
      <c r="D9" s="197"/>
      <c r="E9" s="24">
        <v>-82306</v>
      </c>
      <c r="F9" s="24">
        <v>-77828</v>
      </c>
      <c r="G9" s="25">
        <v>-76502</v>
      </c>
      <c r="H9" s="200">
        <v>-78597.753299999997</v>
      </c>
      <c r="I9" s="200">
        <v>-77836.040845199997</v>
      </c>
      <c r="J9" s="200">
        <v>-77619.362136901196</v>
      </c>
      <c r="K9" s="200">
        <v>-77939.343997139033</v>
      </c>
      <c r="L9" s="200">
        <v>-78798.812105600635</v>
      </c>
    </row>
    <row r="10" spans="1:12" s="46" customFormat="1" x14ac:dyDescent="0.2">
      <c r="B10" s="46" t="s">
        <v>8</v>
      </c>
      <c r="E10" s="20">
        <v>26814</v>
      </c>
      <c r="F10" s="20">
        <v>29584</v>
      </c>
      <c r="G10" s="23">
        <v>30064</v>
      </c>
      <c r="H10" s="20">
        <v>26902.5867</v>
      </c>
      <c r="I10" s="20">
        <v>27347.798134800003</v>
      </c>
      <c r="J10" s="20">
        <v>27985.212199018802</v>
      </c>
      <c r="K10" s="20">
        <v>28826.880656476074</v>
      </c>
      <c r="L10" s="20">
        <v>29889.204591779548</v>
      </c>
    </row>
    <row r="11" spans="1:12" x14ac:dyDescent="0.2">
      <c r="E11" s="199"/>
      <c r="F11" s="199"/>
      <c r="G11" s="227"/>
      <c r="H11" s="199"/>
      <c r="I11" s="199"/>
      <c r="J11" s="199"/>
      <c r="K11" s="199"/>
      <c r="L11" s="199"/>
    </row>
    <row r="12" spans="1:12" x14ac:dyDescent="0.2">
      <c r="B12" s="197" t="s">
        <v>9</v>
      </c>
      <c r="C12" s="197"/>
      <c r="D12" s="197"/>
      <c r="E12" s="24">
        <v>-20581</v>
      </c>
      <c r="F12" s="24">
        <v>-21462</v>
      </c>
      <c r="G12" s="25">
        <v>-21969</v>
      </c>
      <c r="H12" s="200">
        <v>-20045.064599999998</v>
      </c>
      <c r="I12" s="200">
        <v>-20195.29708416</v>
      </c>
      <c r="J12" s="200">
        <v>-20487.287421168479</v>
      </c>
      <c r="K12" s="200">
        <v>-20926.180032108561</v>
      </c>
      <c r="L12" s="200">
        <v>-21520.227306081277</v>
      </c>
    </row>
    <row r="13" spans="1:12" s="46" customFormat="1" x14ac:dyDescent="0.2">
      <c r="B13" s="46" t="s">
        <v>10</v>
      </c>
      <c r="E13" s="20">
        <v>6233</v>
      </c>
      <c r="F13" s="20">
        <v>8122</v>
      </c>
      <c r="G13" s="23">
        <v>8095</v>
      </c>
      <c r="H13" s="20">
        <v>6857.522100000002</v>
      </c>
      <c r="I13" s="20">
        <v>7152.5010506400031</v>
      </c>
      <c r="J13" s="20">
        <v>7497.9247778503232</v>
      </c>
      <c r="K13" s="20">
        <v>7900.7006243675132</v>
      </c>
      <c r="L13" s="20">
        <v>8368.9772856982709</v>
      </c>
    </row>
    <row r="14" spans="1:12" x14ac:dyDescent="0.2">
      <c r="E14" s="199"/>
      <c r="F14" s="199"/>
      <c r="G14" s="227"/>
      <c r="H14" s="199"/>
      <c r="I14" s="199"/>
      <c r="J14" s="199"/>
      <c r="K14" s="199"/>
      <c r="L14" s="199"/>
    </row>
    <row r="15" spans="1:12" x14ac:dyDescent="0.2">
      <c r="B15" s="197" t="s">
        <v>11</v>
      </c>
      <c r="C15" s="197"/>
      <c r="D15" s="197"/>
      <c r="E15" s="24">
        <v>-2385</v>
      </c>
      <c r="F15" s="24">
        <v>-2415</v>
      </c>
      <c r="G15" s="25">
        <v>-2529</v>
      </c>
      <c r="H15" s="200">
        <v>-2648.52</v>
      </c>
      <c r="I15" s="200">
        <v>-2776.8595881600004</v>
      </c>
      <c r="J15" s="200">
        <v>-2887.4283904814406</v>
      </c>
      <c r="K15" s="200">
        <v>-2983.6747204542262</v>
      </c>
      <c r="L15" s="200">
        <v>-3068.6496994088729</v>
      </c>
    </row>
    <row r="16" spans="1:12" s="46" customFormat="1" x14ac:dyDescent="0.2">
      <c r="B16" s="46" t="s">
        <v>12</v>
      </c>
      <c r="E16" s="20">
        <v>3848</v>
      </c>
      <c r="F16" s="20">
        <v>5707</v>
      </c>
      <c r="G16" s="23">
        <v>5566</v>
      </c>
      <c r="H16" s="20">
        <v>4209.0021000000015</v>
      </c>
      <c r="I16" s="20">
        <v>4375.6414624800027</v>
      </c>
      <c r="J16" s="20">
        <v>4610.496387368883</v>
      </c>
      <c r="K16" s="20">
        <v>4917.025903913287</v>
      </c>
      <c r="L16" s="20">
        <v>5300.3275862893979</v>
      </c>
    </row>
    <row r="17" spans="2:12" x14ac:dyDescent="0.2">
      <c r="E17" s="199"/>
      <c r="F17" s="199"/>
      <c r="G17" s="227"/>
      <c r="H17" s="199"/>
      <c r="I17" s="199"/>
      <c r="J17" s="199"/>
      <c r="K17" s="199"/>
      <c r="L17" s="199"/>
    </row>
    <row r="18" spans="2:12" x14ac:dyDescent="0.2">
      <c r="B18" s="194" t="s">
        <v>13</v>
      </c>
      <c r="E18" s="16">
        <v>-478</v>
      </c>
      <c r="F18" s="16">
        <v>-502</v>
      </c>
      <c r="G18" s="17">
        <v>-411</v>
      </c>
      <c r="H18" s="199">
        <v>-800.90323360323907</v>
      </c>
      <c r="I18" s="199">
        <v>-803.68924821061262</v>
      </c>
      <c r="J18" s="199">
        <v>-815.84915496651013</v>
      </c>
      <c r="K18" s="199">
        <v>-836.50648157860883</v>
      </c>
      <c r="L18" s="199">
        <v>-864.90701198864633</v>
      </c>
    </row>
    <row r="19" spans="2:12" x14ac:dyDescent="0.2">
      <c r="B19" s="197" t="s">
        <v>14</v>
      </c>
      <c r="C19" s="197"/>
      <c r="D19" s="197"/>
      <c r="E19" s="24">
        <v>48</v>
      </c>
      <c r="F19" s="24">
        <v>92</v>
      </c>
      <c r="G19" s="25">
        <v>106</v>
      </c>
      <c r="H19" s="200">
        <v>0</v>
      </c>
      <c r="I19" s="200">
        <v>0</v>
      </c>
      <c r="J19" s="200">
        <v>0</v>
      </c>
      <c r="K19" s="200">
        <v>0</v>
      </c>
      <c r="L19" s="200">
        <v>0</v>
      </c>
    </row>
    <row r="20" spans="2:12" s="46" customFormat="1" x14ac:dyDescent="0.2">
      <c r="B20" s="46" t="s">
        <v>15</v>
      </c>
      <c r="E20" s="20">
        <v>3418</v>
      </c>
      <c r="F20" s="20">
        <v>5297</v>
      </c>
      <c r="G20" s="23">
        <v>5261</v>
      </c>
      <c r="H20" s="20">
        <v>3408.0988663967623</v>
      </c>
      <c r="I20" s="20">
        <v>3571.95221426939</v>
      </c>
      <c r="J20" s="20">
        <v>3794.647232402373</v>
      </c>
      <c r="K20" s="20">
        <v>4080.519422334678</v>
      </c>
      <c r="L20" s="20">
        <v>4435.4205743007515</v>
      </c>
    </row>
    <row r="21" spans="2:12" x14ac:dyDescent="0.2">
      <c r="E21" s="199"/>
      <c r="F21" s="199"/>
      <c r="G21" s="227"/>
      <c r="H21" s="199"/>
      <c r="I21" s="199"/>
      <c r="J21" s="199"/>
      <c r="K21" s="199"/>
      <c r="L21" s="199"/>
    </row>
    <row r="22" spans="2:12" ht="17" thickBot="1" x14ac:dyDescent="0.25">
      <c r="B22" s="225" t="s">
        <v>16</v>
      </c>
      <c r="C22" s="225"/>
      <c r="D22" s="225"/>
      <c r="E22" s="231">
        <v>-638</v>
      </c>
      <c r="F22" s="231">
        <v>-1159</v>
      </c>
      <c r="G22" s="232">
        <v>-1170</v>
      </c>
      <c r="H22" s="226">
        <v>-800.90323360323907</v>
      </c>
      <c r="I22" s="226">
        <v>-803.68924821061262</v>
      </c>
      <c r="J22" s="226">
        <v>-815.84915496651013</v>
      </c>
      <c r="K22" s="226">
        <v>-836.50648157860883</v>
      </c>
      <c r="L22" s="226">
        <v>-864.90701198864633</v>
      </c>
    </row>
    <row r="23" spans="2:12" s="46" customFormat="1" ht="17" thickTop="1" x14ac:dyDescent="0.2">
      <c r="B23" s="46" t="s">
        <v>154</v>
      </c>
      <c r="E23" s="20">
        <v>2780</v>
      </c>
      <c r="F23" s="20">
        <v>4138</v>
      </c>
      <c r="G23" s="23">
        <v>4091</v>
      </c>
      <c r="H23" s="20">
        <v>2607.1956327935231</v>
      </c>
      <c r="I23" s="20">
        <v>2768.2629660587772</v>
      </c>
      <c r="J23" s="20">
        <v>2978.798077435863</v>
      </c>
      <c r="K23" s="20">
        <v>3244.0129407560689</v>
      </c>
      <c r="L23" s="20">
        <v>3570.513562312105</v>
      </c>
    </row>
    <row r="24" spans="2:12" x14ac:dyDescent="0.2">
      <c r="E24" s="199"/>
      <c r="F24" s="199"/>
      <c r="G24" s="227"/>
      <c r="H24" s="199"/>
      <c r="I24" s="199"/>
      <c r="J24" s="199"/>
      <c r="K24" s="199"/>
      <c r="L24" s="199"/>
    </row>
    <row r="25" spans="2:12" x14ac:dyDescent="0.2">
      <c r="B25" s="194" t="s">
        <v>18</v>
      </c>
      <c r="E25" s="16">
        <v>464.7</v>
      </c>
      <c r="F25" s="16">
        <v>462.8</v>
      </c>
      <c r="G25" s="17">
        <v>461.8</v>
      </c>
      <c r="H25" s="199">
        <v>456.90404566920495</v>
      </c>
      <c r="I25" s="199">
        <v>447.09217985716589</v>
      </c>
      <c r="J25" s="199">
        <v>437.66319541741245</v>
      </c>
      <c r="K25" s="199">
        <v>428.6618422583939</v>
      </c>
      <c r="L25" s="199">
        <v>420.12976960234374</v>
      </c>
    </row>
    <row r="26" spans="2:12" x14ac:dyDescent="0.2">
      <c r="B26" s="194" t="s">
        <v>19</v>
      </c>
      <c r="E26" s="199">
        <v>5.9823542070152786</v>
      </c>
      <c r="F26" s="199">
        <v>8.9412273120138295</v>
      </c>
      <c r="G26" s="227">
        <v>8.8588133391078383</v>
      </c>
      <c r="H26" s="199">
        <v>7.353219067178566</v>
      </c>
      <c r="I26" s="199">
        <v>6.8080167823515305</v>
      </c>
      <c r="J26" s="199">
        <v>6.1871083876422821</v>
      </c>
      <c r="K26" s="199">
        <v>5.4889221910130521</v>
      </c>
      <c r="L26" s="199">
        <v>4.7130536286436691</v>
      </c>
    </row>
    <row r="27" spans="2:12" x14ac:dyDescent="0.2">
      <c r="B27" s="194" t="s">
        <v>20</v>
      </c>
      <c r="E27" s="16">
        <v>168.12</v>
      </c>
      <c r="F27" s="16">
        <v>140.5</v>
      </c>
      <c r="G27" s="17">
        <v>140.1</v>
      </c>
      <c r="H27" s="199"/>
      <c r="I27" s="199"/>
      <c r="J27" s="199"/>
      <c r="K27" s="199"/>
      <c r="L27" s="199"/>
    </row>
    <row r="28" spans="2:12" x14ac:dyDescent="0.2">
      <c r="B28" s="194" t="s">
        <v>21</v>
      </c>
      <c r="E28" s="199">
        <v>28.102648920863309</v>
      </c>
      <c r="F28" s="199">
        <v>15.713726437892701</v>
      </c>
      <c r="G28" s="227">
        <v>15.81475922757272</v>
      </c>
      <c r="H28" s="199"/>
      <c r="I28" s="199"/>
      <c r="J28" s="199"/>
      <c r="K28" s="199"/>
      <c r="L28" s="199"/>
    </row>
    <row r="29" spans="2:12" x14ac:dyDescent="0.2">
      <c r="E29" s="199"/>
      <c r="F29" s="199"/>
      <c r="G29" s="227"/>
      <c r="H29" s="199"/>
      <c r="I29" s="199"/>
      <c r="J29" s="199"/>
      <c r="K29" s="199"/>
      <c r="L29" s="199"/>
    </row>
    <row r="30" spans="2:12" x14ac:dyDescent="0.2">
      <c r="E30" s="199"/>
      <c r="F30" s="199"/>
      <c r="G30" s="227"/>
      <c r="H30" s="199"/>
      <c r="I30" s="199"/>
      <c r="J30" s="199"/>
      <c r="K30" s="199"/>
      <c r="L30" s="199"/>
    </row>
    <row r="31" spans="2:12" x14ac:dyDescent="0.2">
      <c r="E31" s="199"/>
      <c r="F31" s="199"/>
      <c r="G31" s="227"/>
      <c r="H31" s="199"/>
      <c r="I31" s="199"/>
      <c r="J31" s="199"/>
      <c r="K31" s="199"/>
      <c r="L31" s="199"/>
    </row>
    <row r="32" spans="2:12" x14ac:dyDescent="0.2">
      <c r="B32" s="10" t="s">
        <v>155</v>
      </c>
      <c r="C32" s="10"/>
      <c r="D32" s="10"/>
      <c r="E32" s="11"/>
      <c r="F32" s="11"/>
      <c r="G32" s="128"/>
      <c r="H32" s="11"/>
      <c r="I32" s="11"/>
      <c r="J32" s="11"/>
      <c r="K32" s="11"/>
      <c r="L32" s="11"/>
    </row>
    <row r="33" spans="1:12" x14ac:dyDescent="0.2">
      <c r="B33" s="194" t="s">
        <v>188</v>
      </c>
      <c r="C33" s="194" t="s">
        <v>156</v>
      </c>
      <c r="D33" s="199" t="s">
        <v>157</v>
      </c>
      <c r="E33" s="199" t="s">
        <v>194</v>
      </c>
      <c r="F33" s="199" t="s">
        <v>195</v>
      </c>
      <c r="G33" s="227"/>
      <c r="H33" s="199"/>
      <c r="I33" s="199"/>
      <c r="J33" s="199"/>
      <c r="K33" s="199"/>
      <c r="L33" s="199"/>
    </row>
    <row r="34" spans="1:12" x14ac:dyDescent="0.2">
      <c r="B34" s="20" t="s">
        <v>150</v>
      </c>
      <c r="C34" s="221">
        <f>-E9</f>
        <v>82306</v>
      </c>
      <c r="D34" s="239">
        <v>2.5000000000000001E-2</v>
      </c>
      <c r="E34" s="233">
        <v>4.1000000000000002E-2</v>
      </c>
      <c r="F34" s="245">
        <v>0</v>
      </c>
      <c r="G34" s="234"/>
      <c r="H34" s="205"/>
      <c r="I34" s="205"/>
      <c r="J34" s="205"/>
      <c r="K34" s="205"/>
      <c r="L34" s="205"/>
    </row>
    <row r="35" spans="1:12" x14ac:dyDescent="0.2">
      <c r="B35" s="20" t="s">
        <v>149</v>
      </c>
      <c r="C35" s="221">
        <f>-F9</f>
        <v>77828</v>
      </c>
      <c r="D35" s="240">
        <v>2.2499999999999999E-2</v>
      </c>
      <c r="E35" s="233">
        <v>2.9000000000000001E-2</v>
      </c>
      <c r="F35" s="194">
        <v>0</v>
      </c>
      <c r="G35" s="196"/>
      <c r="H35" s="199"/>
      <c r="I35" s="199"/>
      <c r="J35" s="199"/>
      <c r="K35" s="199"/>
      <c r="L35" s="199"/>
    </row>
    <row r="36" spans="1:12" x14ac:dyDescent="0.2">
      <c r="A36" s="197"/>
      <c r="B36" s="242" t="s">
        <v>151</v>
      </c>
      <c r="C36" s="243">
        <f>-G9</f>
        <v>76502</v>
      </c>
      <c r="D36" s="250">
        <v>0.22500000000000001</v>
      </c>
      <c r="E36" s="251">
        <v>3.5999999999999997E-2</v>
      </c>
      <c r="F36" s="252">
        <v>1</v>
      </c>
      <c r="G36" s="199"/>
      <c r="H36" s="199"/>
      <c r="I36" s="199"/>
      <c r="J36" s="199"/>
      <c r="K36" s="199"/>
      <c r="L36" s="199"/>
    </row>
    <row r="37" spans="1:12" x14ac:dyDescent="0.2">
      <c r="B37" s="20" t="s">
        <v>189</v>
      </c>
      <c r="C37" s="221">
        <f>-H9</f>
        <v>78597.753299999997</v>
      </c>
      <c r="D37" s="240">
        <v>0.18</v>
      </c>
      <c r="E37" s="244">
        <v>2.4E-2</v>
      </c>
      <c r="F37" s="194">
        <v>1</v>
      </c>
    </row>
    <row r="38" spans="1:12" x14ac:dyDescent="0.2">
      <c r="B38" s="20" t="s">
        <v>190</v>
      </c>
      <c r="C38" s="221">
        <f>-I9</f>
        <v>77836.040845199997</v>
      </c>
      <c r="D38" s="240">
        <v>0.15</v>
      </c>
      <c r="E38" s="244">
        <v>2.3E-2</v>
      </c>
      <c r="F38" s="194">
        <v>1</v>
      </c>
    </row>
    <row r="39" spans="1:12" x14ac:dyDescent="0.2">
      <c r="B39" s="20" t="s">
        <v>191</v>
      </c>
      <c r="C39" s="221">
        <f>-J9</f>
        <v>77619.362136901196</v>
      </c>
      <c r="D39" s="240">
        <v>0.12</v>
      </c>
      <c r="E39" s="244">
        <v>2.9000000000000001E-2</v>
      </c>
      <c r="F39" s="194">
        <v>1</v>
      </c>
    </row>
    <row r="40" spans="1:12" x14ac:dyDescent="0.2">
      <c r="B40" s="20" t="s">
        <v>192</v>
      </c>
      <c r="C40" s="199">
        <f>-K9</f>
        <v>77939.343997139033</v>
      </c>
      <c r="D40" s="240">
        <v>0.12</v>
      </c>
      <c r="E40" s="244">
        <v>0.03</v>
      </c>
      <c r="F40" s="194">
        <v>1</v>
      </c>
    </row>
    <row r="41" spans="1:12" x14ac:dyDescent="0.2">
      <c r="B41" s="20" t="s">
        <v>193</v>
      </c>
      <c r="C41" s="221">
        <f>-L9</f>
        <v>78798.812105600635</v>
      </c>
      <c r="D41" s="240">
        <v>0.1</v>
      </c>
      <c r="E41" s="244">
        <v>0.03</v>
      </c>
      <c r="F41" s="194">
        <v>1</v>
      </c>
    </row>
    <row r="42" spans="1:12" x14ac:dyDescent="0.2">
      <c r="B42" s="199"/>
      <c r="C42" s="221"/>
      <c r="D42" s="241"/>
    </row>
    <row r="43" spans="1:12" x14ac:dyDescent="0.2">
      <c r="B43" s="199"/>
      <c r="C43" s="221"/>
    </row>
    <row r="44" spans="1:12" x14ac:dyDescent="0.2">
      <c r="B44" s="199"/>
      <c r="C44" t="s">
        <v>158</v>
      </c>
      <c r="D44"/>
      <c r="E44"/>
      <c r="F44"/>
      <c r="G44"/>
      <c r="H44"/>
      <c r="I44"/>
      <c r="J44"/>
      <c r="K44"/>
    </row>
    <row r="45" spans="1:12" ht="17" thickBot="1" x14ac:dyDescent="0.25">
      <c r="B45" s="199"/>
      <c r="C45"/>
      <c r="D45"/>
      <c r="E45"/>
      <c r="F45"/>
      <c r="G45"/>
      <c r="H45"/>
      <c r="I45"/>
      <c r="J45"/>
      <c r="K45"/>
    </row>
    <row r="46" spans="1:12" x14ac:dyDescent="0.2">
      <c r="B46" s="199"/>
      <c r="C46" s="237" t="s">
        <v>159</v>
      </c>
      <c r="D46" s="237"/>
      <c r="E46"/>
      <c r="F46"/>
      <c r="G46"/>
      <c r="H46"/>
      <c r="I46"/>
      <c r="J46"/>
      <c r="K46"/>
    </row>
    <row r="47" spans="1:12" x14ac:dyDescent="0.2">
      <c r="B47" s="199"/>
      <c r="C47" t="s">
        <v>160</v>
      </c>
      <c r="D47">
        <v>0.90416266651750987</v>
      </c>
      <c r="E47"/>
      <c r="F47"/>
      <c r="G47"/>
      <c r="H47"/>
      <c r="I47"/>
      <c r="J47"/>
      <c r="K47"/>
    </row>
    <row r="48" spans="1:12" x14ac:dyDescent="0.2">
      <c r="B48" s="199"/>
      <c r="C48" t="s">
        <v>161</v>
      </c>
      <c r="D48">
        <v>0.81751012752405383</v>
      </c>
      <c r="E48"/>
      <c r="F48"/>
      <c r="G48"/>
      <c r="H48"/>
      <c r="I48"/>
      <c r="J48"/>
      <c r="K48"/>
    </row>
    <row r="49" spans="2:12" x14ac:dyDescent="0.2">
      <c r="B49" s="199"/>
      <c r="C49" t="s">
        <v>162</v>
      </c>
      <c r="D49">
        <v>0.68064272316709418</v>
      </c>
      <c r="E49"/>
      <c r="F49"/>
      <c r="G49"/>
      <c r="H49"/>
      <c r="I49"/>
      <c r="J49"/>
      <c r="K49"/>
    </row>
    <row r="50" spans="2:12" x14ac:dyDescent="0.2">
      <c r="B50" s="199"/>
      <c r="C50" t="s">
        <v>163</v>
      </c>
      <c r="D50">
        <v>1045.0388200879518</v>
      </c>
      <c r="E50"/>
      <c r="F50"/>
      <c r="G50"/>
      <c r="H50"/>
      <c r="I50"/>
      <c r="J50"/>
      <c r="K50"/>
    </row>
    <row r="51" spans="2:12" ht="17" thickBot="1" x14ac:dyDescent="0.25">
      <c r="B51" s="199"/>
      <c r="C51" s="235" t="s">
        <v>164</v>
      </c>
      <c r="D51" s="235">
        <v>8</v>
      </c>
      <c r="E51"/>
      <c r="F51"/>
      <c r="G51"/>
      <c r="H51"/>
      <c r="I51"/>
      <c r="J51"/>
      <c r="K51"/>
    </row>
    <row r="52" spans="2:12" x14ac:dyDescent="0.2">
      <c r="B52" s="199"/>
      <c r="C52"/>
      <c r="D52"/>
      <c r="E52"/>
      <c r="F52"/>
      <c r="G52"/>
      <c r="H52"/>
      <c r="I52"/>
      <c r="J52"/>
      <c r="K52"/>
      <c r="L52" s="248"/>
    </row>
    <row r="53" spans="2:12" ht="17" thickBot="1" x14ac:dyDescent="0.25">
      <c r="B53" s="199"/>
      <c r="C53" t="s">
        <v>165</v>
      </c>
      <c r="D53"/>
      <c r="E53"/>
      <c r="F53"/>
      <c r="G53"/>
      <c r="H53"/>
      <c r="I53"/>
      <c r="J53"/>
      <c r="K53"/>
    </row>
    <row r="54" spans="2:12" x14ac:dyDescent="0.2">
      <c r="B54" s="199"/>
      <c r="C54" s="236"/>
      <c r="D54" s="236" t="s">
        <v>169</v>
      </c>
      <c r="E54" s="236" t="s">
        <v>170</v>
      </c>
      <c r="F54" s="236" t="s">
        <v>171</v>
      </c>
      <c r="G54" s="236" t="s">
        <v>172</v>
      </c>
      <c r="H54" s="236" t="s">
        <v>173</v>
      </c>
      <c r="I54"/>
      <c r="J54"/>
      <c r="K54"/>
    </row>
    <row r="55" spans="2:12" x14ac:dyDescent="0.2">
      <c r="B55" s="199"/>
      <c r="C55" t="s">
        <v>155</v>
      </c>
      <c r="D55">
        <v>3</v>
      </c>
      <c r="E55">
        <v>19569476.683427043</v>
      </c>
      <c r="F55">
        <v>6523158.8944756808</v>
      </c>
      <c r="G55">
        <v>5.9730081926002718</v>
      </c>
      <c r="H55">
        <v>5.850345706528625E-2</v>
      </c>
      <c r="I55"/>
      <c r="J55"/>
      <c r="K55"/>
    </row>
    <row r="56" spans="2:12" x14ac:dyDescent="0.2">
      <c r="B56" s="199"/>
      <c r="C56" t="s">
        <v>166</v>
      </c>
      <c r="D56">
        <v>4</v>
      </c>
      <c r="E56">
        <v>4368424.5419632737</v>
      </c>
      <c r="F56">
        <v>1092106.1354908184</v>
      </c>
      <c r="G56"/>
      <c r="H56"/>
      <c r="I56"/>
      <c r="J56"/>
      <c r="K56"/>
    </row>
    <row r="57" spans="2:12" ht="17" thickBot="1" x14ac:dyDescent="0.25">
      <c r="B57" s="199"/>
      <c r="C57" s="235" t="s">
        <v>167</v>
      </c>
      <c r="D57" s="235">
        <v>7</v>
      </c>
      <c r="E57" s="235">
        <v>23937901.225390315</v>
      </c>
      <c r="F57" s="235"/>
      <c r="G57" s="235"/>
      <c r="H57" s="235"/>
      <c r="I57"/>
      <c r="J57"/>
      <c r="K57"/>
    </row>
    <row r="58" spans="2:12" ht="17" thickBot="1" x14ac:dyDescent="0.25">
      <c r="B58" s="199"/>
      <c r="C58"/>
      <c r="D58"/>
      <c r="E58"/>
      <c r="F58"/>
      <c r="G58"/>
      <c r="H58"/>
      <c r="I58"/>
      <c r="J58"/>
      <c r="K58"/>
    </row>
    <row r="59" spans="2:12" x14ac:dyDescent="0.2">
      <c r="B59" s="199"/>
      <c r="C59" s="236"/>
      <c r="D59" s="236" t="s">
        <v>174</v>
      </c>
      <c r="E59" s="236" t="s">
        <v>163</v>
      </c>
      <c r="F59" s="236" t="s">
        <v>175</v>
      </c>
      <c r="G59" s="236" t="s">
        <v>176</v>
      </c>
      <c r="H59" s="236" t="s">
        <v>177</v>
      </c>
      <c r="I59" s="236" t="s">
        <v>178</v>
      </c>
      <c r="J59" s="236" t="s">
        <v>179</v>
      </c>
      <c r="K59" s="236" t="s">
        <v>180</v>
      </c>
    </row>
    <row r="60" spans="2:12" x14ac:dyDescent="0.2">
      <c r="B60" s="199"/>
      <c r="C60" t="s">
        <v>168</v>
      </c>
      <c r="D60">
        <v>74013.404657447347</v>
      </c>
      <c r="E60">
        <v>2823.8219531573613</v>
      </c>
      <c r="F60">
        <v>26.210365201917831</v>
      </c>
      <c r="G60">
        <v>1.2590882383046899E-5</v>
      </c>
      <c r="H60">
        <v>66173.218017653518</v>
      </c>
      <c r="I60">
        <v>81853.591297241175</v>
      </c>
      <c r="J60">
        <v>66173.218017653518</v>
      </c>
      <c r="K60">
        <v>81853.591297241175</v>
      </c>
    </row>
    <row r="61" spans="2:12" x14ac:dyDescent="0.2">
      <c r="B61" s="199"/>
      <c r="C61" t="s">
        <v>181</v>
      </c>
      <c r="D61">
        <v>-32261.182622983128</v>
      </c>
      <c r="E61">
        <v>10294.376425693363</v>
      </c>
      <c r="F61">
        <v>-3.1338646741597294</v>
      </c>
      <c r="G61">
        <v>3.5054362115067454E-2</v>
      </c>
      <c r="H61">
        <v>-60842.953661163017</v>
      </c>
      <c r="I61">
        <v>-3679.4115848032343</v>
      </c>
      <c r="J61">
        <v>-60842.953661163017</v>
      </c>
      <c r="K61">
        <v>-3679.4115848032343</v>
      </c>
    </row>
    <row r="62" spans="2:12" x14ac:dyDescent="0.2">
      <c r="B62" s="199"/>
      <c r="C62" t="s">
        <v>182</v>
      </c>
      <c r="D62">
        <v>194851.38370995727</v>
      </c>
      <c r="E62">
        <v>79099.253195184428</v>
      </c>
      <c r="F62">
        <v>2.4633782980117926</v>
      </c>
      <c r="G62">
        <v>6.9438840510763641E-2</v>
      </c>
      <c r="H62">
        <v>-24763.350648613443</v>
      </c>
      <c r="I62">
        <v>414466.11806852801</v>
      </c>
      <c r="J62">
        <v>-24763.350648613443</v>
      </c>
      <c r="K62">
        <v>414466.11806852801</v>
      </c>
    </row>
    <row r="63" spans="2:12" ht="17" thickBot="1" x14ac:dyDescent="0.25">
      <c r="B63" s="199"/>
      <c r="C63" s="235" t="s">
        <v>183</v>
      </c>
      <c r="D63" s="235">
        <v>3414.691226114086</v>
      </c>
      <c r="E63" s="235">
        <v>1711.4539777714499</v>
      </c>
      <c r="F63" s="235">
        <v>1.9951989772815784</v>
      </c>
      <c r="G63" s="235">
        <v>0.11675496904206824</v>
      </c>
      <c r="H63" s="235">
        <v>-1337.0667932407496</v>
      </c>
      <c r="I63" s="235">
        <v>8166.4492454689216</v>
      </c>
      <c r="J63" s="235">
        <v>-1337.0667932407496</v>
      </c>
      <c r="K63" s="235">
        <v>8166.4492454689216</v>
      </c>
    </row>
    <row r="64" spans="2:12" x14ac:dyDescent="0.2">
      <c r="B64" s="199"/>
      <c r="C64"/>
      <c r="D64"/>
      <c r="E64"/>
      <c r="F64"/>
      <c r="G64"/>
      <c r="H64"/>
      <c r="I64"/>
      <c r="J64"/>
      <c r="K64"/>
    </row>
    <row r="65" spans="2:12" x14ac:dyDescent="0.2">
      <c r="B65" s="199"/>
      <c r="C65"/>
      <c r="D65"/>
      <c r="E65"/>
      <c r="F65"/>
      <c r="G65"/>
      <c r="H65"/>
      <c r="I65"/>
      <c r="J65"/>
      <c r="K65"/>
    </row>
    <row r="66" spans="2:12" x14ac:dyDescent="0.2">
      <c r="B66" s="199"/>
      <c r="C66"/>
      <c r="D66"/>
      <c r="E66"/>
      <c r="F66"/>
      <c r="G66"/>
      <c r="H66"/>
      <c r="I66"/>
      <c r="J66"/>
      <c r="K66"/>
    </row>
    <row r="67" spans="2:12" x14ac:dyDescent="0.2">
      <c r="B67" s="199"/>
      <c r="C67" t="s">
        <v>184</v>
      </c>
      <c r="D67"/>
      <c r="E67"/>
      <c r="F67"/>
      <c r="G67"/>
      <c r="H67"/>
      <c r="I67"/>
      <c r="J67"/>
      <c r="K67"/>
    </row>
    <row r="68" spans="2:12" ht="17" thickBot="1" x14ac:dyDescent="0.25">
      <c r="B68" s="199"/>
      <c r="C68"/>
      <c r="D68"/>
      <c r="E68"/>
      <c r="F68"/>
      <c r="G68"/>
      <c r="H68"/>
      <c r="I68"/>
      <c r="J68"/>
      <c r="K68"/>
    </row>
    <row r="69" spans="2:12" x14ac:dyDescent="0.2">
      <c r="B69" s="199"/>
      <c r="C69" s="236" t="s">
        <v>185</v>
      </c>
      <c r="D69" s="236" t="s">
        <v>186</v>
      </c>
      <c r="E69" s="236" t="s">
        <v>187</v>
      </c>
      <c r="F69"/>
      <c r="G69"/>
      <c r="H69"/>
      <c r="I69"/>
      <c r="J69"/>
      <c r="K69"/>
      <c r="L69" s="199"/>
    </row>
    <row r="70" spans="2:12" x14ac:dyDescent="0.2">
      <c r="B70" s="199"/>
      <c r="C70">
        <v>1</v>
      </c>
      <c r="D70">
        <v>81195.781823981029</v>
      </c>
      <c r="E70">
        <v>1110.2181760189706</v>
      </c>
      <c r="F70"/>
      <c r="G70"/>
      <c r="H70"/>
      <c r="I70"/>
      <c r="J70"/>
      <c r="K70"/>
      <c r="L70" s="199"/>
    </row>
    <row r="71" spans="2:12" x14ac:dyDescent="0.2">
      <c r="B71" s="199"/>
      <c r="C71">
        <v>2</v>
      </c>
      <c r="D71">
        <v>78938.218176018985</v>
      </c>
      <c r="E71">
        <v>-1110.2181760189851</v>
      </c>
      <c r="F71"/>
      <c r="G71"/>
      <c r="H71"/>
      <c r="I71"/>
      <c r="J71"/>
      <c r="K71"/>
      <c r="L71" s="199"/>
    </row>
    <row r="72" spans="2:12" x14ac:dyDescent="0.2">
      <c r="B72" s="199"/>
      <c r="C72">
        <v>3</v>
      </c>
      <c r="D72">
        <v>77183.979606948677</v>
      </c>
      <c r="E72">
        <v>-681.97960694867652</v>
      </c>
      <c r="F72"/>
      <c r="G72"/>
      <c r="H72"/>
      <c r="I72"/>
      <c r="J72"/>
      <c r="K72"/>
      <c r="L72" s="199"/>
    </row>
    <row r="73" spans="2:12" x14ac:dyDescent="0.2">
      <c r="B73" s="199"/>
      <c r="C73">
        <v>4</v>
      </c>
      <c r="D73">
        <v>76297.51622046344</v>
      </c>
      <c r="E73">
        <v>659.12067953657242</v>
      </c>
      <c r="F73"/>
      <c r="G73"/>
      <c r="H73"/>
      <c r="I73"/>
      <c r="J73"/>
      <c r="K73"/>
      <c r="L73" s="199"/>
    </row>
    <row r="74" spans="2:12" x14ac:dyDescent="0.2">
      <c r="B74" s="199"/>
      <c r="C74">
        <v>5</v>
      </c>
      <c r="D74">
        <v>77070.500315442987</v>
      </c>
      <c r="E74">
        <v>827.26781959702203</v>
      </c>
      <c r="F74"/>
      <c r="G74"/>
      <c r="H74"/>
      <c r="I74"/>
      <c r="J74"/>
      <c r="K74"/>
      <c r="L74" s="199"/>
    </row>
    <row r="75" spans="2:12" x14ac:dyDescent="0.2">
      <c r="B75" s="199"/>
      <c r="C75">
        <v>6</v>
      </c>
      <c r="D75">
        <v>79207.444096392224</v>
      </c>
      <c r="E75">
        <v>-514.85834386292845</v>
      </c>
      <c r="F75"/>
      <c r="G75"/>
      <c r="H75"/>
      <c r="I75"/>
      <c r="J75"/>
      <c r="K75"/>
      <c r="L75" s="199"/>
    </row>
    <row r="76" spans="2:12" x14ac:dyDescent="0.2">
      <c r="B76" s="199"/>
      <c r="C76">
        <v>7</v>
      </c>
      <c r="D76">
        <v>79402.295480102184</v>
      </c>
      <c r="E76">
        <v>-66.198651849030284</v>
      </c>
      <c r="F76"/>
      <c r="G76"/>
      <c r="H76"/>
      <c r="I76"/>
      <c r="J76"/>
      <c r="K76"/>
      <c r="L76" s="199"/>
    </row>
    <row r="77" spans="2:12" ht="17" thickBot="1" x14ac:dyDescent="0.25">
      <c r="B77" s="199"/>
      <c r="C77" s="235">
        <v>8</v>
      </c>
      <c r="D77" s="235">
        <v>80047.519132561836</v>
      </c>
      <c r="E77" s="235">
        <v>-223.35189647297375</v>
      </c>
      <c r="F77"/>
      <c r="G77"/>
      <c r="H77"/>
      <c r="I77"/>
      <c r="J77"/>
      <c r="K77"/>
      <c r="L77" s="199"/>
    </row>
    <row r="78" spans="2:12" x14ac:dyDescent="0.2"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</row>
    <row r="79" spans="2:12" x14ac:dyDescent="0.2"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</row>
    <row r="80" spans="2:12" x14ac:dyDescent="0.2"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</row>
    <row r="81" spans="2:12" x14ac:dyDescent="0.2">
      <c r="B81" s="199"/>
      <c r="C81" s="199"/>
      <c r="D81" s="199"/>
      <c r="E81" s="199"/>
      <c r="F81" s="199"/>
      <c r="G81" s="199"/>
      <c r="H81" s="199"/>
      <c r="I81" s="199"/>
      <c r="J81" s="199"/>
      <c r="K81" s="199"/>
      <c r="L81" s="199"/>
    </row>
    <row r="82" spans="2:12" x14ac:dyDescent="0.2">
      <c r="B82" s="199"/>
      <c r="C82" s="199"/>
      <c r="D82" s="199"/>
      <c r="E82" s="199"/>
      <c r="F82" s="199"/>
      <c r="G82" s="199"/>
      <c r="H82" s="199"/>
      <c r="I82" s="199"/>
      <c r="J82" s="199"/>
      <c r="K82" s="199"/>
      <c r="L82" s="199"/>
    </row>
    <row r="83" spans="2:12" x14ac:dyDescent="0.2">
      <c r="B83" s="199"/>
      <c r="C83" s="199"/>
      <c r="D83" s="199"/>
      <c r="E83" s="199"/>
      <c r="F83" s="199"/>
      <c r="G83" s="199"/>
      <c r="H83" s="199"/>
      <c r="I83" s="199"/>
      <c r="J83" s="199"/>
      <c r="K83" s="199"/>
      <c r="L83" s="199"/>
    </row>
    <row r="84" spans="2:12" x14ac:dyDescent="0.2"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</row>
    <row r="85" spans="2:12" x14ac:dyDescent="0.2"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</row>
    <row r="86" spans="2:12" x14ac:dyDescent="0.2"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</row>
    <row r="87" spans="2:12" x14ac:dyDescent="0.2"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</row>
    <row r="88" spans="2:12" x14ac:dyDescent="0.2"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</row>
    <row r="89" spans="2:12" x14ac:dyDescent="0.2"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</row>
    <row r="90" spans="2:12" x14ac:dyDescent="0.2"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</row>
    <row r="91" spans="2:12" x14ac:dyDescent="0.2"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</row>
    <row r="92" spans="2:12" x14ac:dyDescent="0.2"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</row>
    <row r="93" spans="2:12" x14ac:dyDescent="0.2"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</row>
    <row r="94" spans="2:12" x14ac:dyDescent="0.2"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</row>
    <row r="95" spans="2:12" x14ac:dyDescent="0.2"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</row>
    <row r="96" spans="2:12" x14ac:dyDescent="0.2"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</row>
    <row r="97" spans="2:12" x14ac:dyDescent="0.2"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</row>
    <row r="98" spans="2:12" x14ac:dyDescent="0.2">
      <c r="B98" s="199"/>
      <c r="C98" s="199"/>
      <c r="D98" s="199"/>
      <c r="E98" s="199"/>
      <c r="F98" s="199"/>
      <c r="G98" s="199"/>
      <c r="H98" s="199"/>
      <c r="I98" s="199"/>
      <c r="J98" s="199"/>
      <c r="K98" s="199"/>
      <c r="L98" s="199"/>
    </row>
    <row r="99" spans="2:12" x14ac:dyDescent="0.2"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</row>
    <row r="100" spans="2:12" x14ac:dyDescent="0.2"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247EB-BB5D-42BB-81D6-31B31E08CA15}">
  <dimension ref="A1:L34"/>
  <sheetViews>
    <sheetView showGridLines="0" workbookViewId="0">
      <selection activeCell="E35" sqref="E35"/>
    </sheetView>
  </sheetViews>
  <sheetFormatPr baseColWidth="10" defaultColWidth="8.83203125" defaultRowHeight="16" x14ac:dyDescent="0.2"/>
  <cols>
    <col min="1" max="1" width="4.33203125" style="13" customWidth="1"/>
    <col min="2" max="2" width="33.33203125" style="13" bestFit="1" customWidth="1"/>
    <col min="3" max="3" width="8.83203125" style="13"/>
    <col min="4" max="4" width="12.33203125" style="13" customWidth="1"/>
    <col min="5" max="5" width="13.5" style="13" customWidth="1"/>
    <col min="6" max="10" width="10.1640625" style="13" bestFit="1" customWidth="1"/>
    <col min="11" max="12" width="10.83203125" style="13" bestFit="1" customWidth="1"/>
    <col min="13" max="16384" width="8.83203125" style="13"/>
  </cols>
  <sheetData>
    <row r="1" spans="1:12" x14ac:dyDescent="0.2">
      <c r="A1" s="46" t="s">
        <v>0</v>
      </c>
      <c r="B1" s="46"/>
      <c r="D1" s="318" t="str">
        <f>Income_Statement!D1</f>
        <v>Target Corporation</v>
      </c>
      <c r="E1" s="319"/>
    </row>
    <row r="2" spans="1:12" x14ac:dyDescent="0.2">
      <c r="A2" s="46" t="s">
        <v>1</v>
      </c>
      <c r="B2" s="46"/>
      <c r="D2" s="56" t="str">
        <f>Income_Statement!D2</f>
        <v>TGT</v>
      </c>
      <c r="E2" s="57"/>
    </row>
    <row r="3" spans="1:12" x14ac:dyDescent="0.2">
      <c r="A3" s="46" t="s">
        <v>2</v>
      </c>
      <c r="B3" s="46"/>
      <c r="D3" s="320">
        <f>Income_Statement!D3</f>
        <v>45688</v>
      </c>
      <c r="E3" s="321"/>
    </row>
    <row r="5" spans="1:12" ht="19" x14ac:dyDescent="0.25">
      <c r="B5" s="322" t="str">
        <f>"Balance Sheet for "&amp;D1&amp;"  (all $ values in millions of USD except per share values)"</f>
        <v>Balance Sheet for Target Corporation  (all $ values in millions of USD except per share values)</v>
      </c>
      <c r="C5" s="322"/>
      <c r="D5" s="322"/>
      <c r="E5" s="322"/>
      <c r="F5" s="322"/>
      <c r="G5" s="322"/>
      <c r="H5" s="322"/>
      <c r="I5" s="322"/>
      <c r="J5" s="322"/>
      <c r="K5" s="322"/>
      <c r="L5" s="322"/>
    </row>
    <row r="6" spans="1:12" x14ac:dyDescent="0.2">
      <c r="B6" s="119" t="str">
        <f>"Fiscal Year Ending "&amp;TEXT(D3,"mmmm dd,")</f>
        <v>Fiscal Year Ending January 31,</v>
      </c>
      <c r="C6" s="58"/>
      <c r="D6" s="58"/>
      <c r="E6" s="11">
        <f>EDATE(F6,-12)</f>
        <v>44957</v>
      </c>
      <c r="F6" s="11">
        <f>EDATE(G6,-12)</f>
        <v>45322</v>
      </c>
      <c r="G6" s="11">
        <f>D3</f>
        <v>45688</v>
      </c>
      <c r="H6" s="12">
        <f>EDATE(G6,12)</f>
        <v>46053</v>
      </c>
      <c r="I6" s="12">
        <f t="shared" ref="I6:L6" si="0">EDATE(H6,12)</f>
        <v>46418</v>
      </c>
      <c r="J6" s="12">
        <f t="shared" si="0"/>
        <v>46783</v>
      </c>
      <c r="K6" s="12">
        <f t="shared" si="0"/>
        <v>47149</v>
      </c>
      <c r="L6" s="12">
        <f t="shared" si="0"/>
        <v>47514</v>
      </c>
    </row>
    <row r="7" spans="1:12" x14ac:dyDescent="0.2">
      <c r="D7" s="18"/>
      <c r="E7" s="18"/>
      <c r="F7" s="18"/>
      <c r="G7" s="21"/>
      <c r="H7" s="18"/>
      <c r="I7" s="18"/>
      <c r="J7" s="18"/>
      <c r="K7" s="18"/>
      <c r="L7" s="18"/>
    </row>
    <row r="8" spans="1:12" x14ac:dyDescent="0.2">
      <c r="B8" s="1" t="s">
        <v>29</v>
      </c>
      <c r="D8" s="18"/>
      <c r="E8" s="63">
        <v>2229</v>
      </c>
      <c r="F8" s="63">
        <v>3805</v>
      </c>
      <c r="G8" s="64">
        <v>4762</v>
      </c>
      <c r="H8" s="18">
        <f ca="1">Statement_Cash_Flows!H35</f>
        <v>-502.34631117907975</v>
      </c>
      <c r="I8" s="18">
        <f ca="1">Statement_Cash_Flows!I35</f>
        <v>-3700.4069355857855</v>
      </c>
      <c r="J8" s="18">
        <f ca="1">Statement_Cash_Flows!J35</f>
        <v>-6747.5405244141002</v>
      </c>
      <c r="K8" s="18">
        <f ca="1">Statement_Cash_Flows!K35</f>
        <v>-9650.5241657269798</v>
      </c>
      <c r="L8" s="18">
        <f ca="1">Statement_Cash_Flows!L35</f>
        <v>-12405.61388849041</v>
      </c>
    </row>
    <row r="9" spans="1:12" x14ac:dyDescent="0.2">
      <c r="B9" s="1" t="s">
        <v>31</v>
      </c>
      <c r="D9" s="18"/>
      <c r="E9" s="16">
        <v>1695</v>
      </c>
      <c r="F9" s="16">
        <v>1404</v>
      </c>
      <c r="G9" s="17">
        <v>1541</v>
      </c>
      <c r="H9" s="18">
        <f>NWC!H12</f>
        <v>1589.7311506849314</v>
      </c>
      <c r="I9" s="18">
        <f>NWC!I12</f>
        <v>1584.9619572328768</v>
      </c>
      <c r="J9" s="18">
        <f>NWC!J12</f>
        <v>1591.3018050618084</v>
      </c>
      <c r="K9" s="18">
        <f>NWC!K12</f>
        <v>1608.806124917488</v>
      </c>
      <c r="L9" s="18">
        <f>NWC!L12</f>
        <v>1637.7646351660028</v>
      </c>
    </row>
    <row r="10" spans="1:12" x14ac:dyDescent="0.2">
      <c r="B10" s="1" t="s">
        <v>30</v>
      </c>
      <c r="D10" s="18"/>
      <c r="E10" s="16">
        <v>13499</v>
      </c>
      <c r="F10" s="16">
        <v>11886</v>
      </c>
      <c r="G10" s="17">
        <v>12740</v>
      </c>
      <c r="H10" s="18">
        <f>NWC!H13</f>
        <v>11994.232489890412</v>
      </c>
      <c r="I10" s="18">
        <f>NWC!I13</f>
        <v>11877.993082404493</v>
      </c>
      <c r="J10" s="18">
        <f>NWC!J13</f>
        <v>11844.9273178778</v>
      </c>
      <c r="K10" s="18">
        <f>NWC!K13</f>
        <v>11893.757426412723</v>
      </c>
      <c r="L10" s="18">
        <f>NWC!L13</f>
        <v>12024.91461447111</v>
      </c>
    </row>
    <row r="11" spans="1:12" x14ac:dyDescent="0.2">
      <c r="B11" s="2" t="s">
        <v>32</v>
      </c>
      <c r="C11" s="22"/>
      <c r="D11" s="66"/>
      <c r="E11" s="16">
        <v>423</v>
      </c>
      <c r="F11" s="16">
        <v>403</v>
      </c>
      <c r="G11" s="17">
        <v>411</v>
      </c>
      <c r="H11" s="18">
        <f>NWC!H14</f>
        <v>422.00135999999998</v>
      </c>
      <c r="I11" s="18">
        <f>NWC!I14</f>
        <v>420.73535592000002</v>
      </c>
      <c r="J11" s="18">
        <f>NWC!J14</f>
        <v>422.41829734368002</v>
      </c>
      <c r="K11" s="18">
        <f>NWC!K14</f>
        <v>427.06489861446045</v>
      </c>
      <c r="L11" s="18">
        <f>NWC!L14</f>
        <v>434.75206678952071</v>
      </c>
    </row>
    <row r="12" spans="1:12" x14ac:dyDescent="0.2">
      <c r="B12" s="3" t="s">
        <v>33</v>
      </c>
      <c r="D12" s="18"/>
      <c r="E12" s="173">
        <f>SUM(E8:E11)</f>
        <v>17846</v>
      </c>
      <c r="F12" s="173">
        <f t="shared" ref="F12:L12" si="1">SUM(F8:F11)</f>
        <v>17498</v>
      </c>
      <c r="G12" s="180">
        <f t="shared" si="1"/>
        <v>19454</v>
      </c>
      <c r="H12" s="173">
        <f t="shared" ca="1" si="1"/>
        <v>13503.618689396264</v>
      </c>
      <c r="I12" s="173">
        <f t="shared" ca="1" si="1"/>
        <v>10183.283459971584</v>
      </c>
      <c r="J12" s="173">
        <f t="shared" ca="1" si="1"/>
        <v>7111.1068958691885</v>
      </c>
      <c r="K12" s="173">
        <f t="shared" ca="1" si="1"/>
        <v>4279.1042842176921</v>
      </c>
      <c r="L12" s="173">
        <f t="shared" ca="1" si="1"/>
        <v>1691.8174279362231</v>
      </c>
    </row>
    <row r="13" spans="1:12" x14ac:dyDescent="0.2">
      <c r="B13"/>
      <c r="D13" s="18"/>
      <c r="E13" s="18"/>
      <c r="F13" s="18"/>
      <c r="G13" s="21"/>
      <c r="H13" s="18"/>
      <c r="I13" s="18"/>
      <c r="J13" s="18"/>
      <c r="K13" s="18"/>
      <c r="L13" s="18"/>
    </row>
    <row r="14" spans="1:12" x14ac:dyDescent="0.2">
      <c r="B14" s="1"/>
      <c r="D14" s="18"/>
      <c r="E14" s="18"/>
      <c r="F14" s="18"/>
      <c r="G14" s="21"/>
      <c r="H14" s="18"/>
      <c r="I14" s="18"/>
      <c r="J14" s="18"/>
      <c r="K14" s="18"/>
      <c r="L14" s="18"/>
    </row>
    <row r="15" spans="1:12" x14ac:dyDescent="0.2">
      <c r="B15" s="1" t="s">
        <v>47</v>
      </c>
      <c r="D15" s="18"/>
      <c r="E15" s="16">
        <v>34169</v>
      </c>
      <c r="F15" s="16">
        <v>36458</v>
      </c>
      <c r="G15" s="17">
        <v>36785</v>
      </c>
      <c r="H15" s="18">
        <f>Fixed_Asset_Schedule!H20</f>
        <v>38567.494280000006</v>
      </c>
      <c r="I15" s="18">
        <f>Fixed_Asset_Schedule!I20</f>
        <v>40103.172090020009</v>
      </c>
      <c r="J15" s="18">
        <f>Fixed_Asset_Schedule!J20</f>
        <v>41439.926672975365</v>
      </c>
      <c r="K15" s="18">
        <f>Fixed_Asset_Schedule!K20</f>
        <v>42620.134714012129</v>
      </c>
      <c r="L15" s="18">
        <f>Fixed_Asset_Schedule!L20</f>
        <v>43681.629649103699</v>
      </c>
    </row>
    <row r="16" spans="1:12" x14ac:dyDescent="0.2">
      <c r="B16" s="2" t="s">
        <v>34</v>
      </c>
      <c r="C16" s="22"/>
      <c r="D16" s="66"/>
      <c r="E16" s="24">
        <v>1320</v>
      </c>
      <c r="F16" s="24">
        <v>1400</v>
      </c>
      <c r="G16" s="17">
        <v>1530</v>
      </c>
      <c r="H16" s="18">
        <f>G16</f>
        <v>1530</v>
      </c>
      <c r="I16" s="18">
        <f t="shared" ref="I16:L16" si="2">H16</f>
        <v>1530</v>
      </c>
      <c r="J16" s="18">
        <f t="shared" si="2"/>
        <v>1530</v>
      </c>
      <c r="K16" s="18">
        <f t="shared" si="2"/>
        <v>1530</v>
      </c>
      <c r="L16" s="18">
        <f t="shared" si="2"/>
        <v>1530</v>
      </c>
    </row>
    <row r="17" spans="2:12" x14ac:dyDescent="0.2">
      <c r="B17" s="59" t="s">
        <v>35</v>
      </c>
      <c r="C17" s="22"/>
      <c r="D17" s="66"/>
      <c r="E17" s="24">
        <v>35489</v>
      </c>
      <c r="F17" s="24">
        <v>37858</v>
      </c>
      <c r="G17" s="174">
        <v>38315</v>
      </c>
      <c r="H17" s="68">
        <f>SUM(H15:H16)</f>
        <v>40097.494280000006</v>
      </c>
      <c r="I17" s="68">
        <f t="shared" ref="I17:L17" si="3">SUM(I15:I16)</f>
        <v>41633.172090020009</v>
      </c>
      <c r="J17" s="68">
        <f t="shared" si="3"/>
        <v>42969.926672975365</v>
      </c>
      <c r="K17" s="68">
        <f t="shared" si="3"/>
        <v>44150.134714012129</v>
      </c>
      <c r="L17" s="68">
        <f t="shared" si="3"/>
        <v>45211.629649103699</v>
      </c>
    </row>
    <row r="18" spans="2:12" ht="17" thickBot="1" x14ac:dyDescent="0.25">
      <c r="B18" s="60" t="s">
        <v>36</v>
      </c>
      <c r="C18" s="28"/>
      <c r="D18" s="72"/>
      <c r="E18" s="29">
        <f>E12+E17</f>
        <v>53335</v>
      </c>
      <c r="F18" s="29">
        <f t="shared" ref="F18:G18" si="4">F12+F17</f>
        <v>55356</v>
      </c>
      <c r="G18" s="75">
        <f t="shared" si="4"/>
        <v>57769</v>
      </c>
      <c r="H18" s="175">
        <f ca="1">H12+H17</f>
        <v>53601.112969396272</v>
      </c>
      <c r="I18" s="72">
        <f t="shared" ref="I18:L18" ca="1" si="5">I12+I17</f>
        <v>51816.455549991595</v>
      </c>
      <c r="J18" s="72">
        <f t="shared" ca="1" si="5"/>
        <v>50081.033568844556</v>
      </c>
      <c r="K18" s="72">
        <f t="shared" ca="1" si="5"/>
        <v>48429.238998229819</v>
      </c>
      <c r="L18" s="72">
        <f t="shared" ca="1" si="5"/>
        <v>46903.44707703992</v>
      </c>
    </row>
    <row r="19" spans="2:12" ht="17" thickTop="1" x14ac:dyDescent="0.2">
      <c r="B19"/>
      <c r="D19" s="18"/>
      <c r="E19" s="18"/>
      <c r="F19" s="18"/>
      <c r="G19" s="21"/>
      <c r="H19" s="18"/>
      <c r="I19" s="18"/>
      <c r="J19" s="18"/>
      <c r="K19" s="18"/>
      <c r="L19" s="18"/>
    </row>
    <row r="20" spans="2:12" x14ac:dyDescent="0.2">
      <c r="B20"/>
      <c r="D20" s="18"/>
      <c r="E20" s="18"/>
      <c r="F20" s="18"/>
      <c r="G20" s="21"/>
      <c r="H20" s="18"/>
      <c r="I20" s="18"/>
      <c r="J20" s="18"/>
      <c r="K20" s="18"/>
      <c r="L20" s="18"/>
    </row>
    <row r="21" spans="2:12" x14ac:dyDescent="0.2">
      <c r="B21" s="1" t="s">
        <v>37</v>
      </c>
      <c r="D21" s="18"/>
      <c r="E21" s="16">
        <v>13487</v>
      </c>
      <c r="F21" s="16">
        <v>12098</v>
      </c>
      <c r="G21" s="17">
        <v>13053</v>
      </c>
      <c r="H21" s="18">
        <f>NWC!H17</f>
        <v>11843.49707260274</v>
      </c>
      <c r="I21" s="18">
        <f>NWC!I17</f>
        <v>11728.718483523287</v>
      </c>
      <c r="J21" s="18">
        <f>NWC!J17</f>
        <v>11696.068267204289</v>
      </c>
      <c r="K21" s="18">
        <f>NWC!K17</f>
        <v>11744.284711897662</v>
      </c>
      <c r="L21" s="18">
        <f>NWC!L17</f>
        <v>11873.79360495352</v>
      </c>
    </row>
    <row r="22" spans="2:12" x14ac:dyDescent="0.2">
      <c r="B22" s="1" t="s">
        <v>38</v>
      </c>
      <c r="D22" s="18"/>
      <c r="E22" s="16">
        <v>6013</v>
      </c>
      <c r="F22" s="16">
        <v>7206</v>
      </c>
      <c r="G22" s="17">
        <v>7746</v>
      </c>
      <c r="H22" s="18">
        <f>NWC!H18</f>
        <v>6287.820264</v>
      </c>
      <c r="I22" s="18">
        <f>NWC!I18</f>
        <v>6226.883267616</v>
      </c>
      <c r="J22" s="18">
        <f>NWC!J18</f>
        <v>6209.5489709520962</v>
      </c>
      <c r="K22" s="18">
        <f>NWC!K18</f>
        <v>6235.1475197711225</v>
      </c>
      <c r="L22" s="18">
        <f>NWC!L18</f>
        <v>6303.9049684480506</v>
      </c>
    </row>
    <row r="23" spans="2:12" x14ac:dyDescent="0.2">
      <c r="B23" s="2" t="s">
        <v>39</v>
      </c>
      <c r="C23" s="22"/>
      <c r="D23" s="66"/>
      <c r="E23" s="24">
        <v>0</v>
      </c>
      <c r="F23" s="24">
        <v>0</v>
      </c>
      <c r="G23" s="25">
        <v>0</v>
      </c>
      <c r="H23" s="18">
        <f>G23</f>
        <v>0</v>
      </c>
      <c r="I23" s="18">
        <f t="shared" ref="I23:L23" si="6">H23</f>
        <v>0</v>
      </c>
      <c r="J23" s="18">
        <f t="shared" si="6"/>
        <v>0</v>
      </c>
      <c r="K23" s="18">
        <f t="shared" si="6"/>
        <v>0</v>
      </c>
      <c r="L23" s="18">
        <f t="shared" si="6"/>
        <v>0</v>
      </c>
    </row>
    <row r="24" spans="2:12" x14ac:dyDescent="0.2">
      <c r="B24" s="3" t="s">
        <v>40</v>
      </c>
      <c r="D24" s="18"/>
      <c r="E24" s="20">
        <f>SUM(E21:E23)</f>
        <v>19500</v>
      </c>
      <c r="F24" s="20">
        <f>SUM(F21:F23)</f>
        <v>19304</v>
      </c>
      <c r="G24" s="23">
        <f>SUM(G21:G23)</f>
        <v>20799</v>
      </c>
      <c r="H24" s="176">
        <f>SUM(H21:H23)</f>
        <v>18131.31733660274</v>
      </c>
      <c r="I24" s="177">
        <f t="shared" ref="I24:L24" si="7">SUM(I21:I23)</f>
        <v>17955.601751139286</v>
      </c>
      <c r="J24" s="177">
        <f t="shared" si="7"/>
        <v>17905.617238156385</v>
      </c>
      <c r="K24" s="177">
        <f t="shared" si="7"/>
        <v>17979.432231668783</v>
      </c>
      <c r="L24" s="177">
        <f t="shared" si="7"/>
        <v>18177.698573401569</v>
      </c>
    </row>
    <row r="25" spans="2:12" x14ac:dyDescent="0.2">
      <c r="B25"/>
      <c r="D25" s="18"/>
      <c r="E25" s="18"/>
      <c r="F25" s="18"/>
      <c r="G25" s="21"/>
      <c r="H25" s="18"/>
      <c r="I25" s="18"/>
      <c r="J25" s="18"/>
      <c r="K25" s="18"/>
      <c r="L25" s="18"/>
    </row>
    <row r="26" spans="2:12" x14ac:dyDescent="0.2">
      <c r="B26" s="1" t="s">
        <v>41</v>
      </c>
      <c r="D26" s="18"/>
      <c r="E26" s="16">
        <v>18647</v>
      </c>
      <c r="F26" s="16">
        <v>18201</v>
      </c>
      <c r="G26" s="17">
        <v>17886</v>
      </c>
      <c r="H26" s="18">
        <f>'Debt&amp;Interest'!H29</f>
        <v>17886</v>
      </c>
      <c r="I26" s="18">
        <f>'Debt&amp;Interest'!I29</f>
        <v>17886</v>
      </c>
      <c r="J26" s="18">
        <f>'Debt&amp;Interest'!J29</f>
        <v>17886</v>
      </c>
      <c r="K26" s="18">
        <f>'Debt&amp;Interest'!K29</f>
        <v>17886</v>
      </c>
      <c r="L26" s="18">
        <f>'Debt&amp;Interest'!L29</f>
        <v>17886</v>
      </c>
    </row>
    <row r="27" spans="2:12" x14ac:dyDescent="0.2">
      <c r="B27" s="2" t="s">
        <v>42</v>
      </c>
      <c r="C27" s="22"/>
      <c r="D27" s="66"/>
      <c r="E27" s="24">
        <v>3956</v>
      </c>
      <c r="F27" s="24">
        <v>4419</v>
      </c>
      <c r="G27" s="25">
        <v>4418</v>
      </c>
      <c r="H27" s="18">
        <f>G27</f>
        <v>4418</v>
      </c>
      <c r="I27" s="18">
        <f t="shared" ref="I27:L27" si="8">H27</f>
        <v>4418</v>
      </c>
      <c r="J27" s="18">
        <f t="shared" si="8"/>
        <v>4418</v>
      </c>
      <c r="K27" s="18">
        <f t="shared" si="8"/>
        <v>4418</v>
      </c>
      <c r="L27" s="18">
        <f t="shared" si="8"/>
        <v>4418</v>
      </c>
    </row>
    <row r="28" spans="2:12" x14ac:dyDescent="0.2">
      <c r="B28" s="26" t="s">
        <v>43</v>
      </c>
      <c r="C28" s="67"/>
      <c r="D28" s="68"/>
      <c r="E28" s="69">
        <f>SUM(E26:E27)</f>
        <v>22603</v>
      </c>
      <c r="F28" s="69">
        <f t="shared" ref="F28:G28" si="9">SUM(F26:F27)</f>
        <v>22620</v>
      </c>
      <c r="G28" s="70">
        <f t="shared" si="9"/>
        <v>22304</v>
      </c>
      <c r="H28" s="178">
        <f>SUM(H26:H27)</f>
        <v>22304</v>
      </c>
      <c r="I28" s="68">
        <f t="shared" ref="I28:L28" si="10">SUM(I26:I27)</f>
        <v>22304</v>
      </c>
      <c r="J28" s="68">
        <f t="shared" si="10"/>
        <v>22304</v>
      </c>
      <c r="K28" s="68">
        <f t="shared" si="10"/>
        <v>22304</v>
      </c>
      <c r="L28" s="68">
        <f t="shared" si="10"/>
        <v>22304</v>
      </c>
    </row>
    <row r="29" spans="2:12" x14ac:dyDescent="0.2">
      <c r="B29" s="61" t="s">
        <v>44</v>
      </c>
      <c r="D29" s="18"/>
      <c r="E29" s="20">
        <f>E24+E28</f>
        <v>42103</v>
      </c>
      <c r="F29" s="20">
        <f t="shared" ref="F29:G29" si="11">F24+F28</f>
        <v>41924</v>
      </c>
      <c r="G29" s="23">
        <f t="shared" si="11"/>
        <v>43103</v>
      </c>
      <c r="H29" s="18">
        <f>H24+H28</f>
        <v>40435.31733660274</v>
      </c>
      <c r="I29" s="18">
        <f t="shared" ref="I29:L29" si="12">I24+I28</f>
        <v>40259.601751139286</v>
      </c>
      <c r="J29" s="18">
        <f t="shared" si="12"/>
        <v>40209.617238156381</v>
      </c>
      <c r="K29" s="18">
        <f t="shared" si="12"/>
        <v>40283.432231668783</v>
      </c>
      <c r="L29" s="18">
        <f t="shared" si="12"/>
        <v>40481.698573401569</v>
      </c>
    </row>
    <row r="30" spans="2:12" x14ac:dyDescent="0.2">
      <c r="B30"/>
      <c r="D30" s="18"/>
      <c r="E30" s="18"/>
      <c r="F30" s="18"/>
      <c r="G30" s="21"/>
      <c r="H30" s="18"/>
      <c r="I30" s="18"/>
      <c r="J30" s="18"/>
      <c r="K30" s="18"/>
      <c r="L30" s="18"/>
    </row>
    <row r="31" spans="2:12" x14ac:dyDescent="0.2">
      <c r="B31" s="2" t="s">
        <v>45</v>
      </c>
      <c r="C31" s="22"/>
      <c r="D31" s="66"/>
      <c r="E31" s="24">
        <v>11232</v>
      </c>
      <c r="F31" s="24">
        <v>13432</v>
      </c>
      <c r="G31" s="25">
        <v>14666</v>
      </c>
      <c r="H31" s="179">
        <f ca="1">Equity!H14</f>
        <v>13165.795632793523</v>
      </c>
      <c r="I31" s="66">
        <f ca="1">Equity!I14</f>
        <v>11556.853798852298</v>
      </c>
      <c r="J31" s="66">
        <f ca="1">Equity!J14</f>
        <v>9871.4163306881601</v>
      </c>
      <c r="K31" s="66">
        <f ca="1">Equity!K14</f>
        <v>8145.8067665610324</v>
      </c>
      <c r="L31" s="66">
        <f ca="1">Equity!L14</f>
        <v>6421.7485036383277</v>
      </c>
    </row>
    <row r="32" spans="2:12" ht="17" thickBot="1" x14ac:dyDescent="0.25">
      <c r="B32" s="71" t="s">
        <v>46</v>
      </c>
      <c r="C32" s="65"/>
      <c r="D32" s="31"/>
      <c r="E32" s="74">
        <f>E29+E31</f>
        <v>53335</v>
      </c>
      <c r="F32" s="74">
        <f t="shared" ref="F32:G32" si="13">F29+F31</f>
        <v>55356</v>
      </c>
      <c r="G32" s="75">
        <f t="shared" si="13"/>
        <v>57769</v>
      </c>
      <c r="H32" s="31">
        <f ca="1">H29+H31</f>
        <v>53601.112969396265</v>
      </c>
      <c r="I32" s="31">
        <f t="shared" ref="I32:L32" ca="1" si="14">I29+I31</f>
        <v>51816.455549991588</v>
      </c>
      <c r="J32" s="31">
        <f t="shared" ca="1" si="14"/>
        <v>50081.033568844541</v>
      </c>
      <c r="K32" s="31">
        <f t="shared" ca="1" si="14"/>
        <v>48429.238998229819</v>
      </c>
      <c r="L32" s="31">
        <f t="shared" ca="1" si="14"/>
        <v>46903.447077039898</v>
      </c>
    </row>
    <row r="33" spans="2:12" ht="17" thickTop="1" x14ac:dyDescent="0.2">
      <c r="D33" s="18"/>
      <c r="E33" s="18"/>
      <c r="F33" s="18"/>
      <c r="G33" s="18"/>
      <c r="H33" s="18"/>
      <c r="I33" s="18"/>
      <c r="J33" s="18"/>
      <c r="K33" s="18"/>
      <c r="L33" s="18"/>
    </row>
    <row r="34" spans="2:12" x14ac:dyDescent="0.2">
      <c r="B34" s="13" t="s">
        <v>48</v>
      </c>
      <c r="D34" s="18"/>
      <c r="E34" s="73">
        <f>E18-E32</f>
        <v>0</v>
      </c>
      <c r="F34" s="73">
        <f t="shared" ref="F34:G34" si="15">F18-F32</f>
        <v>0</v>
      </c>
      <c r="G34" s="73">
        <f t="shared" si="15"/>
        <v>0</v>
      </c>
      <c r="H34" s="73">
        <f ca="1">H18-H32</f>
        <v>0</v>
      </c>
      <c r="I34" s="73">
        <f t="shared" ref="I34:J34" ca="1" si="16">I18-I32</f>
        <v>0</v>
      </c>
      <c r="J34" s="73">
        <f t="shared" ca="1" si="16"/>
        <v>0</v>
      </c>
      <c r="K34" s="73">
        <f ca="1">K18-K32</f>
        <v>0</v>
      </c>
      <c r="L34" s="73">
        <f ca="1">L18-L32</f>
        <v>0</v>
      </c>
    </row>
  </sheetData>
  <mergeCells count="3">
    <mergeCell ref="D1:E1"/>
    <mergeCell ref="D3:E3"/>
    <mergeCell ref="B5:L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1B2-AE96-43FF-B67F-3543A1945EC5}">
  <dimension ref="A1:R36"/>
  <sheetViews>
    <sheetView showGridLines="0" topLeftCell="A21" workbookViewId="0">
      <selection activeCell="B3" sqref="A1:B3"/>
    </sheetView>
  </sheetViews>
  <sheetFormatPr baseColWidth="10" defaultColWidth="8.83203125" defaultRowHeight="16" x14ac:dyDescent="0.2"/>
  <cols>
    <col min="1" max="1" width="3.5" style="13" customWidth="1"/>
    <col min="2" max="2" width="43.5" style="13" bestFit="1" customWidth="1"/>
    <col min="3" max="3" width="12.1640625" style="13"/>
    <col min="4" max="5" width="13.1640625" style="13" customWidth="1"/>
    <col min="6" max="6" width="11.1640625" style="13" bestFit="1" customWidth="1"/>
    <col min="7" max="12" width="12.1640625" style="13" customWidth="1"/>
    <col min="13" max="16384" width="8.83203125" style="13"/>
  </cols>
  <sheetData>
    <row r="1" spans="1:18" x14ac:dyDescent="0.2">
      <c r="A1" s="46" t="s">
        <v>0</v>
      </c>
      <c r="B1" s="46"/>
      <c r="D1" s="323" t="str">
        <f>Income_Statement!D1</f>
        <v>Target Corporation</v>
      </c>
      <c r="E1" s="324"/>
    </row>
    <row r="2" spans="1:18" x14ac:dyDescent="0.2">
      <c r="A2" s="46" t="s">
        <v>1</v>
      </c>
      <c r="B2" s="46"/>
      <c r="D2" s="323" t="str">
        <f>Income_Statement!D2</f>
        <v>TGT</v>
      </c>
      <c r="E2" s="324"/>
    </row>
    <row r="3" spans="1:18" x14ac:dyDescent="0.2">
      <c r="A3" s="46" t="s">
        <v>2</v>
      </c>
      <c r="B3" s="46"/>
      <c r="D3" s="325">
        <f>Income_Statement!D3</f>
        <v>45688</v>
      </c>
      <c r="E3" s="324"/>
    </row>
    <row r="5" spans="1:18" ht="19" x14ac:dyDescent="0.25">
      <c r="B5" s="322" t="str">
        <f>"Cash Flow Statement for "&amp;D1&amp;"  (all $ values in millions of USD except per share values)"</f>
        <v>Cash Flow Statement for Target Corporation  (all $ values in millions of USD except per share values)</v>
      </c>
      <c r="C5" s="322"/>
      <c r="D5" s="322"/>
      <c r="E5" s="322"/>
      <c r="F5" s="322"/>
      <c r="G5" s="322"/>
      <c r="H5" s="322"/>
      <c r="I5" s="322"/>
      <c r="J5" s="322"/>
      <c r="K5" s="322"/>
      <c r="L5" s="322"/>
    </row>
    <row r="6" spans="1:18" x14ac:dyDescent="0.2">
      <c r="B6" s="10" t="str">
        <f>"Fiscal Year Ending "&amp;TEXT(D3,"mmmm dd,")</f>
        <v>Fiscal Year Ending January 31,</v>
      </c>
      <c r="C6" s="78"/>
      <c r="D6" s="78"/>
      <c r="E6" s="11"/>
      <c r="F6" s="11"/>
      <c r="G6" s="11">
        <f>D3</f>
        <v>45688</v>
      </c>
      <c r="H6" s="12">
        <f>EDATE(G6,12)</f>
        <v>46053</v>
      </c>
      <c r="I6" s="12">
        <f t="shared" ref="I6:L6" si="0">EDATE(H6,12)</f>
        <v>46418</v>
      </c>
      <c r="J6" s="12">
        <f t="shared" si="0"/>
        <v>46783</v>
      </c>
      <c r="K6" s="12">
        <f t="shared" si="0"/>
        <v>47149</v>
      </c>
      <c r="L6" s="12">
        <f t="shared" si="0"/>
        <v>47514</v>
      </c>
    </row>
    <row r="7" spans="1:18" x14ac:dyDescent="0.2">
      <c r="E7" s="18"/>
      <c r="F7" s="18"/>
      <c r="G7" s="18"/>
      <c r="H7" s="18"/>
      <c r="I7" s="18"/>
      <c r="J7" s="18"/>
      <c r="K7" s="18"/>
      <c r="L7" s="18"/>
    </row>
    <row r="8" spans="1:18" x14ac:dyDescent="0.2">
      <c r="B8" s="36" t="s">
        <v>49</v>
      </c>
      <c r="E8" s="18"/>
      <c r="F8" s="18"/>
      <c r="G8" s="18"/>
      <c r="H8" s="18"/>
      <c r="I8" s="18"/>
      <c r="J8" s="18"/>
      <c r="K8" s="18"/>
      <c r="L8" s="18"/>
    </row>
    <row r="9" spans="1:18" x14ac:dyDescent="0.2">
      <c r="B9" s="79" t="s">
        <v>17</v>
      </c>
      <c r="E9" s="85"/>
      <c r="F9" s="85"/>
      <c r="G9" s="85">
        <f>Income_Statement!G23</f>
        <v>4091</v>
      </c>
      <c r="H9" s="152">
        <f ca="1">Income_Statement!H23</f>
        <v>2607.1956327935231</v>
      </c>
      <c r="I9" s="152">
        <f ca="1">Income_Statement!I23</f>
        <v>2768.2629660587772</v>
      </c>
      <c r="J9" s="152">
        <f ca="1">Income_Statement!J23</f>
        <v>2978.798077435863</v>
      </c>
      <c r="K9" s="152">
        <f ca="1">Income_Statement!K23</f>
        <v>3244.0129407560689</v>
      </c>
      <c r="L9" s="152">
        <f ca="1">Income_Statement!L23</f>
        <v>3570.513562312105</v>
      </c>
    </row>
    <row r="10" spans="1:18" x14ac:dyDescent="0.2">
      <c r="B10" s="79" t="s">
        <v>50</v>
      </c>
      <c r="E10" s="85"/>
      <c r="F10" s="85"/>
      <c r="G10" s="85">
        <f>Fixed_Asset_Schedule!G13</f>
        <v>2529</v>
      </c>
      <c r="H10" s="152">
        <f>Fixed_Asset_Schedule!H13</f>
        <v>2648.52</v>
      </c>
      <c r="I10" s="152">
        <f>Fixed_Asset_Schedule!I13</f>
        <v>2776.8595881600004</v>
      </c>
      <c r="J10" s="152">
        <f>Fixed_Asset_Schedule!J13</f>
        <v>2887.4283904814406</v>
      </c>
      <c r="K10" s="152">
        <f>Fixed_Asset_Schedule!K13</f>
        <v>2983.6747204542262</v>
      </c>
      <c r="L10" s="152">
        <f>Fixed_Asset_Schedule!L13</f>
        <v>3068.6496994088729</v>
      </c>
    </row>
    <row r="11" spans="1:18" x14ac:dyDescent="0.2">
      <c r="B11" s="79" t="s">
        <v>51</v>
      </c>
      <c r="E11" s="16"/>
      <c r="F11" s="16"/>
      <c r="G11" s="191">
        <v>251</v>
      </c>
      <c r="H11" s="152">
        <f>Equity!H10</f>
        <v>251</v>
      </c>
      <c r="I11" s="152">
        <f>Equity!I10</f>
        <v>251</v>
      </c>
      <c r="J11" s="152">
        <f>Equity!J10</f>
        <v>251</v>
      </c>
      <c r="K11" s="152">
        <f>Equity!K10</f>
        <v>251</v>
      </c>
      <c r="L11" s="152">
        <f>Equity!L10</f>
        <v>251</v>
      </c>
    </row>
    <row r="12" spans="1:18" x14ac:dyDescent="0.2">
      <c r="B12" s="79" t="s">
        <v>52</v>
      </c>
      <c r="E12" s="89"/>
      <c r="F12" s="16"/>
      <c r="G12" s="16">
        <f>NWC!G23</f>
        <v>496</v>
      </c>
      <c r="H12" s="152">
        <f>NWC!H23</f>
        <v>-1981.6476639726025</v>
      </c>
      <c r="I12" s="152">
        <f>NWC!I23</f>
        <v>-53.440980445482637</v>
      </c>
      <c r="J12" s="152">
        <f>NWC!J23</f>
        <v>-24.941537708818942</v>
      </c>
      <c r="K12" s="152">
        <f>NWC!K23</f>
        <v>2.8339638510151417</v>
      </c>
      <c r="L12" s="152">
        <f>NWC!L23</f>
        <v>30.463475250824558</v>
      </c>
    </row>
    <row r="13" spans="1:18" x14ac:dyDescent="0.2">
      <c r="B13" s="80" t="s">
        <v>53</v>
      </c>
      <c r="C13" s="22"/>
      <c r="D13" s="22"/>
      <c r="E13" s="86"/>
      <c r="F13" s="86"/>
      <c r="G13" s="86"/>
      <c r="H13" s="152">
        <f>(Balance_Sheet!G16-Balance_Sheet!G27)-(Balance_Sheet!H16-Balance_Sheet!H27)</f>
        <v>0</v>
      </c>
      <c r="I13" s="152">
        <f>(Balance_Sheet!H16-Balance_Sheet!H27)-(Balance_Sheet!I16-Balance_Sheet!I27)</f>
        <v>0</v>
      </c>
      <c r="J13" s="152">
        <f>(Balance_Sheet!I16-Balance_Sheet!I27)-(Balance_Sheet!J16-Balance_Sheet!J27)</f>
        <v>0</v>
      </c>
      <c r="K13" s="152">
        <f>(Balance_Sheet!J16-Balance_Sheet!J27)-(Balance_Sheet!K16-Balance_Sheet!K27)</f>
        <v>0</v>
      </c>
      <c r="L13" s="152">
        <f>(Balance_Sheet!K16-Balance_Sheet!K27)-(Balance_Sheet!L16-Balance_Sheet!L27)</f>
        <v>0</v>
      </c>
    </row>
    <row r="14" spans="1:18" x14ac:dyDescent="0.2">
      <c r="B14" s="61" t="s">
        <v>54</v>
      </c>
      <c r="E14" s="88"/>
      <c r="F14" s="88"/>
      <c r="G14" s="181">
        <f>SUM(G9:G13)</f>
        <v>7367</v>
      </c>
      <c r="H14" s="181">
        <f ca="1">SUM(H9:H13)</f>
        <v>3525.0679688209202</v>
      </c>
      <c r="I14" s="181">
        <f t="shared" ref="I14:L14" ca="1" si="1">SUM(I9:I13)</f>
        <v>5742.681573773295</v>
      </c>
      <c r="J14" s="181">
        <f t="shared" ca="1" si="1"/>
        <v>6092.2849302084851</v>
      </c>
      <c r="K14" s="181">
        <f t="shared" ca="1" si="1"/>
        <v>6481.5216250613103</v>
      </c>
      <c r="L14" s="181">
        <f t="shared" ca="1" si="1"/>
        <v>6920.6267369718025</v>
      </c>
      <c r="M14"/>
      <c r="N14"/>
      <c r="O14"/>
      <c r="P14"/>
      <c r="Q14"/>
      <c r="R14"/>
    </row>
    <row r="15" spans="1:18" x14ac:dyDescent="0.2">
      <c r="E15" s="18"/>
      <c r="F15" s="18"/>
      <c r="G15" s="18"/>
      <c r="H15" s="18"/>
      <c r="I15" s="18"/>
      <c r="J15" s="18"/>
      <c r="K15" s="18"/>
      <c r="L15" s="18"/>
      <c r="M15"/>
      <c r="N15"/>
      <c r="O15"/>
      <c r="P15"/>
      <c r="Q15"/>
      <c r="R15"/>
    </row>
    <row r="16" spans="1:18" x14ac:dyDescent="0.2">
      <c r="B16" s="36" t="s">
        <v>55</v>
      </c>
      <c r="E16" s="18"/>
      <c r="F16" s="18"/>
      <c r="G16" s="18"/>
      <c r="H16" s="18"/>
      <c r="I16" s="18"/>
      <c r="J16" s="18"/>
      <c r="K16" s="18"/>
      <c r="L16" s="18"/>
    </row>
    <row r="17" spans="2:12" x14ac:dyDescent="0.2">
      <c r="B17" s="79" t="s">
        <v>56</v>
      </c>
      <c r="E17" s="16"/>
      <c r="F17" s="16"/>
      <c r="G17" s="16">
        <f>-Fixed_Asset_Schedule!G10</f>
        <v>-2891</v>
      </c>
      <c r="H17" s="152">
        <f>-Fixed_Asset_Schedule!H10</f>
        <v>-4431.0142800000003</v>
      </c>
      <c r="I17" s="152">
        <f>-Fixed_Asset_Schedule!I10</f>
        <v>-4312.5373981800003</v>
      </c>
      <c r="J17" s="152">
        <f>-Fixed_Asset_Schedule!J10</f>
        <v>-4224.1829734368002</v>
      </c>
      <c r="K17" s="152">
        <f>-Fixed_Asset_Schedule!K10</f>
        <v>-4163.8827614909887</v>
      </c>
      <c r="L17" s="152">
        <f>-Fixed_Asset_Schedule!L10</f>
        <v>-4130.144634500447</v>
      </c>
    </row>
    <row r="18" spans="2:12" x14ac:dyDescent="0.2">
      <c r="B18" s="80" t="s">
        <v>57</v>
      </c>
      <c r="C18" s="22"/>
      <c r="D18" s="22"/>
      <c r="E18" s="24"/>
      <c r="F18" s="24"/>
      <c r="G18" s="16"/>
      <c r="H18" s="152">
        <v>0</v>
      </c>
      <c r="I18" s="152">
        <v>0</v>
      </c>
      <c r="J18" s="152">
        <v>0</v>
      </c>
      <c r="K18" s="152">
        <v>0</v>
      </c>
      <c r="L18" s="152">
        <v>0</v>
      </c>
    </row>
    <row r="19" spans="2:12" x14ac:dyDescent="0.2">
      <c r="B19" s="61" t="s">
        <v>58</v>
      </c>
      <c r="E19" s="18"/>
      <c r="F19" s="18"/>
      <c r="G19" s="183">
        <f>SUM(G17:G18)</f>
        <v>-2891</v>
      </c>
      <c r="H19" s="183">
        <f>SUM(H17:H18)</f>
        <v>-4431.0142800000003</v>
      </c>
      <c r="I19" s="183">
        <f t="shared" ref="I19:L19" si="2">SUM(I17:I18)</f>
        <v>-4312.5373981800003</v>
      </c>
      <c r="J19" s="183">
        <f t="shared" si="2"/>
        <v>-4224.1829734368002</v>
      </c>
      <c r="K19" s="183">
        <f t="shared" si="2"/>
        <v>-4163.8827614909887</v>
      </c>
      <c r="L19" s="183">
        <f t="shared" si="2"/>
        <v>-4130.144634500447</v>
      </c>
    </row>
    <row r="20" spans="2:12" x14ac:dyDescent="0.2">
      <c r="E20" s="18"/>
      <c r="F20" s="18"/>
      <c r="G20" s="18"/>
      <c r="H20" s="153"/>
      <c r="I20" s="153"/>
      <c r="J20" s="153"/>
      <c r="K20" s="153"/>
      <c r="L20" s="153"/>
    </row>
    <row r="21" spans="2:12" x14ac:dyDescent="0.2">
      <c r="B21" s="46" t="s">
        <v>59</v>
      </c>
      <c r="E21" s="18"/>
      <c r="F21" s="18"/>
      <c r="G21" s="153">
        <f>G14+G19</f>
        <v>4476</v>
      </c>
      <c r="H21" s="153">
        <f ca="1">H14+H19</f>
        <v>-905.94631117908011</v>
      </c>
      <c r="I21" s="153">
        <f t="shared" ref="I21:L21" ca="1" si="3">I14+I19</f>
        <v>1430.1441755932947</v>
      </c>
      <c r="J21" s="153">
        <f t="shared" ca="1" si="3"/>
        <v>1868.1019567716849</v>
      </c>
      <c r="K21" s="153">
        <f t="shared" ca="1" si="3"/>
        <v>2317.6388635703215</v>
      </c>
      <c r="L21" s="153">
        <f t="shared" ca="1" si="3"/>
        <v>2790.4821024713556</v>
      </c>
    </row>
    <row r="22" spans="2:12" x14ac:dyDescent="0.2">
      <c r="E22" s="18"/>
      <c r="F22" s="18"/>
      <c r="G22" s="18"/>
      <c r="H22" s="18"/>
      <c r="I22" s="18"/>
      <c r="J22" s="18"/>
      <c r="K22" s="18"/>
      <c r="L22" s="18"/>
    </row>
    <row r="23" spans="2:12" x14ac:dyDescent="0.2">
      <c r="B23" s="13" t="s">
        <v>60</v>
      </c>
      <c r="E23" s="18"/>
      <c r="F23" s="18"/>
      <c r="G23" s="18"/>
      <c r="H23" s="18"/>
      <c r="I23" s="18"/>
      <c r="J23" s="18"/>
      <c r="K23" s="18"/>
      <c r="L23" s="18"/>
    </row>
    <row r="24" spans="2:12" x14ac:dyDescent="0.2">
      <c r="B24" s="79" t="s">
        <v>61</v>
      </c>
      <c r="E24" s="18"/>
      <c r="F24" s="18"/>
      <c r="G24" s="18"/>
      <c r="H24" s="152">
        <f ca="1">'Debt&amp;Interest'!H23</f>
        <v>0</v>
      </c>
      <c r="I24" s="152">
        <f ca="1">'Debt&amp;Interest'!I23</f>
        <v>0</v>
      </c>
      <c r="J24" s="152">
        <f ca="1">'Debt&amp;Interest'!J23</f>
        <v>0</v>
      </c>
      <c r="K24" s="152">
        <f ca="1">'Debt&amp;Interest'!K23</f>
        <v>0</v>
      </c>
      <c r="L24" s="152">
        <f ca="1">'Debt&amp;Interest'!L23</f>
        <v>0</v>
      </c>
    </row>
    <row r="25" spans="2:12" x14ac:dyDescent="0.2">
      <c r="B25" s="79" t="s">
        <v>62</v>
      </c>
      <c r="E25" s="16"/>
      <c r="F25" s="16"/>
      <c r="G25" s="16">
        <f>-1000</f>
        <v>-1000</v>
      </c>
      <c r="H25" s="152">
        <f>'Debt&amp;Interest'!H27</f>
        <v>-1500</v>
      </c>
      <c r="I25" s="152">
        <f>'Debt&amp;Interest'!I27</f>
        <v>-2000</v>
      </c>
      <c r="J25" s="152">
        <f>'Debt&amp;Interest'!J27</f>
        <v>-970</v>
      </c>
      <c r="K25" s="152">
        <f>'Debt&amp;Interest'!K27</f>
        <v>-500</v>
      </c>
      <c r="L25" s="152">
        <f>'Debt&amp;Interest'!L27</f>
        <v>-500</v>
      </c>
    </row>
    <row r="26" spans="2:12" x14ac:dyDescent="0.2">
      <c r="B26" s="79" t="s">
        <v>63</v>
      </c>
      <c r="E26" s="18"/>
      <c r="F26" s="18"/>
      <c r="G26" s="18">
        <v>1000</v>
      </c>
      <c r="H26" s="152">
        <f>'Debt&amp;Interest'!H28</f>
        <v>1500</v>
      </c>
      <c r="I26" s="152">
        <f>'Debt&amp;Interest'!I28</f>
        <v>2000</v>
      </c>
      <c r="J26" s="152">
        <f>'Debt&amp;Interest'!J28</f>
        <v>970</v>
      </c>
      <c r="K26" s="152">
        <f>'Debt&amp;Interest'!K28</f>
        <v>500</v>
      </c>
      <c r="L26" s="152">
        <f>'Debt&amp;Interest'!L28</f>
        <v>500</v>
      </c>
    </row>
    <row r="27" spans="2:12" x14ac:dyDescent="0.2">
      <c r="B27" s="79" t="s">
        <v>64</v>
      </c>
      <c r="E27" s="18"/>
      <c r="F27" s="18"/>
      <c r="G27" s="192">
        <v>1015</v>
      </c>
      <c r="H27" s="152">
        <f>Equity!H11</f>
        <v>-2000</v>
      </c>
      <c r="I27" s="152">
        <f>Equity!I11</f>
        <v>-2100</v>
      </c>
      <c r="J27" s="152">
        <f>Equity!J11</f>
        <v>-2205</v>
      </c>
      <c r="K27" s="152">
        <f>Equity!K11</f>
        <v>-2315.25</v>
      </c>
      <c r="L27" s="152">
        <f>Equity!L11</f>
        <v>-2431.0124999999998</v>
      </c>
    </row>
    <row r="28" spans="2:12" x14ac:dyDescent="0.2">
      <c r="B28" s="79" t="s">
        <v>65</v>
      </c>
      <c r="E28" s="18"/>
      <c r="F28" s="18"/>
      <c r="G28" s="18">
        <v>-2200</v>
      </c>
      <c r="H28" s="152">
        <f>Equity!H12</f>
        <v>-2358.4</v>
      </c>
      <c r="I28" s="152">
        <f>Equity!I12</f>
        <v>-2528.2048000000004</v>
      </c>
      <c r="J28" s="152">
        <f>Equity!J12</f>
        <v>-2710.2355456000005</v>
      </c>
      <c r="K28" s="152">
        <f>Equity!K12</f>
        <v>-2905.3725048832007</v>
      </c>
      <c r="L28" s="152">
        <f>Equity!L12</f>
        <v>-3114.5593252347912</v>
      </c>
    </row>
    <row r="29" spans="2:12" x14ac:dyDescent="0.2">
      <c r="B29" s="80" t="s">
        <v>66</v>
      </c>
      <c r="C29" s="22"/>
      <c r="D29" s="22"/>
      <c r="E29" s="115"/>
      <c r="F29" s="16"/>
      <c r="G29" s="16"/>
      <c r="H29" s="152">
        <f>Equity!H13</f>
        <v>0</v>
      </c>
      <c r="I29" s="152">
        <f>Equity!I13</f>
        <v>0</v>
      </c>
      <c r="J29" s="152">
        <f>Equity!J13</f>
        <v>0</v>
      </c>
      <c r="K29" s="152">
        <f>Equity!K13</f>
        <v>0</v>
      </c>
      <c r="L29" s="152">
        <f>Equity!L13</f>
        <v>0</v>
      </c>
    </row>
    <row r="30" spans="2:12" x14ac:dyDescent="0.2">
      <c r="B30" s="61" t="s">
        <v>67</v>
      </c>
      <c r="E30" s="182"/>
      <c r="F30" s="182"/>
      <c r="G30" s="177">
        <f>SUM(G23:G29)</f>
        <v>-1185</v>
      </c>
      <c r="H30" s="177">
        <f ca="1">SUM(H23:H29)</f>
        <v>-4358.3999999999996</v>
      </c>
      <c r="I30" s="177">
        <f t="shared" ref="I30:L30" ca="1" si="4">SUM(I23:I29)</f>
        <v>-4628.2048000000004</v>
      </c>
      <c r="J30" s="177">
        <f t="shared" ca="1" si="4"/>
        <v>-4915.2355456000005</v>
      </c>
      <c r="K30" s="177">
        <f t="shared" ca="1" si="4"/>
        <v>-5220.6225048832002</v>
      </c>
      <c r="L30" s="177">
        <f t="shared" ca="1" si="4"/>
        <v>-5545.5718252347906</v>
      </c>
    </row>
    <row r="31" spans="2:12" x14ac:dyDescent="0.2">
      <c r="E31" s="18"/>
      <c r="F31" s="18"/>
      <c r="G31" s="18"/>
      <c r="H31" s="18"/>
      <c r="I31" s="18"/>
      <c r="J31" s="18"/>
      <c r="K31" s="18"/>
      <c r="L31" s="18"/>
    </row>
    <row r="32" spans="2:12" x14ac:dyDescent="0.2">
      <c r="B32" s="13" t="s">
        <v>68</v>
      </c>
      <c r="E32" s="18"/>
      <c r="F32" s="18"/>
      <c r="G32" s="18">
        <f>G21+G30</f>
        <v>3291</v>
      </c>
      <c r="H32" s="18">
        <f ca="1">H21+H30</f>
        <v>-5264.3463111790797</v>
      </c>
      <c r="I32" s="18">
        <f t="shared" ref="I32:L32" ca="1" si="5">I21+I30</f>
        <v>-3198.0606244067058</v>
      </c>
      <c r="J32" s="18">
        <f t="shared" ca="1" si="5"/>
        <v>-3047.1335888283156</v>
      </c>
      <c r="K32" s="18">
        <f t="shared" ca="1" si="5"/>
        <v>-2902.9836413128787</v>
      </c>
      <c r="L32" s="18">
        <f t="shared" ca="1" si="5"/>
        <v>-2755.089722763435</v>
      </c>
    </row>
    <row r="33" spans="2:12" x14ac:dyDescent="0.2">
      <c r="B33" s="13" t="s">
        <v>69</v>
      </c>
      <c r="E33" s="18"/>
      <c r="F33" s="18"/>
      <c r="G33" s="18"/>
      <c r="H33" s="18"/>
      <c r="I33" s="18"/>
      <c r="J33" s="18"/>
      <c r="K33" s="18"/>
      <c r="L33" s="18"/>
    </row>
    <row r="34" spans="2:12" x14ac:dyDescent="0.2">
      <c r="B34" s="13" t="s">
        <v>70</v>
      </c>
      <c r="E34" s="18"/>
      <c r="F34" s="18"/>
      <c r="G34" s="66">
        <f>Balance_Sheet!F8</f>
        <v>3805</v>
      </c>
      <c r="H34" s="66">
        <f>Balance_Sheet!G8</f>
        <v>4762</v>
      </c>
      <c r="I34" s="66">
        <f ca="1">Balance_Sheet!H8</f>
        <v>-502.34631117907975</v>
      </c>
      <c r="J34" s="66">
        <f ca="1">Balance_Sheet!I8</f>
        <v>-3700.4069355857855</v>
      </c>
      <c r="K34" s="66">
        <f ca="1">Balance_Sheet!J8</f>
        <v>-6747.5405244141002</v>
      </c>
      <c r="L34" s="66">
        <f ca="1">Balance_Sheet!K8</f>
        <v>-9650.5241657269798</v>
      </c>
    </row>
    <row r="35" spans="2:12" ht="17" thickBot="1" x14ac:dyDescent="0.25">
      <c r="B35" s="5" t="s">
        <v>71</v>
      </c>
      <c r="C35" s="62"/>
      <c r="D35" s="62"/>
      <c r="E35" s="29"/>
      <c r="F35" s="29"/>
      <c r="G35" s="72">
        <f>SUM(G32:G34)</f>
        <v>7096</v>
      </c>
      <c r="H35" s="72">
        <f ca="1">SUM(H32:H34)</f>
        <v>-502.34631117907975</v>
      </c>
      <c r="I35" s="72">
        <f t="shared" ref="I35:L35" ca="1" si="6">SUM(I32:I34)</f>
        <v>-3700.4069355857855</v>
      </c>
      <c r="J35" s="72">
        <f t="shared" ca="1" si="6"/>
        <v>-6747.5405244141011</v>
      </c>
      <c r="K35" s="72">
        <f t="shared" ca="1" si="6"/>
        <v>-9650.5241657269798</v>
      </c>
      <c r="L35" s="72">
        <f t="shared" ca="1" si="6"/>
        <v>-12405.613888490414</v>
      </c>
    </row>
    <row r="36" spans="2:12" ht="17" thickTop="1" x14ac:dyDescent="0.2"/>
  </sheetData>
  <mergeCells count="4">
    <mergeCell ref="D1:E1"/>
    <mergeCell ref="D2:E2"/>
    <mergeCell ref="D3:E3"/>
    <mergeCell ref="B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D681-3043-4EB3-AFF0-ABD924A4A5B8}">
  <dimension ref="A1:L39"/>
  <sheetViews>
    <sheetView showGridLines="0" topLeftCell="A20" workbookViewId="0">
      <selection activeCell="E41" sqref="E41"/>
    </sheetView>
  </sheetViews>
  <sheetFormatPr baseColWidth="10" defaultColWidth="8.83203125" defaultRowHeight="15" x14ac:dyDescent="0.2"/>
  <cols>
    <col min="1" max="1" width="3.5" customWidth="1"/>
    <col min="2" max="2" width="22.1640625" customWidth="1"/>
    <col min="3" max="3" width="12.1640625"/>
    <col min="4" max="12" width="13.1640625" customWidth="1"/>
  </cols>
  <sheetData>
    <row r="1" spans="1:12" ht="16" x14ac:dyDescent="0.2">
      <c r="A1" s="7" t="s">
        <v>0</v>
      </c>
      <c r="B1" s="7"/>
      <c r="C1" s="7"/>
      <c r="D1" s="326" t="str">
        <f>Income_Statement!D1</f>
        <v>Target Corporation</v>
      </c>
      <c r="E1" s="327"/>
    </row>
    <row r="2" spans="1:12" ht="16" x14ac:dyDescent="0.2">
      <c r="A2" s="7" t="s">
        <v>1</v>
      </c>
      <c r="B2" s="7"/>
      <c r="C2" s="7"/>
      <c r="D2" s="326" t="str">
        <f>Income_Statement!D2</f>
        <v>TGT</v>
      </c>
      <c r="E2" s="327"/>
    </row>
    <row r="3" spans="1:12" ht="16" x14ac:dyDescent="0.2">
      <c r="A3" s="7" t="s">
        <v>2</v>
      </c>
      <c r="B3" s="7"/>
      <c r="C3" s="7"/>
      <c r="D3" s="328">
        <f>Income_Statement!D3</f>
        <v>45688</v>
      </c>
      <c r="E3" s="327"/>
      <c r="I3" s="90"/>
    </row>
    <row r="5" spans="1:12" ht="19" x14ac:dyDescent="0.25">
      <c r="B5" s="322" t="str">
        <f>"Working Capital Schedule for "&amp;D1&amp;"  (all $ values in millions of USD except per share values)"</f>
        <v>Working Capital Schedule for Target Corporation  (all $ values in millions of USD except per share values)</v>
      </c>
      <c r="C5" s="322"/>
      <c r="D5" s="322"/>
      <c r="E5" s="322"/>
      <c r="F5" s="322"/>
      <c r="G5" s="322"/>
      <c r="H5" s="322"/>
      <c r="I5" s="322"/>
      <c r="J5" s="322"/>
      <c r="K5" s="322"/>
      <c r="L5" s="322"/>
    </row>
    <row r="6" spans="1:12" s="13" customFormat="1" ht="16" x14ac:dyDescent="0.2">
      <c r="B6" s="10" t="str">
        <f>"Fiscal Year Ending "&amp;TEXT(D3,"mmmm dd,")</f>
        <v>Fiscal Year Ending January 31,</v>
      </c>
      <c r="C6" s="10"/>
      <c r="D6" s="10"/>
      <c r="E6" s="11">
        <f>EDATE(F6,-12)</f>
        <v>44957</v>
      </c>
      <c r="F6" s="11">
        <f>EDATE(G6,-12)</f>
        <v>45322</v>
      </c>
      <c r="G6" s="11">
        <f>D3</f>
        <v>45688</v>
      </c>
      <c r="H6" s="12">
        <f>EDATE(G6,12)</f>
        <v>46053</v>
      </c>
      <c r="I6" s="12">
        <f t="shared" ref="I6:L6" si="0">EDATE(H6,12)</f>
        <v>46418</v>
      </c>
      <c r="J6" s="12">
        <f t="shared" si="0"/>
        <v>46783</v>
      </c>
      <c r="K6" s="12">
        <f t="shared" si="0"/>
        <v>47149</v>
      </c>
      <c r="L6" s="12">
        <f t="shared" si="0"/>
        <v>47514</v>
      </c>
    </row>
    <row r="7" spans="1:12" x14ac:dyDescent="0.2">
      <c r="G7" s="6"/>
    </row>
    <row r="8" spans="1:12" ht="16" x14ac:dyDescent="0.2">
      <c r="B8" t="s">
        <v>6</v>
      </c>
      <c r="E8" s="91">
        <f>Income_Statement!E8</f>
        <v>109120</v>
      </c>
      <c r="F8" s="91">
        <f>Income_Statement!F8</f>
        <v>107412</v>
      </c>
      <c r="G8" s="189">
        <f>Income_Statement!G8</f>
        <v>106566</v>
      </c>
      <c r="H8" s="91">
        <f>Income_Statement!H8</f>
        <v>105500.34</v>
      </c>
      <c r="I8" s="91">
        <f>Income_Statement!I8</f>
        <v>105183.83898</v>
      </c>
      <c r="J8" s="91">
        <f>Income_Statement!J8</f>
        <v>105604.57433592</v>
      </c>
      <c r="K8" s="91">
        <f>Income_Statement!K8</f>
        <v>106766.22465361511</v>
      </c>
      <c r="L8" s="91">
        <f>Income_Statement!L8</f>
        <v>108688.01669738018</v>
      </c>
    </row>
    <row r="9" spans="1:12" ht="16" x14ac:dyDescent="0.2">
      <c r="B9" t="s">
        <v>7</v>
      </c>
      <c r="E9" s="91">
        <f>Income_Statement!E9</f>
        <v>-82306</v>
      </c>
      <c r="F9" s="91">
        <f>Income_Statement!F9</f>
        <v>-77828</v>
      </c>
      <c r="G9" s="189">
        <f>Income_Statement!G9</f>
        <v>-76502</v>
      </c>
      <c r="H9" s="91">
        <f>Income_Statement!H9</f>
        <v>-78597.753299999997</v>
      </c>
      <c r="I9" s="91">
        <f>Income_Statement!I9</f>
        <v>-77836.040845199997</v>
      </c>
      <c r="J9" s="91">
        <f>Income_Statement!J9</f>
        <v>-77619.362136901196</v>
      </c>
      <c r="K9" s="91">
        <f>Income_Statement!K9</f>
        <v>-77939.343997139033</v>
      </c>
      <c r="L9" s="91">
        <f>Income_Statement!L9</f>
        <v>-78798.812105600635</v>
      </c>
    </row>
    <row r="10" spans="1:12" x14ac:dyDescent="0.2">
      <c r="E10" s="8"/>
      <c r="F10" s="8"/>
      <c r="G10" s="9"/>
      <c r="H10" s="8"/>
      <c r="I10" s="8"/>
      <c r="J10" s="8"/>
      <c r="K10" s="8"/>
      <c r="L10" s="8"/>
    </row>
    <row r="11" spans="1:12" ht="16" x14ac:dyDescent="0.2">
      <c r="B11" s="36" t="s">
        <v>72</v>
      </c>
      <c r="E11" s="8"/>
      <c r="F11" s="8"/>
      <c r="G11" s="9"/>
      <c r="H11" s="8"/>
      <c r="I11" s="8"/>
      <c r="J11" s="8"/>
      <c r="K11" s="8"/>
      <c r="L11" s="8"/>
    </row>
    <row r="12" spans="1:12" ht="16" x14ac:dyDescent="0.2">
      <c r="B12" s="76" t="s">
        <v>31</v>
      </c>
      <c r="E12" s="85">
        <f>Balance_Sheet!E9</f>
        <v>1695</v>
      </c>
      <c r="F12" s="85">
        <f>Balance_Sheet!F9</f>
        <v>1404</v>
      </c>
      <c r="G12" s="184">
        <f>Balance_Sheet!G9</f>
        <v>1541</v>
      </c>
      <c r="H12" s="8">
        <f>(H8/$D$28)*H31</f>
        <v>1589.7311506849314</v>
      </c>
      <c r="I12" s="8">
        <f t="shared" ref="I12:L12" si="1">(I8/$D$28)*I31</f>
        <v>1584.9619572328768</v>
      </c>
      <c r="J12" s="8">
        <f t="shared" si="1"/>
        <v>1591.3018050618084</v>
      </c>
      <c r="K12" s="8">
        <f t="shared" si="1"/>
        <v>1608.806124917488</v>
      </c>
      <c r="L12" s="8">
        <f t="shared" si="1"/>
        <v>1637.7646351660028</v>
      </c>
    </row>
    <row r="13" spans="1:12" ht="16" x14ac:dyDescent="0.2">
      <c r="B13" s="76" t="s">
        <v>73</v>
      </c>
      <c r="E13" s="85">
        <f>Balance_Sheet!E10</f>
        <v>13499</v>
      </c>
      <c r="F13" s="85">
        <f>Balance_Sheet!F10</f>
        <v>11886</v>
      </c>
      <c r="G13" s="184">
        <f>Balance_Sheet!G10</f>
        <v>12740</v>
      </c>
      <c r="H13" s="92">
        <f>(-H9/$D$28)*H33</f>
        <v>11994.232489890412</v>
      </c>
      <c r="I13" s="92">
        <f t="shared" ref="I13:L13" si="2">(-I9/$D$28)*I33</f>
        <v>11877.993082404493</v>
      </c>
      <c r="J13" s="92">
        <f t="shared" si="2"/>
        <v>11844.9273178778</v>
      </c>
      <c r="K13" s="92">
        <f t="shared" si="2"/>
        <v>11893.757426412723</v>
      </c>
      <c r="L13" s="92">
        <f t="shared" si="2"/>
        <v>12024.91461447111</v>
      </c>
    </row>
    <row r="14" spans="1:12" ht="16" x14ac:dyDescent="0.2">
      <c r="B14" s="77" t="s">
        <v>32</v>
      </c>
      <c r="C14" s="4"/>
      <c r="D14" s="4"/>
      <c r="E14" s="93">
        <f>Balance_Sheet!E11</f>
        <v>423</v>
      </c>
      <c r="F14" s="93">
        <f>Balance_Sheet!F11</f>
        <v>403</v>
      </c>
      <c r="G14" s="190">
        <f>Balance_Sheet!G11</f>
        <v>411</v>
      </c>
      <c r="H14" s="94">
        <f>H8*H34</f>
        <v>422.00135999999998</v>
      </c>
      <c r="I14" s="94">
        <f t="shared" ref="I14:L14" si="3">I8*I34</f>
        <v>420.73535592000002</v>
      </c>
      <c r="J14" s="94">
        <f t="shared" si="3"/>
        <v>422.41829734368002</v>
      </c>
      <c r="K14" s="94">
        <f t="shared" si="3"/>
        <v>427.06489861446045</v>
      </c>
      <c r="L14" s="94">
        <f t="shared" si="3"/>
        <v>434.75206678952071</v>
      </c>
    </row>
    <row r="15" spans="1:12" ht="16" x14ac:dyDescent="0.2">
      <c r="B15" s="61" t="s">
        <v>74</v>
      </c>
      <c r="E15" s="20">
        <f>SUM(E12:E14)</f>
        <v>15617</v>
      </c>
      <c r="F15" s="20">
        <f t="shared" ref="F15:G15" si="4">SUM(F12:F14)</f>
        <v>13693</v>
      </c>
      <c r="G15" s="23">
        <f t="shared" si="4"/>
        <v>14692</v>
      </c>
      <c r="H15" s="20">
        <f>SUM(H12:H14)</f>
        <v>14005.965000575343</v>
      </c>
      <c r="I15" s="20">
        <f t="shared" ref="I15:L15" si="5">SUM(I12:I14)</f>
        <v>13883.690395557371</v>
      </c>
      <c r="J15" s="20">
        <f t="shared" si="5"/>
        <v>13858.647420283289</v>
      </c>
      <c r="K15" s="20">
        <f t="shared" si="5"/>
        <v>13929.628449944672</v>
      </c>
      <c r="L15" s="20">
        <f t="shared" si="5"/>
        <v>14097.431316426633</v>
      </c>
    </row>
    <row r="16" spans="1:12" x14ac:dyDescent="0.2">
      <c r="E16" s="8"/>
      <c r="F16" s="8"/>
      <c r="G16" s="9"/>
      <c r="H16" s="8"/>
      <c r="I16" s="8"/>
      <c r="J16" s="8"/>
      <c r="K16" s="8"/>
      <c r="L16" s="8"/>
    </row>
    <row r="17" spans="2:12" ht="16" x14ac:dyDescent="0.2">
      <c r="B17" s="76" t="s">
        <v>37</v>
      </c>
      <c r="E17" s="85">
        <f>Balance_Sheet!E21</f>
        <v>13487</v>
      </c>
      <c r="F17" s="85">
        <f>Balance_Sheet!F21</f>
        <v>12098</v>
      </c>
      <c r="G17" s="184">
        <f>Balance_Sheet!G21</f>
        <v>13053</v>
      </c>
      <c r="H17" s="92">
        <f>(-H9/$D$28)*H36</f>
        <v>11843.49707260274</v>
      </c>
      <c r="I17" s="92">
        <f t="shared" ref="I17:L17" si="6">(-I9/$D$28)*I36</f>
        <v>11728.718483523287</v>
      </c>
      <c r="J17" s="92">
        <f t="shared" si="6"/>
        <v>11696.068267204289</v>
      </c>
      <c r="K17" s="92">
        <f t="shared" si="6"/>
        <v>11744.284711897662</v>
      </c>
      <c r="L17" s="92">
        <f t="shared" si="6"/>
        <v>11873.79360495352</v>
      </c>
    </row>
    <row r="18" spans="2:12" ht="16" x14ac:dyDescent="0.2">
      <c r="B18" s="77" t="s">
        <v>75</v>
      </c>
      <c r="C18" s="4"/>
      <c r="D18" s="4"/>
      <c r="E18" s="93">
        <f>Balance_Sheet!E22</f>
        <v>6013</v>
      </c>
      <c r="F18" s="93">
        <f>Balance_Sheet!F22</f>
        <v>7206</v>
      </c>
      <c r="G18" s="190">
        <f>Balance_Sheet!G22</f>
        <v>7746</v>
      </c>
      <c r="H18" s="94">
        <f>-H9*H37</f>
        <v>6287.820264</v>
      </c>
      <c r="I18" s="94">
        <f t="shared" ref="I18:L18" si="7">-I9*I37</f>
        <v>6226.883267616</v>
      </c>
      <c r="J18" s="94">
        <f t="shared" si="7"/>
        <v>6209.5489709520962</v>
      </c>
      <c r="K18" s="94">
        <f t="shared" si="7"/>
        <v>6235.1475197711225</v>
      </c>
      <c r="L18" s="94">
        <f t="shared" si="7"/>
        <v>6303.9049684480506</v>
      </c>
    </row>
    <row r="19" spans="2:12" ht="16" x14ac:dyDescent="0.2">
      <c r="B19" s="61" t="s">
        <v>76</v>
      </c>
      <c r="E19" s="20">
        <f>SUM(E17:E18)</f>
        <v>19500</v>
      </c>
      <c r="F19" s="20">
        <f t="shared" ref="F19:G19" si="8">SUM(F17:F18)</f>
        <v>19304</v>
      </c>
      <c r="G19" s="23">
        <f t="shared" si="8"/>
        <v>20799</v>
      </c>
      <c r="H19" s="20">
        <f>SUM(H17:H18)</f>
        <v>18131.31733660274</v>
      </c>
      <c r="I19" s="20">
        <f t="shared" ref="I19:L19" si="9">SUM(I17:I18)</f>
        <v>17955.601751139286</v>
      </c>
      <c r="J19" s="20">
        <f t="shared" si="9"/>
        <v>17905.617238156385</v>
      </c>
      <c r="K19" s="20">
        <f t="shared" si="9"/>
        <v>17979.432231668783</v>
      </c>
      <c r="L19" s="20">
        <f t="shared" si="9"/>
        <v>18177.698573401569</v>
      </c>
    </row>
    <row r="20" spans="2:12" x14ac:dyDescent="0.2">
      <c r="E20" s="8"/>
      <c r="F20" s="8"/>
      <c r="G20" s="9"/>
      <c r="H20" s="8"/>
      <c r="I20" s="8"/>
      <c r="J20" s="8"/>
      <c r="K20" s="8"/>
      <c r="L20" s="8"/>
    </row>
    <row r="21" spans="2:12" ht="16" x14ac:dyDescent="0.2">
      <c r="B21" s="81" t="s">
        <v>77</v>
      </c>
      <c r="C21" s="82"/>
      <c r="D21" s="82"/>
      <c r="E21" s="69">
        <f>E15-E19</f>
        <v>-3883</v>
      </c>
      <c r="F21" s="69">
        <f t="shared" ref="F21:G21" si="10">F15-F19</f>
        <v>-5611</v>
      </c>
      <c r="G21" s="70">
        <f t="shared" si="10"/>
        <v>-6107</v>
      </c>
      <c r="H21" s="69">
        <f>H15-H19</f>
        <v>-4125.3523360273975</v>
      </c>
      <c r="I21" s="69">
        <f t="shared" ref="I21:L21" si="11">I15-I19</f>
        <v>-4071.9113555819149</v>
      </c>
      <c r="J21" s="69">
        <f t="shared" si="11"/>
        <v>-4046.969817873096</v>
      </c>
      <c r="K21" s="69">
        <f t="shared" si="11"/>
        <v>-4049.8037817241111</v>
      </c>
      <c r="L21" s="69">
        <f t="shared" si="11"/>
        <v>-4080.2672569749357</v>
      </c>
    </row>
    <row r="22" spans="2:12" x14ac:dyDescent="0.2">
      <c r="E22" s="8"/>
      <c r="F22" s="8"/>
      <c r="G22" s="9"/>
      <c r="H22" s="8"/>
      <c r="I22" s="8"/>
      <c r="J22" s="8"/>
      <c r="K22" s="8"/>
      <c r="L22" s="8"/>
    </row>
    <row r="23" spans="2:12" ht="17" thickBot="1" x14ac:dyDescent="0.25">
      <c r="B23" s="62" t="s">
        <v>78</v>
      </c>
      <c r="C23" s="83"/>
      <c r="D23" s="83"/>
      <c r="E23" s="83"/>
      <c r="F23" s="29">
        <f>E21-F21</f>
        <v>1728</v>
      </c>
      <c r="G23" s="30">
        <f>F21-G21</f>
        <v>496</v>
      </c>
      <c r="H23" s="29">
        <f>G21-H21</f>
        <v>-1981.6476639726025</v>
      </c>
      <c r="I23" s="29">
        <f t="shared" ref="I23:L23" si="12">H21-I21</f>
        <v>-53.440980445482637</v>
      </c>
      <c r="J23" s="29">
        <f t="shared" si="12"/>
        <v>-24.941537708818942</v>
      </c>
      <c r="K23" s="29">
        <f t="shared" si="12"/>
        <v>2.8339638510151417</v>
      </c>
      <c r="L23" s="29">
        <f t="shared" si="12"/>
        <v>30.463475250824558</v>
      </c>
    </row>
    <row r="24" spans="2:12" ht="16" thickTop="1" x14ac:dyDescent="0.2">
      <c r="G24" s="6"/>
    </row>
    <row r="25" spans="2:12" x14ac:dyDescent="0.2">
      <c r="G25" s="6"/>
    </row>
    <row r="26" spans="2:12" x14ac:dyDescent="0.2">
      <c r="G26" s="6"/>
    </row>
    <row r="27" spans="2:12" ht="16" x14ac:dyDescent="0.2">
      <c r="B27" s="32" t="s">
        <v>23</v>
      </c>
      <c r="C27" s="33"/>
      <c r="D27" s="33"/>
      <c r="E27" s="34">
        <f>E6</f>
        <v>44957</v>
      </c>
      <c r="F27" s="34">
        <f t="shared" ref="F27:L27" si="13">F6</f>
        <v>45322</v>
      </c>
      <c r="G27" s="35">
        <f t="shared" si="13"/>
        <v>45688</v>
      </c>
      <c r="H27" s="34">
        <f t="shared" si="13"/>
        <v>46053</v>
      </c>
      <c r="I27" s="34">
        <f t="shared" si="13"/>
        <v>46418</v>
      </c>
      <c r="J27" s="34">
        <f t="shared" si="13"/>
        <v>46783</v>
      </c>
      <c r="K27" s="34">
        <f t="shared" si="13"/>
        <v>47149</v>
      </c>
      <c r="L27" s="34">
        <f t="shared" si="13"/>
        <v>47514</v>
      </c>
    </row>
    <row r="28" spans="2:12" ht="16" x14ac:dyDescent="0.2">
      <c r="B28" s="194" t="s">
        <v>79</v>
      </c>
      <c r="C28" s="194"/>
      <c r="D28" s="84">
        <v>365</v>
      </c>
      <c r="E28" s="194"/>
      <c r="F28" s="194"/>
      <c r="G28" s="196"/>
      <c r="H28" s="194"/>
      <c r="I28" s="194"/>
      <c r="J28" s="194"/>
      <c r="K28" s="194"/>
      <c r="L28" s="194"/>
    </row>
    <row r="29" spans="2:12" ht="16" x14ac:dyDescent="0.2">
      <c r="B29" s="194"/>
      <c r="C29" s="194"/>
      <c r="D29" s="194"/>
      <c r="E29" s="194"/>
      <c r="F29" s="194"/>
      <c r="G29" s="196"/>
      <c r="H29" s="194"/>
      <c r="I29" s="194"/>
      <c r="J29" s="194"/>
      <c r="K29" s="194"/>
      <c r="L29" s="194"/>
    </row>
    <row r="30" spans="2:12" ht="16" x14ac:dyDescent="0.2">
      <c r="B30" s="194" t="s">
        <v>80</v>
      </c>
      <c r="C30" s="194"/>
      <c r="D30" s="194"/>
      <c r="E30" s="95">
        <f>E12/E8</f>
        <v>1.5533357771260997E-2</v>
      </c>
      <c r="F30" s="95">
        <f t="shared" ref="F30:G30" si="14">F12/F8</f>
        <v>1.3071165232934867E-2</v>
      </c>
      <c r="G30" s="44">
        <f t="shared" si="14"/>
        <v>1.4460522117748625E-2</v>
      </c>
      <c r="H30" s="96">
        <f>H12/H8</f>
        <v>1.5068493150684932E-2</v>
      </c>
      <c r="I30" s="96">
        <f t="shared" ref="I30:L30" si="15">I12/I8</f>
        <v>1.5068493150684932E-2</v>
      </c>
      <c r="J30" s="96">
        <f t="shared" si="15"/>
        <v>1.5068493150684934E-2</v>
      </c>
      <c r="K30" s="96">
        <f t="shared" si="15"/>
        <v>1.5068493150684932E-2</v>
      </c>
      <c r="L30" s="96">
        <f t="shared" si="15"/>
        <v>1.5068493150684932E-2</v>
      </c>
    </row>
    <row r="31" spans="2:12" ht="16" x14ac:dyDescent="0.2">
      <c r="B31" s="194" t="s">
        <v>81</v>
      </c>
      <c r="C31" s="194"/>
      <c r="D31" s="194"/>
      <c r="E31" s="97">
        <f>E12/(E8/($D$28))</f>
        <v>5.6696755865102642</v>
      </c>
      <c r="F31" s="97">
        <f t="shared" ref="F31:G31" si="16">F12/(F8/($D$28))</f>
        <v>4.7709753100212264</v>
      </c>
      <c r="G31" s="98">
        <f t="shared" si="16"/>
        <v>5.2780905729782486</v>
      </c>
      <c r="H31" s="99">
        <v>5.5</v>
      </c>
      <c r="I31" s="99">
        <v>5.5</v>
      </c>
      <c r="J31" s="99">
        <v>5.5</v>
      </c>
      <c r="K31" s="99">
        <v>5.5</v>
      </c>
      <c r="L31" s="99">
        <v>5.5</v>
      </c>
    </row>
    <row r="32" spans="2:12" ht="16" x14ac:dyDescent="0.2">
      <c r="B32" s="194" t="s">
        <v>82</v>
      </c>
      <c r="C32" s="194"/>
      <c r="D32" s="194"/>
      <c r="E32" s="95">
        <f>-E13/E9</f>
        <v>0.16400991422253541</v>
      </c>
      <c r="F32" s="95">
        <f t="shared" ref="F32:G32" si="17">-F13/F9</f>
        <v>0.15272138561957135</v>
      </c>
      <c r="G32" s="44">
        <f t="shared" si="17"/>
        <v>0.16653159394525632</v>
      </c>
      <c r="H32" s="95">
        <f>-H13/H9</f>
        <v>0.15260273972602742</v>
      </c>
      <c r="I32" s="95">
        <f t="shared" ref="I32:L32" si="18">-I13/I9</f>
        <v>0.15260273972602739</v>
      </c>
      <c r="J32" s="95">
        <f t="shared" si="18"/>
        <v>0.15260273972602742</v>
      </c>
      <c r="K32" s="95">
        <f t="shared" si="18"/>
        <v>0.15260273972602739</v>
      </c>
      <c r="L32" s="95">
        <f t="shared" si="18"/>
        <v>0.15260273972602739</v>
      </c>
    </row>
    <row r="33" spans="2:12" ht="16" x14ac:dyDescent="0.2">
      <c r="B33" s="194" t="s">
        <v>83</v>
      </c>
      <c r="C33" s="194"/>
      <c r="D33" s="194"/>
      <c r="E33" s="100">
        <f>E13/(-E9/$D$28)</f>
        <v>59.863618691225426</v>
      </c>
      <c r="F33" s="100">
        <f t="shared" ref="F33:G33" si="19">F13/(-F9/$D$28)</f>
        <v>55.743305751143552</v>
      </c>
      <c r="G33" s="101">
        <f t="shared" si="19"/>
        <v>60.784031790018567</v>
      </c>
      <c r="H33" s="99">
        <v>55.7</v>
      </c>
      <c r="I33" s="99">
        <v>55.7</v>
      </c>
      <c r="J33" s="99">
        <v>55.7</v>
      </c>
      <c r="K33" s="99">
        <v>55.7</v>
      </c>
      <c r="L33" s="99">
        <v>55.7</v>
      </c>
    </row>
    <row r="34" spans="2:12" ht="16" x14ac:dyDescent="0.2">
      <c r="B34" s="194" t="s">
        <v>84</v>
      </c>
      <c r="C34" s="194"/>
      <c r="D34" s="194"/>
      <c r="E34" s="95">
        <f>E14/E8</f>
        <v>3.8764662756598242E-3</v>
      </c>
      <c r="F34" s="95">
        <f t="shared" ref="F34:G34" si="20">F14/F8</f>
        <v>3.7519085390831566E-3</v>
      </c>
      <c r="G34" s="44">
        <f t="shared" si="20"/>
        <v>3.8567648218005741E-3</v>
      </c>
      <c r="H34" s="39">
        <v>4.0000000000000001E-3</v>
      </c>
      <c r="I34" s="39">
        <v>4.0000000000000001E-3</v>
      </c>
      <c r="J34" s="39">
        <v>4.0000000000000001E-3</v>
      </c>
      <c r="K34" s="39">
        <v>4.0000000000000001E-3</v>
      </c>
      <c r="L34" s="39">
        <v>4.0000000000000001E-3</v>
      </c>
    </row>
    <row r="35" spans="2:12" ht="16" x14ac:dyDescent="0.2">
      <c r="B35" s="194" t="s">
        <v>85</v>
      </c>
      <c r="C35" s="194"/>
      <c r="D35" s="194"/>
      <c r="E35" s="95">
        <f>E17/-E9</f>
        <v>0.1638641168323087</v>
      </c>
      <c r="F35" s="95">
        <f t="shared" ref="F35:G35" si="21">F17/-F9</f>
        <v>0.15544534100837745</v>
      </c>
      <c r="G35" s="44">
        <f t="shared" si="21"/>
        <v>0.17062299024862096</v>
      </c>
      <c r="H35" s="95">
        <f>H17/-H9</f>
        <v>0.15068493150684933</v>
      </c>
      <c r="I35" s="95">
        <f t="shared" ref="I35:L35" si="22">I17/-I9</f>
        <v>0.15068493150684931</v>
      </c>
      <c r="J35" s="95">
        <f t="shared" si="22"/>
        <v>0.15068493150684931</v>
      </c>
      <c r="K35" s="95">
        <f t="shared" si="22"/>
        <v>0.15068493150684931</v>
      </c>
      <c r="L35" s="95">
        <f t="shared" si="22"/>
        <v>0.15068493150684931</v>
      </c>
    </row>
    <row r="36" spans="2:12" ht="16" x14ac:dyDescent="0.2">
      <c r="B36" s="194" t="s">
        <v>86</v>
      </c>
      <c r="C36" s="194"/>
      <c r="D36" s="194"/>
      <c r="E36" s="100">
        <f>E17/(-E9/$D$28)</f>
        <v>59.810402643792678</v>
      </c>
      <c r="F36" s="100">
        <f t="shared" ref="F36:G36" si="23">F17/(-F9/$D$28)</f>
        <v>56.737549468057772</v>
      </c>
      <c r="G36" s="101">
        <f t="shared" si="23"/>
        <v>62.277391440746648</v>
      </c>
      <c r="H36" s="99">
        <v>55</v>
      </c>
      <c r="I36" s="99">
        <v>55</v>
      </c>
      <c r="J36" s="99">
        <v>55</v>
      </c>
      <c r="K36" s="99">
        <v>55</v>
      </c>
      <c r="L36" s="99">
        <v>55</v>
      </c>
    </row>
    <row r="37" spans="2:12" ht="16" x14ac:dyDescent="0.2">
      <c r="B37" s="197" t="s">
        <v>87</v>
      </c>
      <c r="C37" s="197"/>
      <c r="D37" s="197"/>
      <c r="E37" s="102">
        <f>E18/-E9</f>
        <v>7.3056642286103077E-2</v>
      </c>
      <c r="F37" s="102">
        <f t="shared" ref="F37:G37" si="24">F18/-F9</f>
        <v>9.2588785527059667E-2</v>
      </c>
      <c r="G37" s="103">
        <f t="shared" si="24"/>
        <v>0.10125225484301063</v>
      </c>
      <c r="H37" s="104">
        <v>0.08</v>
      </c>
      <c r="I37" s="104">
        <v>0.08</v>
      </c>
      <c r="J37" s="104">
        <v>0.08</v>
      </c>
      <c r="K37" s="104">
        <v>0.08</v>
      </c>
      <c r="L37" s="104">
        <v>0.08</v>
      </c>
    </row>
    <row r="38" spans="2:12" ht="16" x14ac:dyDescent="0.2">
      <c r="B38" s="194" t="s">
        <v>88</v>
      </c>
      <c r="C38" s="194"/>
      <c r="D38" s="194"/>
      <c r="E38" s="105">
        <f>E33+E31-E36</f>
        <v>5.7228916339430143</v>
      </c>
      <c r="F38" s="105">
        <f t="shared" ref="F38:G38" si="25">F33+F31-F36</f>
        <v>3.7767315931070087</v>
      </c>
      <c r="G38" s="106">
        <f t="shared" si="25"/>
        <v>3.7847309222501693</v>
      </c>
      <c r="H38" s="105">
        <f>H33+H31-H36</f>
        <v>6.2000000000000028</v>
      </c>
      <c r="I38" s="105">
        <f t="shared" ref="I38:L38" si="26">I33+I31-I36</f>
        <v>6.2000000000000028</v>
      </c>
      <c r="J38" s="105">
        <f t="shared" si="26"/>
        <v>6.2000000000000028</v>
      </c>
      <c r="K38" s="105">
        <f t="shared" si="26"/>
        <v>6.2000000000000028</v>
      </c>
      <c r="L38" s="105">
        <f t="shared" si="26"/>
        <v>6.2000000000000028</v>
      </c>
    </row>
    <row r="39" spans="2:12" ht="16" x14ac:dyDescent="0.2">
      <c r="B39" s="198" t="s">
        <v>89</v>
      </c>
      <c r="C39" s="194"/>
      <c r="D39" s="194"/>
      <c r="E39" s="37"/>
      <c r="F39" s="105">
        <f>F38-E38</f>
        <v>-1.9461600408360056</v>
      </c>
      <c r="G39" s="106">
        <f t="shared" ref="G39" si="27">G38-F38</f>
        <v>7.999329143160594E-3</v>
      </c>
      <c r="H39" s="105">
        <f>H38-G38</f>
        <v>2.4152690777498336</v>
      </c>
      <c r="I39" s="105">
        <f t="shared" ref="I39:L39" si="28">I38-H38</f>
        <v>0</v>
      </c>
      <c r="J39" s="105">
        <f t="shared" si="28"/>
        <v>0</v>
      </c>
      <c r="K39" s="105">
        <f t="shared" si="28"/>
        <v>0</v>
      </c>
      <c r="L39" s="105">
        <f t="shared" si="28"/>
        <v>0</v>
      </c>
    </row>
  </sheetData>
  <mergeCells count="4">
    <mergeCell ref="D1:E1"/>
    <mergeCell ref="D2:E2"/>
    <mergeCell ref="D3:E3"/>
    <mergeCell ref="B5: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36E9-B45E-48B6-84EB-F76701A57503}">
  <dimension ref="A1:N22"/>
  <sheetViews>
    <sheetView showGridLines="0" topLeftCell="A3" workbookViewId="0">
      <selection activeCell="F28" sqref="F28"/>
    </sheetView>
  </sheetViews>
  <sheetFormatPr baseColWidth="10" defaultColWidth="8.83203125" defaultRowHeight="15" x14ac:dyDescent="0.2"/>
  <cols>
    <col min="1" max="1" width="5.5" customWidth="1"/>
    <col min="2" max="2" width="46.5" customWidth="1"/>
    <col min="5" max="12" width="11.33203125" customWidth="1"/>
  </cols>
  <sheetData>
    <row r="1" spans="1:14" ht="16" x14ac:dyDescent="0.2">
      <c r="A1" s="7" t="s">
        <v>0</v>
      </c>
      <c r="B1" s="7"/>
      <c r="D1" s="326" t="str">
        <f>Income_Statement!D1</f>
        <v>Target Corporation</v>
      </c>
      <c r="E1" s="327"/>
    </row>
    <row r="2" spans="1:14" ht="16" x14ac:dyDescent="0.2">
      <c r="A2" s="7" t="s">
        <v>1</v>
      </c>
      <c r="B2" s="7"/>
      <c r="D2" s="326" t="str">
        <f>Income_Statement!D2</f>
        <v>TGT</v>
      </c>
      <c r="E2" s="327"/>
    </row>
    <row r="3" spans="1:14" ht="16" x14ac:dyDescent="0.2">
      <c r="A3" s="7" t="s">
        <v>2</v>
      </c>
      <c r="B3" s="7"/>
      <c r="D3" s="328">
        <f>Income_Statement!D3</f>
        <v>45688</v>
      </c>
      <c r="E3" s="329"/>
      <c r="I3" s="90"/>
    </row>
    <row r="5" spans="1:14" ht="19" x14ac:dyDescent="0.25">
      <c r="B5" s="322" t="str">
        <f>"Fixed Asset Schedule for "&amp;D1&amp;"  (all $ values in millions of USD except per share values)"</f>
        <v>Fixed Asset Schedule for Target Corporation  (all $ values in millions of USD except per share values)</v>
      </c>
      <c r="C5" s="322"/>
      <c r="D5" s="322"/>
      <c r="E5" s="322"/>
      <c r="F5" s="322"/>
      <c r="G5" s="322"/>
      <c r="H5" s="322"/>
      <c r="I5" s="322"/>
      <c r="J5" s="322"/>
      <c r="K5" s="322"/>
      <c r="L5" s="322"/>
    </row>
    <row r="6" spans="1:14" s="13" customFormat="1" ht="16" x14ac:dyDescent="0.2">
      <c r="B6" s="10" t="str">
        <f>"Fiscal Year Ending "&amp;TEXT(D3,"mmmm dd,")</f>
        <v>Fiscal Year Ending January 31,</v>
      </c>
      <c r="C6" s="10"/>
      <c r="D6" s="10"/>
      <c r="E6" s="11">
        <f>EDATE(F6,-12)</f>
        <v>44957</v>
      </c>
      <c r="F6" s="11">
        <f>EDATE(G6,-12)</f>
        <v>45322</v>
      </c>
      <c r="G6" s="128">
        <f>D3</f>
        <v>45688</v>
      </c>
      <c r="H6" s="12">
        <f>EDATE(G6,12)</f>
        <v>46053</v>
      </c>
      <c r="I6" s="12">
        <f t="shared" ref="I6:L6" si="0">EDATE(H6,12)</f>
        <v>46418</v>
      </c>
      <c r="J6" s="12">
        <f t="shared" si="0"/>
        <v>46783</v>
      </c>
      <c r="K6" s="12">
        <f t="shared" si="0"/>
        <v>47149</v>
      </c>
      <c r="L6" s="12">
        <f t="shared" si="0"/>
        <v>47514</v>
      </c>
    </row>
    <row r="7" spans="1:14" ht="16" x14ac:dyDescent="0.2">
      <c r="B7" s="46"/>
      <c r="G7" s="6"/>
    </row>
    <row r="8" spans="1:14" ht="16" x14ac:dyDescent="0.2">
      <c r="B8" s="194" t="s">
        <v>90</v>
      </c>
      <c r="E8" s="107">
        <f>Income_Statement!E8</f>
        <v>109120</v>
      </c>
      <c r="F8" s="107">
        <f>Income_Statement!F8</f>
        <v>107412</v>
      </c>
      <c r="G8" s="184">
        <f>Income_Statement!G8</f>
        <v>106566</v>
      </c>
      <c r="H8" s="107">
        <f>Income_Statement!H8</f>
        <v>105500.34</v>
      </c>
      <c r="I8" s="107">
        <f>Income_Statement!I8</f>
        <v>105183.83898</v>
      </c>
      <c r="J8" s="107">
        <f>Income_Statement!J8</f>
        <v>105604.57433592</v>
      </c>
      <c r="K8" s="107">
        <f>Income_Statement!K8</f>
        <v>106766.22465361511</v>
      </c>
      <c r="L8" s="107">
        <f>Income_Statement!L8</f>
        <v>108688.01669738018</v>
      </c>
    </row>
    <row r="9" spans="1:14" ht="16" x14ac:dyDescent="0.2">
      <c r="B9" s="194"/>
      <c r="E9" s="8"/>
      <c r="F9" s="8"/>
      <c r="G9" s="9"/>
      <c r="H9" s="8"/>
      <c r="I9" s="8"/>
      <c r="J9" s="8"/>
      <c r="K9" s="8"/>
      <c r="L9" s="8"/>
    </row>
    <row r="10" spans="1:14" ht="16" x14ac:dyDescent="0.2">
      <c r="B10" s="194" t="s">
        <v>56</v>
      </c>
      <c r="E10" s="115">
        <v>5528</v>
      </c>
      <c r="F10" s="115">
        <v>4806</v>
      </c>
      <c r="G10" s="116">
        <v>2891</v>
      </c>
      <c r="H10" s="8">
        <f>H8*H11</f>
        <v>4431.0142800000003</v>
      </c>
      <c r="I10" s="8">
        <f t="shared" ref="I10:L10" si="1">I8*I11</f>
        <v>4312.5373981800003</v>
      </c>
      <c r="J10" s="8">
        <f t="shared" si="1"/>
        <v>4224.1829734368002</v>
      </c>
      <c r="K10" s="8">
        <f t="shared" si="1"/>
        <v>4163.8827614909887</v>
      </c>
      <c r="L10" s="8">
        <f t="shared" si="1"/>
        <v>4130.144634500447</v>
      </c>
      <c r="N10" s="36" t="s">
        <v>91</v>
      </c>
    </row>
    <row r="11" spans="1:14" ht="16" x14ac:dyDescent="0.2">
      <c r="B11" s="110" t="s">
        <v>92</v>
      </c>
      <c r="C11" s="37"/>
      <c r="D11" s="37"/>
      <c r="E11" s="38">
        <f>E10/E8</f>
        <v>5.0659824046920821E-2</v>
      </c>
      <c r="F11" s="38">
        <f t="shared" ref="F11:G11" si="2">F10/F8</f>
        <v>4.4743604066584737E-2</v>
      </c>
      <c r="G11" s="44">
        <f t="shared" si="2"/>
        <v>2.7128727736801608E-2</v>
      </c>
      <c r="H11" s="39">
        <v>4.2000000000000003E-2</v>
      </c>
      <c r="I11" s="111">
        <f>H11+$N11</f>
        <v>4.1000000000000002E-2</v>
      </c>
      <c r="J11" s="111">
        <f t="shared" ref="J11:L11" si="3">I11+$N11</f>
        <v>0.04</v>
      </c>
      <c r="K11" s="111">
        <f t="shared" si="3"/>
        <v>3.9E-2</v>
      </c>
      <c r="L11" s="111">
        <f t="shared" si="3"/>
        <v>3.7999999999999999E-2</v>
      </c>
      <c r="N11" s="117">
        <v>-1E-3</v>
      </c>
    </row>
    <row r="12" spans="1:14" ht="16" x14ac:dyDescent="0.2">
      <c r="B12" s="198"/>
      <c r="G12" s="6"/>
      <c r="N12" s="112"/>
    </row>
    <row r="13" spans="1:14" ht="16" x14ac:dyDescent="0.2">
      <c r="B13" s="194" t="s">
        <v>50</v>
      </c>
      <c r="E13" s="107">
        <f>-Income_Statement!E15</f>
        <v>2385</v>
      </c>
      <c r="F13" s="107">
        <f>-Income_Statement!F15</f>
        <v>2415</v>
      </c>
      <c r="G13" s="184">
        <f>-Income_Statement!G15</f>
        <v>2529</v>
      </c>
      <c r="H13" s="8">
        <f>H15*H17</f>
        <v>2648.52</v>
      </c>
      <c r="I13" s="8">
        <f t="shared" ref="I13:L13" si="4">I15*I17</f>
        <v>2776.8595881600004</v>
      </c>
      <c r="J13" s="8">
        <f t="shared" si="4"/>
        <v>2887.4283904814406</v>
      </c>
      <c r="K13" s="8">
        <f t="shared" si="4"/>
        <v>2983.6747204542262</v>
      </c>
      <c r="L13" s="8">
        <f t="shared" si="4"/>
        <v>3068.6496994088729</v>
      </c>
    </row>
    <row r="14" spans="1:14" ht="16" x14ac:dyDescent="0.2">
      <c r="B14" s="110" t="s">
        <v>93</v>
      </c>
      <c r="C14" s="37"/>
      <c r="D14" s="37"/>
      <c r="E14" s="38">
        <f>E13/E10</f>
        <v>0.43143994211287989</v>
      </c>
      <c r="F14" s="38">
        <f t="shared" ref="F14:G14" si="5">F13/F10</f>
        <v>0.50249687890137329</v>
      </c>
      <c r="G14" s="44">
        <f t="shared" si="5"/>
        <v>0.87478381182981668</v>
      </c>
      <c r="H14" s="38">
        <f>H13/H10</f>
        <v>0.59772319217170289</v>
      </c>
      <c r="I14" s="38">
        <f t="shared" ref="I14:L14" si="6">I13/I10</f>
        <v>0.64390388575688762</v>
      </c>
      <c r="J14" s="38">
        <f t="shared" si="6"/>
        <v>0.68354718738242193</v>
      </c>
      <c r="K14" s="38">
        <f t="shared" si="6"/>
        <v>0.71656069379480858</v>
      </c>
      <c r="L14" s="38">
        <f t="shared" si="6"/>
        <v>0.74298843526578706</v>
      </c>
    </row>
    <row r="15" spans="1:14" ht="16" x14ac:dyDescent="0.2">
      <c r="B15" s="110" t="s">
        <v>94</v>
      </c>
      <c r="C15" s="37"/>
      <c r="D15" s="37"/>
      <c r="E15" s="38">
        <f>E13/E17</f>
        <v>7.5685453160700689E-2</v>
      </c>
      <c r="F15" s="38">
        <f t="shared" ref="F15:G15" si="7">F13/F17</f>
        <v>7.0678100032192923E-2</v>
      </c>
      <c r="G15" s="44">
        <f t="shared" si="7"/>
        <v>6.9367491359920999E-2</v>
      </c>
      <c r="H15" s="39">
        <v>7.1999999999999995E-2</v>
      </c>
      <c r="I15" s="111">
        <f>H15+$N15</f>
        <v>7.1999999999999995E-2</v>
      </c>
      <c r="J15" s="111">
        <f t="shared" ref="J15:L15" si="8">I15+$N15</f>
        <v>7.1999999999999995E-2</v>
      </c>
      <c r="K15" s="111">
        <f t="shared" si="8"/>
        <v>7.1999999999999995E-2</v>
      </c>
      <c r="L15" s="111">
        <f t="shared" si="8"/>
        <v>7.1999999999999995E-2</v>
      </c>
      <c r="N15" s="118">
        <v>0</v>
      </c>
    </row>
    <row r="16" spans="1:14" ht="16" x14ac:dyDescent="0.2">
      <c r="B16" s="46"/>
      <c r="G16" s="6"/>
    </row>
    <row r="17" spans="2:12" ht="16" x14ac:dyDescent="0.2">
      <c r="B17" s="195" t="s">
        <v>95</v>
      </c>
      <c r="E17" s="115">
        <v>31512</v>
      </c>
      <c r="F17" s="8">
        <f>E20</f>
        <v>34169</v>
      </c>
      <c r="G17" s="9">
        <f>F20</f>
        <v>36458</v>
      </c>
      <c r="H17" s="8">
        <f>G20</f>
        <v>36785</v>
      </c>
      <c r="I17" s="8">
        <f t="shared" ref="I17:L17" si="9">H20</f>
        <v>38567.494280000006</v>
      </c>
      <c r="J17" s="8">
        <f t="shared" si="9"/>
        <v>40103.172090020009</v>
      </c>
      <c r="K17" s="8">
        <f t="shared" si="9"/>
        <v>41439.926672975365</v>
      </c>
      <c r="L17" s="8">
        <f t="shared" si="9"/>
        <v>42620.134714012129</v>
      </c>
    </row>
    <row r="18" spans="2:12" ht="16" x14ac:dyDescent="0.2">
      <c r="B18" s="198" t="s">
        <v>96</v>
      </c>
      <c r="E18" s="330" t="s">
        <v>97</v>
      </c>
      <c r="F18" s="330"/>
      <c r="G18" s="331"/>
      <c r="H18" s="8">
        <f>H10</f>
        <v>4431.0142800000003</v>
      </c>
      <c r="I18" s="8">
        <f t="shared" ref="I18:L18" si="10">I10</f>
        <v>4312.5373981800003</v>
      </c>
      <c r="J18" s="8">
        <f t="shared" si="10"/>
        <v>4224.1829734368002</v>
      </c>
      <c r="K18" s="8">
        <f t="shared" si="10"/>
        <v>4163.8827614909887</v>
      </c>
      <c r="L18" s="8">
        <f t="shared" si="10"/>
        <v>4130.144634500447</v>
      </c>
    </row>
    <row r="19" spans="2:12" ht="16" x14ac:dyDescent="0.2">
      <c r="B19" s="198" t="s">
        <v>50</v>
      </c>
      <c r="E19" s="330"/>
      <c r="F19" s="330"/>
      <c r="G19" s="331"/>
      <c r="H19" s="8">
        <f>H13</f>
        <v>2648.52</v>
      </c>
      <c r="I19" s="8">
        <f t="shared" ref="I19:L19" si="11">I13</f>
        <v>2776.8595881600004</v>
      </c>
      <c r="J19" s="8">
        <f t="shared" si="11"/>
        <v>2887.4283904814406</v>
      </c>
      <c r="K19" s="8">
        <f t="shared" si="11"/>
        <v>2983.6747204542262</v>
      </c>
      <c r="L19" s="8">
        <f t="shared" si="11"/>
        <v>3068.6496994088729</v>
      </c>
    </row>
    <row r="20" spans="2:12" ht="17" thickBot="1" x14ac:dyDescent="0.25">
      <c r="B20" s="195" t="s">
        <v>98</v>
      </c>
      <c r="E20" s="113">
        <f>Balance_Sheet!E15</f>
        <v>34169</v>
      </c>
      <c r="F20" s="113">
        <f>Balance_Sheet!F15</f>
        <v>36458</v>
      </c>
      <c r="G20" s="185">
        <f>Balance_Sheet!G15</f>
        <v>36785</v>
      </c>
      <c r="H20" s="114">
        <f>H17+H18-H19</f>
        <v>38567.494280000006</v>
      </c>
      <c r="I20" s="114">
        <f t="shared" ref="I20:L20" si="12">I17+I18-I19</f>
        <v>40103.172090020009</v>
      </c>
      <c r="J20" s="114">
        <f t="shared" si="12"/>
        <v>41439.926672975365</v>
      </c>
      <c r="K20" s="114">
        <f t="shared" si="12"/>
        <v>42620.134714012129</v>
      </c>
      <c r="L20" s="114">
        <f t="shared" si="12"/>
        <v>43681.629649103699</v>
      </c>
    </row>
    <row r="21" spans="2:12" ht="17" thickTop="1" x14ac:dyDescent="0.2">
      <c r="B21" s="194"/>
    </row>
    <row r="22" spans="2:12" ht="16" x14ac:dyDescent="0.2">
      <c r="B22" s="194"/>
    </row>
  </sheetData>
  <mergeCells count="5">
    <mergeCell ref="D1:E1"/>
    <mergeCell ref="D2:E2"/>
    <mergeCell ref="D3:E3"/>
    <mergeCell ref="E18:G19"/>
    <mergeCell ref="B5:L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F8C9-3A28-45F9-9317-07BC21B6DC73}">
  <dimension ref="A1:O32"/>
  <sheetViews>
    <sheetView showGridLines="0" topLeftCell="A14" workbookViewId="0">
      <selection activeCell="Q7" sqref="Q7"/>
    </sheetView>
  </sheetViews>
  <sheetFormatPr baseColWidth="10" defaultColWidth="8.83203125" defaultRowHeight="15" x14ac:dyDescent="0.2"/>
  <cols>
    <col min="1" max="1" width="5.5" customWidth="1"/>
    <col min="2" max="2" width="40.33203125" customWidth="1"/>
    <col min="5" max="9" width="10.1640625" bestFit="1" customWidth="1"/>
    <col min="10" max="10" width="10.33203125" customWidth="1"/>
    <col min="11" max="11" width="10.1640625" bestFit="1" customWidth="1"/>
    <col min="12" max="12" width="9.6640625" bestFit="1" customWidth="1"/>
    <col min="14" max="14" width="8.83203125" bestFit="1" customWidth="1"/>
  </cols>
  <sheetData>
    <row r="1" spans="1:15" ht="16" x14ac:dyDescent="0.2">
      <c r="A1" s="7" t="s">
        <v>0</v>
      </c>
      <c r="B1" s="7"/>
      <c r="D1" s="326" t="str">
        <f>Income_Statement!D1</f>
        <v>Target Corporation</v>
      </c>
      <c r="E1" s="327"/>
    </row>
    <row r="2" spans="1:15" ht="16" x14ac:dyDescent="0.2">
      <c r="A2" s="7" t="s">
        <v>1</v>
      </c>
      <c r="B2" s="7"/>
      <c r="D2" s="326" t="str">
        <f>Income_Statement!D2</f>
        <v>TGT</v>
      </c>
      <c r="E2" s="327"/>
    </row>
    <row r="3" spans="1:15" ht="16" x14ac:dyDescent="0.2">
      <c r="A3" s="7" t="s">
        <v>2</v>
      </c>
      <c r="B3" s="7"/>
      <c r="D3" s="328">
        <f>Income_Statement!D3</f>
        <v>45688</v>
      </c>
      <c r="E3" s="329"/>
      <c r="I3" s="90"/>
    </row>
    <row r="5" spans="1:15" ht="19" x14ac:dyDescent="0.25">
      <c r="B5" s="322" t="str">
        <f>"Shareholders' Equity Schedule for "&amp;D1&amp;"  (all $ values in millions of USD except per share values)"</f>
        <v>Shareholders' Equity Schedule for Target Corporation  (all $ values in millions of USD except per share values)</v>
      </c>
      <c r="C5" s="322"/>
      <c r="D5" s="322"/>
      <c r="E5" s="322"/>
      <c r="F5" s="322"/>
      <c r="G5" s="322"/>
      <c r="H5" s="322"/>
      <c r="I5" s="322"/>
      <c r="J5" s="322"/>
      <c r="K5" s="322"/>
      <c r="L5" s="322"/>
    </row>
    <row r="6" spans="1:15" ht="16" x14ac:dyDescent="0.2">
      <c r="B6" s="10" t="str">
        <f>"Fiscal Year Ending "&amp;TEXT(D3,"mmmm dd,")</f>
        <v>Fiscal Year Ending January 31,</v>
      </c>
      <c r="C6" s="10"/>
      <c r="D6" s="10"/>
      <c r="E6" s="11">
        <f>EDATE(F6,-12)</f>
        <v>44957</v>
      </c>
      <c r="F6" s="11">
        <f>EDATE(G6,-12)</f>
        <v>45322</v>
      </c>
      <c r="G6" s="11">
        <f>D3</f>
        <v>45688</v>
      </c>
      <c r="H6" s="12">
        <f>EDATE(G6,12)</f>
        <v>46053</v>
      </c>
      <c r="I6" s="12">
        <f t="shared" ref="I6:L6" si="0">EDATE(H6,12)</f>
        <v>46418</v>
      </c>
      <c r="J6" s="12">
        <f t="shared" si="0"/>
        <v>46783</v>
      </c>
      <c r="K6" s="12">
        <f t="shared" si="0"/>
        <v>47149</v>
      </c>
      <c r="L6" s="12">
        <f t="shared" si="0"/>
        <v>47514</v>
      </c>
    </row>
    <row r="7" spans="1:15" ht="16" x14ac:dyDescent="0.2">
      <c r="B7" s="194"/>
      <c r="C7" s="194"/>
      <c r="D7" s="194"/>
      <c r="E7" s="194"/>
      <c r="F7" s="194"/>
      <c r="G7" s="196"/>
      <c r="H7" s="194"/>
      <c r="I7" s="194"/>
      <c r="J7" s="194"/>
      <c r="K7" s="194"/>
      <c r="L7" s="194"/>
      <c r="M7" s="194"/>
      <c r="N7" s="194"/>
      <c r="O7" s="194"/>
    </row>
    <row r="8" spans="1:15" ht="16" x14ac:dyDescent="0.2">
      <c r="B8" s="194" t="s">
        <v>99</v>
      </c>
      <c r="C8" s="194"/>
      <c r="D8" s="194"/>
      <c r="E8" s="332" t="s">
        <v>97</v>
      </c>
      <c r="F8" s="332"/>
      <c r="G8" s="333"/>
      <c r="H8" s="199">
        <f>G14</f>
        <v>14666</v>
      </c>
      <c r="I8" s="199">
        <f t="shared" ref="I8:L8" ca="1" si="1">H14</f>
        <v>13165.795632793523</v>
      </c>
      <c r="J8" s="199">
        <f t="shared" ca="1" si="1"/>
        <v>11556.853798852298</v>
      </c>
      <c r="K8" s="199">
        <f t="shared" ca="1" si="1"/>
        <v>9871.4163306881601</v>
      </c>
      <c r="L8" s="199">
        <f t="shared" ca="1" si="1"/>
        <v>8145.8067665610324</v>
      </c>
      <c r="M8" s="194"/>
      <c r="N8" s="194"/>
      <c r="O8" s="194"/>
    </row>
    <row r="9" spans="1:15" ht="16" x14ac:dyDescent="0.2">
      <c r="B9" s="198" t="s">
        <v>17</v>
      </c>
      <c r="C9" s="194"/>
      <c r="D9" s="194"/>
      <c r="E9" s="332"/>
      <c r="F9" s="332"/>
      <c r="G9" s="333"/>
      <c r="H9" s="107">
        <f ca="1">Income_Statement!H23</f>
        <v>2607.1956327935231</v>
      </c>
      <c r="I9" s="107">
        <f ca="1">Income_Statement!I23</f>
        <v>2768.2629660587772</v>
      </c>
      <c r="J9" s="107">
        <f ca="1">Income_Statement!J23</f>
        <v>2978.798077435863</v>
      </c>
      <c r="K9" s="107">
        <f ca="1">Income_Statement!K23</f>
        <v>3244.0129407560689</v>
      </c>
      <c r="L9" s="107">
        <f ca="1">Income_Statement!L23</f>
        <v>3570.513562312105</v>
      </c>
      <c r="M9" s="194"/>
      <c r="N9" s="194"/>
      <c r="O9" s="194"/>
    </row>
    <row r="10" spans="1:15" ht="16" x14ac:dyDescent="0.2">
      <c r="B10" s="198" t="s">
        <v>100</v>
      </c>
      <c r="C10" s="194"/>
      <c r="D10" s="194"/>
      <c r="E10" s="332"/>
      <c r="F10" s="332"/>
      <c r="G10" s="333"/>
      <c r="H10" s="108">
        <v>251</v>
      </c>
      <c r="I10" s="199">
        <f>H10</f>
        <v>251</v>
      </c>
      <c r="J10" s="199">
        <f t="shared" ref="J10:L10" si="2">I10</f>
        <v>251</v>
      </c>
      <c r="K10" s="199">
        <f t="shared" si="2"/>
        <v>251</v>
      </c>
      <c r="L10" s="199">
        <f t="shared" si="2"/>
        <v>251</v>
      </c>
      <c r="M10" s="194"/>
      <c r="N10" s="194"/>
      <c r="O10" s="194"/>
    </row>
    <row r="11" spans="1:15" ht="16" x14ac:dyDescent="0.2">
      <c r="B11" s="198" t="s">
        <v>101</v>
      </c>
      <c r="C11" s="194"/>
      <c r="D11" s="194"/>
      <c r="E11" s="332"/>
      <c r="F11" s="332"/>
      <c r="G11" s="333"/>
      <c r="H11" s="199">
        <f>-H21</f>
        <v>-2000</v>
      </c>
      <c r="I11" s="199">
        <f t="shared" ref="I11:L11" si="3">-I21</f>
        <v>-2100</v>
      </c>
      <c r="J11" s="199">
        <f t="shared" si="3"/>
        <v>-2205</v>
      </c>
      <c r="K11" s="199">
        <f t="shared" si="3"/>
        <v>-2315.25</v>
      </c>
      <c r="L11" s="199">
        <f t="shared" si="3"/>
        <v>-2431.0124999999998</v>
      </c>
      <c r="M11" s="194"/>
      <c r="N11" s="194"/>
      <c r="O11" s="194"/>
    </row>
    <row r="12" spans="1:15" ht="16" x14ac:dyDescent="0.2">
      <c r="B12" s="198" t="s">
        <v>65</v>
      </c>
      <c r="C12" s="194"/>
      <c r="D12" s="194"/>
      <c r="E12" s="332"/>
      <c r="F12" s="332"/>
      <c r="G12" s="333"/>
      <c r="H12" s="199">
        <f>-H29</f>
        <v>-2358.4</v>
      </c>
      <c r="I12" s="199">
        <f t="shared" ref="I12:L12" si="4">-I29</f>
        <v>-2528.2048000000004</v>
      </c>
      <c r="J12" s="199">
        <f t="shared" si="4"/>
        <v>-2710.2355456000005</v>
      </c>
      <c r="K12" s="199">
        <f t="shared" si="4"/>
        <v>-2905.3725048832007</v>
      </c>
      <c r="L12" s="199">
        <f t="shared" si="4"/>
        <v>-3114.5593252347912</v>
      </c>
      <c r="M12" s="194"/>
      <c r="N12" s="194"/>
      <c r="O12" s="194"/>
    </row>
    <row r="13" spans="1:15" ht="16" x14ac:dyDescent="0.2">
      <c r="B13" s="198" t="s">
        <v>66</v>
      </c>
      <c r="C13" s="194"/>
      <c r="D13" s="194"/>
      <c r="E13" s="334"/>
      <c r="F13" s="334"/>
      <c r="G13" s="335"/>
      <c r="H13" s="200">
        <f>H26</f>
        <v>0</v>
      </c>
      <c r="I13" s="200">
        <f t="shared" ref="I13:L13" si="5">I26</f>
        <v>0</v>
      </c>
      <c r="J13" s="200">
        <f t="shared" si="5"/>
        <v>0</v>
      </c>
      <c r="K13" s="200">
        <f t="shared" si="5"/>
        <v>0</v>
      </c>
      <c r="L13" s="200">
        <f t="shared" si="5"/>
        <v>0</v>
      </c>
      <c r="M13" s="194"/>
      <c r="N13" s="194"/>
      <c r="O13" s="194"/>
    </row>
    <row r="14" spans="1:15" ht="16" x14ac:dyDescent="0.2">
      <c r="B14" s="61" t="s">
        <v>102</v>
      </c>
      <c r="C14" s="46"/>
      <c r="D14" s="46"/>
      <c r="E14" s="120">
        <f>Balance_Sheet!E31</f>
        <v>11232</v>
      </c>
      <c r="F14" s="120">
        <f>Balance_Sheet!F31</f>
        <v>13432</v>
      </c>
      <c r="G14" s="186">
        <f>Balance_Sheet!G31</f>
        <v>14666</v>
      </c>
      <c r="H14" s="20">
        <f ca="1">SUM(H8:H13)</f>
        <v>13165.795632793523</v>
      </c>
      <c r="I14" s="20">
        <f t="shared" ref="I14:L14" ca="1" si="6">SUM(I8:I13)</f>
        <v>11556.853798852298</v>
      </c>
      <c r="J14" s="20">
        <f t="shared" ca="1" si="6"/>
        <v>9871.4163306881601</v>
      </c>
      <c r="K14" s="20">
        <f t="shared" ca="1" si="6"/>
        <v>8145.8067665610288</v>
      </c>
      <c r="L14" s="20">
        <f t="shared" ca="1" si="6"/>
        <v>6421.7485036383459</v>
      </c>
      <c r="M14" s="194"/>
      <c r="N14" s="194"/>
      <c r="O14" s="194"/>
    </row>
    <row r="15" spans="1:15" ht="16" x14ac:dyDescent="0.2">
      <c r="B15" s="194"/>
      <c r="C15" s="194"/>
      <c r="D15" s="194"/>
      <c r="E15" s="194"/>
      <c r="F15" s="194"/>
      <c r="G15" s="196"/>
      <c r="H15" s="194"/>
      <c r="I15" s="194"/>
      <c r="J15" s="194"/>
      <c r="K15" s="194"/>
      <c r="L15" s="194"/>
      <c r="M15" s="194"/>
      <c r="N15" s="194"/>
      <c r="O15" s="194"/>
    </row>
    <row r="16" spans="1:15" ht="16" x14ac:dyDescent="0.2">
      <c r="B16" s="36" t="s">
        <v>103</v>
      </c>
      <c r="C16" s="194"/>
      <c r="D16" s="194"/>
      <c r="E16" s="194"/>
      <c r="F16" s="194"/>
      <c r="G16" s="196"/>
      <c r="H16" s="194"/>
      <c r="I16" s="194"/>
      <c r="J16" s="194"/>
      <c r="K16" s="194"/>
      <c r="L16" s="194"/>
      <c r="M16" s="194"/>
      <c r="N16" s="194"/>
      <c r="O16" s="194"/>
    </row>
    <row r="17" spans="2:15" ht="16" x14ac:dyDescent="0.2">
      <c r="B17" s="198" t="s">
        <v>104</v>
      </c>
      <c r="C17" s="194"/>
      <c r="D17" s="194"/>
      <c r="E17" s="332" t="s">
        <v>97</v>
      </c>
      <c r="F17" s="332"/>
      <c r="G17" s="333"/>
      <c r="H17" s="85">
        <f ca="1">Income_Statement!H26</f>
        <v>5.7062213773460719</v>
      </c>
      <c r="I17" s="85">
        <f ca="1">Income_Statement!I26</f>
        <v>6.1917051802229333</v>
      </c>
      <c r="J17" s="85">
        <f ca="1">Income_Statement!J26</f>
        <v>6.8061425055284674</v>
      </c>
      <c r="K17" s="85">
        <f ca="1">Income_Statement!K26</f>
        <v>7.5677669924271074</v>
      </c>
      <c r="L17" s="85">
        <f ca="1">Income_Statement!L26</f>
        <v>8.4985969113581863</v>
      </c>
      <c r="M17" s="194"/>
      <c r="N17" s="194"/>
      <c r="O17" s="194"/>
    </row>
    <row r="18" spans="2:15" ht="16" x14ac:dyDescent="0.2">
      <c r="B18" s="198" t="s">
        <v>105</v>
      </c>
      <c r="C18" s="194"/>
      <c r="D18" s="194"/>
      <c r="E18" s="332"/>
      <c r="F18" s="332"/>
      <c r="G18" s="333"/>
      <c r="H18" s="121">
        <v>10.76</v>
      </c>
      <c r="I18" s="201">
        <f>H18</f>
        <v>10.76</v>
      </c>
      <c r="J18" s="201">
        <f t="shared" ref="J18:L18" si="7">I18</f>
        <v>10.76</v>
      </c>
      <c r="K18" s="201">
        <f t="shared" si="7"/>
        <v>10.76</v>
      </c>
      <c r="L18" s="201">
        <f t="shared" si="7"/>
        <v>10.76</v>
      </c>
      <c r="M18" s="194"/>
      <c r="N18" s="194"/>
      <c r="O18" s="194"/>
    </row>
    <row r="19" spans="2:15" ht="16" x14ac:dyDescent="0.2">
      <c r="B19" s="198" t="s">
        <v>106</v>
      </c>
      <c r="C19" s="194"/>
      <c r="D19" s="194"/>
      <c r="E19" s="332"/>
      <c r="F19" s="332"/>
      <c r="G19" s="333"/>
      <c r="H19" s="202">
        <f ca="1">H17*H18</f>
        <v>61.39894202024373</v>
      </c>
      <c r="I19" s="202">
        <f t="shared" ref="I19:L19" ca="1" si="8">I17*I18</f>
        <v>66.622747739198758</v>
      </c>
      <c r="J19" s="202">
        <f t="shared" ca="1" si="8"/>
        <v>73.234093359486309</v>
      </c>
      <c r="K19" s="202">
        <f t="shared" ca="1" si="8"/>
        <v>81.429172838515669</v>
      </c>
      <c r="L19" s="202">
        <f t="shared" ca="1" si="8"/>
        <v>91.444902766214085</v>
      </c>
      <c r="M19" s="194"/>
      <c r="N19" s="194"/>
      <c r="O19" s="194"/>
    </row>
    <row r="20" spans="2:15" ht="16" x14ac:dyDescent="0.2">
      <c r="B20" s="198" t="s">
        <v>107</v>
      </c>
      <c r="C20" s="194"/>
      <c r="D20" s="194"/>
      <c r="E20" s="87">
        <v>12.5</v>
      </c>
      <c r="F20" s="87">
        <v>0</v>
      </c>
      <c r="G20" s="123">
        <v>7.2</v>
      </c>
      <c r="H20" s="203">
        <f ca="1">H21/H19</f>
        <v>32.573851180376749</v>
      </c>
      <c r="I20" s="204">
        <f t="shared" ref="I20:L20" ca="1" si="9">I21/I19</f>
        <v>31.520765373122327</v>
      </c>
      <c r="J20" s="204">
        <f t="shared" ca="1" si="9"/>
        <v>30.108927397738821</v>
      </c>
      <c r="K20" s="204">
        <f t="shared" ca="1" si="9"/>
        <v>28.432684740534366</v>
      </c>
      <c r="L20" s="204">
        <f t="shared" ca="1" si="9"/>
        <v>26.58445059770111</v>
      </c>
      <c r="M20" s="194"/>
      <c r="N20" s="194"/>
      <c r="O20" s="194"/>
    </row>
    <row r="21" spans="2:15" ht="16" x14ac:dyDescent="0.2">
      <c r="B21" s="61" t="s">
        <v>108</v>
      </c>
      <c r="C21" s="46"/>
      <c r="D21" s="46"/>
      <c r="E21" s="124">
        <v>2600</v>
      </c>
      <c r="F21" s="124">
        <v>0</v>
      </c>
      <c r="G21" s="124">
        <v>1015</v>
      </c>
      <c r="H21" s="187">
        <v>2000</v>
      </c>
      <c r="I21" s="20">
        <f>H21+(H21*$N$21)</f>
        <v>2100</v>
      </c>
      <c r="J21" s="20">
        <f t="shared" ref="J21:L21" si="10">I21+(I21*$N$21)</f>
        <v>2205</v>
      </c>
      <c r="K21" s="20">
        <f t="shared" si="10"/>
        <v>2315.25</v>
      </c>
      <c r="L21" s="20">
        <f t="shared" si="10"/>
        <v>2431.0124999999998</v>
      </c>
      <c r="M21" s="194"/>
      <c r="N21" s="205">
        <v>0.05</v>
      </c>
      <c r="O21" s="194"/>
    </row>
    <row r="22" spans="2:15" ht="16" x14ac:dyDescent="0.2">
      <c r="B22" s="194"/>
      <c r="C22" s="194"/>
      <c r="D22" s="194"/>
      <c r="E22" s="194"/>
      <c r="F22" s="194"/>
      <c r="G22" s="196"/>
      <c r="H22" s="194"/>
      <c r="I22" s="194"/>
      <c r="J22" s="194"/>
      <c r="K22" s="194"/>
      <c r="L22" s="194"/>
      <c r="M22" s="194"/>
      <c r="N22" s="194"/>
      <c r="O22" s="194"/>
    </row>
    <row r="23" spans="2:15" ht="16" x14ac:dyDescent="0.2">
      <c r="B23" s="36" t="s">
        <v>109</v>
      </c>
      <c r="C23" s="194"/>
      <c r="D23" s="194"/>
      <c r="E23" s="194"/>
      <c r="F23" s="194"/>
      <c r="G23" s="196"/>
      <c r="H23" s="194"/>
      <c r="I23" s="194"/>
      <c r="J23" s="194"/>
      <c r="K23" s="194"/>
      <c r="L23" s="194"/>
      <c r="M23" s="194"/>
      <c r="N23" s="194"/>
      <c r="O23" s="194"/>
    </row>
    <row r="24" spans="2:15" ht="16" x14ac:dyDescent="0.2">
      <c r="B24" s="198" t="s">
        <v>110</v>
      </c>
      <c r="C24" s="194"/>
      <c r="D24" s="194"/>
      <c r="E24" s="108">
        <v>0</v>
      </c>
      <c r="F24" s="108">
        <v>0</v>
      </c>
      <c r="G24" s="109">
        <v>0</v>
      </c>
      <c r="H24" s="199">
        <f>G24</f>
        <v>0</v>
      </c>
      <c r="I24" s="199">
        <f t="shared" ref="I24:L24" si="11">H24</f>
        <v>0</v>
      </c>
      <c r="J24" s="199">
        <f t="shared" si="11"/>
        <v>0</v>
      </c>
      <c r="K24" s="199">
        <f t="shared" si="11"/>
        <v>0</v>
      </c>
      <c r="L24" s="199">
        <f t="shared" si="11"/>
        <v>0</v>
      </c>
      <c r="M24" s="194"/>
      <c r="N24" s="194"/>
      <c r="O24" s="194"/>
    </row>
    <row r="25" spans="2:15" ht="16" x14ac:dyDescent="0.2">
      <c r="B25" s="206" t="s">
        <v>111</v>
      </c>
      <c r="C25" s="197"/>
      <c r="D25" s="197"/>
      <c r="E25" s="207"/>
      <c r="F25" s="208"/>
      <c r="G25" s="209"/>
      <c r="H25" s="197"/>
      <c r="I25" s="197"/>
      <c r="J25" s="197"/>
      <c r="K25" s="197"/>
      <c r="L25" s="197"/>
      <c r="M25" s="194"/>
      <c r="N25" s="194"/>
      <c r="O25" s="194"/>
    </row>
    <row r="26" spans="2:15" ht="16" x14ac:dyDescent="0.2">
      <c r="B26" s="61" t="s">
        <v>112</v>
      </c>
      <c r="C26" s="46"/>
      <c r="D26" s="46"/>
      <c r="E26" s="124">
        <v>0</v>
      </c>
      <c r="F26" s="187">
        <v>0</v>
      </c>
      <c r="G26" s="125">
        <v>0</v>
      </c>
      <c r="H26" s="126">
        <f>AVERAGE(E26:G26)</f>
        <v>0</v>
      </c>
      <c r="I26" s="126">
        <f t="shared" ref="I26:L26" si="12">AVERAGE(F26:H26)</f>
        <v>0</v>
      </c>
      <c r="J26" s="126">
        <f t="shared" si="12"/>
        <v>0</v>
      </c>
      <c r="K26" s="126">
        <f t="shared" si="12"/>
        <v>0</v>
      </c>
      <c r="L26" s="126">
        <f t="shared" si="12"/>
        <v>0</v>
      </c>
      <c r="M26" s="194"/>
      <c r="N26" s="194"/>
      <c r="O26" s="194"/>
    </row>
    <row r="27" spans="2:15" ht="16" x14ac:dyDescent="0.2">
      <c r="B27" s="194"/>
      <c r="C27" s="194"/>
      <c r="D27" s="194"/>
      <c r="E27" s="194"/>
      <c r="F27" s="194"/>
      <c r="G27" s="196"/>
      <c r="H27" s="194"/>
      <c r="I27" s="194"/>
      <c r="J27" s="194"/>
      <c r="K27" s="194"/>
      <c r="L27" s="194"/>
      <c r="M27" s="194"/>
      <c r="N27" s="194"/>
      <c r="O27" s="194"/>
    </row>
    <row r="28" spans="2:15" ht="16" x14ac:dyDescent="0.2">
      <c r="B28" s="36" t="s">
        <v>113</v>
      </c>
      <c r="C28" s="194"/>
      <c r="D28" s="194"/>
      <c r="E28" s="194"/>
      <c r="F28" s="194"/>
      <c r="G28" s="196"/>
      <c r="H28" s="194"/>
      <c r="I28" s="194"/>
      <c r="J28" s="194"/>
      <c r="K28" s="194"/>
      <c r="L28" s="194"/>
      <c r="M28" s="194"/>
      <c r="N28" s="194" t="s">
        <v>114</v>
      </c>
      <c r="O28" s="194"/>
    </row>
    <row r="29" spans="2:15" ht="16" x14ac:dyDescent="0.2">
      <c r="B29" s="198" t="s">
        <v>65</v>
      </c>
      <c r="C29" s="194"/>
      <c r="D29" s="194"/>
      <c r="E29" s="170">
        <v>1830</v>
      </c>
      <c r="F29" s="170">
        <v>2010</v>
      </c>
      <c r="G29" s="171">
        <v>2200</v>
      </c>
      <c r="H29" s="199">
        <f>G29*(1+$N29)</f>
        <v>2358.4</v>
      </c>
      <c r="I29" s="199">
        <f t="shared" ref="I29:L29" si="13">H29*(1+$N29)</f>
        <v>2528.2048000000004</v>
      </c>
      <c r="J29" s="199">
        <f t="shared" si="13"/>
        <v>2710.2355456000005</v>
      </c>
      <c r="K29" s="199">
        <f t="shared" si="13"/>
        <v>2905.3725048832007</v>
      </c>
      <c r="L29" s="199">
        <f t="shared" si="13"/>
        <v>3114.5593252347912</v>
      </c>
      <c r="M29" s="194"/>
      <c r="N29" s="127">
        <v>7.1999999999999995E-2</v>
      </c>
      <c r="O29" s="194"/>
    </row>
    <row r="30" spans="2:15" ht="16" x14ac:dyDescent="0.2">
      <c r="B30" s="198" t="s">
        <v>17</v>
      </c>
      <c r="C30" s="194"/>
      <c r="D30" s="194"/>
      <c r="E30" s="172">
        <f>Income_Statement!E23</f>
        <v>2780</v>
      </c>
      <c r="F30" s="172">
        <f>Income_Statement!F23</f>
        <v>4138</v>
      </c>
      <c r="G30" s="172">
        <f>Income_Statement!G23</f>
        <v>4091</v>
      </c>
      <c r="H30" s="107">
        <f ca="1">Income_Statement!H23</f>
        <v>2607.1956327935231</v>
      </c>
      <c r="I30" s="107">
        <f ca="1">Income_Statement!I23</f>
        <v>2768.2629660587772</v>
      </c>
      <c r="J30" s="107">
        <f ca="1">Income_Statement!J23</f>
        <v>2978.798077435863</v>
      </c>
      <c r="K30" s="107">
        <f ca="1">Income_Statement!K23</f>
        <v>3244.0129407560689</v>
      </c>
      <c r="L30" s="107">
        <f ca="1">Income_Statement!L23</f>
        <v>3570.513562312105</v>
      </c>
      <c r="M30" s="194"/>
      <c r="N30" s="194"/>
      <c r="O30" s="194"/>
    </row>
    <row r="31" spans="2:15" ht="16" x14ac:dyDescent="0.2">
      <c r="B31" s="198" t="s">
        <v>115</v>
      </c>
      <c r="C31" s="194"/>
      <c r="D31" s="194"/>
      <c r="E31" s="210">
        <f>E29/E30</f>
        <v>0.65827338129496404</v>
      </c>
      <c r="F31" s="210">
        <f t="shared" ref="F31:G31" si="14">F29/F30</f>
        <v>0.48574190430159497</v>
      </c>
      <c r="G31" s="210">
        <f t="shared" si="14"/>
        <v>0.53776582742605716</v>
      </c>
      <c r="H31" s="211">
        <f ca="1">H29/H30</f>
        <v>0.90457346979867914</v>
      </c>
      <c r="I31" s="211">
        <f t="shared" ref="I31:L31" ca="1" si="15">I29/I30</f>
        <v>0.9132820223359952</v>
      </c>
      <c r="J31" s="211">
        <f t="shared" ca="1" si="15"/>
        <v>0.90984198161325525</v>
      </c>
      <c r="K31" s="211">
        <f t="shared" ca="1" si="15"/>
        <v>0.89561063964376708</v>
      </c>
      <c r="L31" s="211">
        <f t="shared" ca="1" si="15"/>
        <v>0.87230009657712704</v>
      </c>
      <c r="M31" s="194"/>
      <c r="N31" s="127"/>
      <c r="O31" s="194"/>
    </row>
    <row r="32" spans="2:15" ht="16" x14ac:dyDescent="0.2">
      <c r="B32" s="198" t="s">
        <v>116</v>
      </c>
      <c r="C32" s="194"/>
      <c r="D32" s="194"/>
      <c r="E32" s="194"/>
      <c r="F32" s="211">
        <f>F29/E29-1</f>
        <v>9.8360655737705027E-2</v>
      </c>
      <c r="G32" s="211">
        <f>G29/F29-1</f>
        <v>9.4527363184079505E-2</v>
      </c>
      <c r="H32" s="211">
        <f t="shared" ref="H32:L32" si="16">H29/G29-1</f>
        <v>7.2000000000000064E-2</v>
      </c>
      <c r="I32" s="211">
        <f t="shared" si="16"/>
        <v>7.2000000000000064E-2</v>
      </c>
      <c r="J32" s="211">
        <f t="shared" si="16"/>
        <v>7.2000000000000064E-2</v>
      </c>
      <c r="K32" s="211">
        <f t="shared" si="16"/>
        <v>7.2000000000000064E-2</v>
      </c>
      <c r="L32" s="211">
        <f t="shared" si="16"/>
        <v>7.2000000000000064E-2</v>
      </c>
      <c r="M32" s="194"/>
      <c r="N32" s="194"/>
      <c r="O32" s="194"/>
    </row>
  </sheetData>
  <mergeCells count="6">
    <mergeCell ref="D1:E1"/>
    <mergeCell ref="D2:E2"/>
    <mergeCell ref="D3:E3"/>
    <mergeCell ref="E8:G13"/>
    <mergeCell ref="E17:G19"/>
    <mergeCell ref="B5:L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06D3-0436-0540-9CBF-25E94CA9DD4B}">
  <dimension ref="A1:L25"/>
  <sheetViews>
    <sheetView showGridLines="0" workbookViewId="0">
      <selection activeCell="B15" sqref="B15"/>
    </sheetView>
  </sheetViews>
  <sheetFormatPr baseColWidth="10" defaultColWidth="11" defaultRowHeight="16" x14ac:dyDescent="0.2"/>
  <cols>
    <col min="1" max="1" width="3.1640625" style="154" customWidth="1"/>
    <col min="2" max="2" width="20" style="154" customWidth="1"/>
    <col min="3" max="3" width="11" style="154"/>
    <col min="4" max="12" width="11.83203125" style="154" customWidth="1"/>
    <col min="13" max="16384" width="11" style="154"/>
  </cols>
  <sheetData>
    <row r="1" spans="1:12" x14ac:dyDescent="0.2">
      <c r="A1" s="193" t="s">
        <v>0</v>
      </c>
      <c r="B1" s="193"/>
      <c r="C1" s="193"/>
      <c r="D1" s="336" t="str">
        <f>[1]Income_Statement!D1</f>
        <v>Home Depot, Inc.</v>
      </c>
      <c r="E1" s="337"/>
    </row>
    <row r="2" spans="1:12" x14ac:dyDescent="0.2">
      <c r="A2" s="193" t="s">
        <v>1</v>
      </c>
      <c r="B2" s="193"/>
      <c r="C2" s="193"/>
      <c r="D2" s="336" t="str">
        <f>[1]Income_Statement!D2</f>
        <v>HD</v>
      </c>
      <c r="E2" s="337"/>
    </row>
    <row r="3" spans="1:12" x14ac:dyDescent="0.2">
      <c r="A3" s="193" t="s">
        <v>2</v>
      </c>
      <c r="B3" s="193"/>
      <c r="C3" s="193"/>
      <c r="D3" s="338">
        <f>Income_Statement!D3</f>
        <v>45688</v>
      </c>
      <c r="E3" s="337"/>
      <c r="I3" s="169"/>
    </row>
    <row r="5" spans="1:12" ht="19" x14ac:dyDescent="0.25">
      <c r="B5" s="322" t="str">
        <f>"Shares Outstanding Schedule Schedule for "&amp;D1&amp;"  (all $ values in millions of USD except per share values)"</f>
        <v>Shares Outstanding Schedule Schedule for Home Depot, Inc.  (all $ values in millions of USD except per share values)</v>
      </c>
      <c r="C5" s="322"/>
      <c r="D5" s="322"/>
      <c r="E5" s="322"/>
      <c r="F5" s="322"/>
      <c r="G5" s="322"/>
      <c r="H5" s="322"/>
      <c r="I5" s="322"/>
      <c r="J5" s="322"/>
      <c r="K5" s="322"/>
      <c r="L5" s="322"/>
    </row>
    <row r="6" spans="1:12" x14ac:dyDescent="0.2">
      <c r="B6" s="10" t="str">
        <f>"Fiscal Year Ending "&amp;TEXT(D3,"mmmm dd,")</f>
        <v>Fiscal Year Ending January 31,</v>
      </c>
      <c r="C6" s="10"/>
      <c r="D6" s="10"/>
      <c r="E6" s="11">
        <f>EDATE(F6,-12)</f>
        <v>44957</v>
      </c>
      <c r="F6" s="11">
        <f>EDATE(G6,-12)</f>
        <v>45322</v>
      </c>
      <c r="G6" s="11">
        <f>D3</f>
        <v>45688</v>
      </c>
      <c r="H6" s="12">
        <f>EDATE(G6,12)</f>
        <v>46053</v>
      </c>
      <c r="I6" s="12">
        <f>EDATE(H6,12)</f>
        <v>46418</v>
      </c>
      <c r="J6" s="12">
        <f>EDATE(I6,12)</f>
        <v>46783</v>
      </c>
      <c r="K6" s="12">
        <f>EDATE(J6,12)</f>
        <v>47149</v>
      </c>
      <c r="L6" s="12">
        <f>EDATE(K6,12)</f>
        <v>47514</v>
      </c>
    </row>
    <row r="8" spans="1:12" x14ac:dyDescent="0.2">
      <c r="B8" s="154" t="s">
        <v>148</v>
      </c>
      <c r="E8" s="339" t="s">
        <v>97</v>
      </c>
      <c r="F8" s="339"/>
      <c r="G8" s="340"/>
      <c r="H8" s="156">
        <f>G12</f>
        <v>461.90000000000003</v>
      </c>
      <c r="I8" s="156">
        <f>H12</f>
        <v>451.90809133840992</v>
      </c>
      <c r="J8" s="156">
        <f>I12</f>
        <v>442.27626837592186</v>
      </c>
      <c r="K8" s="156">
        <f>J12</f>
        <v>433.05012245890305</v>
      </c>
      <c r="L8" s="156">
        <f>K12</f>
        <v>424.27356205788482</v>
      </c>
    </row>
    <row r="9" spans="1:12" x14ac:dyDescent="0.2">
      <c r="B9" s="163" t="s">
        <v>147</v>
      </c>
      <c r="E9" s="339"/>
      <c r="F9" s="339"/>
      <c r="G9" s="340"/>
      <c r="H9" s="157">
        <f>Equity!H24</f>
        <v>0</v>
      </c>
      <c r="I9" s="157">
        <f>Equity!I24</f>
        <v>0</v>
      </c>
      <c r="J9" s="157">
        <f>Equity!J24</f>
        <v>0</v>
      </c>
      <c r="K9" s="157">
        <f>Equity!K24</f>
        <v>0</v>
      </c>
      <c r="L9" s="157">
        <f>Equity!L24</f>
        <v>0</v>
      </c>
    </row>
    <row r="10" spans="1:12" x14ac:dyDescent="0.2">
      <c r="B10" s="163" t="s">
        <v>146</v>
      </c>
      <c r="E10" s="339"/>
      <c r="F10" s="339"/>
      <c r="G10" s="340"/>
      <c r="H10" s="165">
        <v>0</v>
      </c>
      <c r="I10" s="168">
        <f>H10</f>
        <v>0</v>
      </c>
      <c r="J10" s="168">
        <f>I10</f>
        <v>0</v>
      </c>
      <c r="K10" s="168">
        <f>J10</f>
        <v>0</v>
      </c>
      <c r="L10" s="168">
        <f>K10</f>
        <v>0</v>
      </c>
    </row>
    <row r="11" spans="1:12" x14ac:dyDescent="0.2">
      <c r="B11" s="163" t="s">
        <v>145</v>
      </c>
      <c r="E11" s="341"/>
      <c r="F11" s="341"/>
      <c r="G11" s="342"/>
      <c r="H11" s="167">
        <f>-[1]Equity!H20</f>
        <v>-9.9919086615901112</v>
      </c>
      <c r="I11" s="167">
        <f>-[1]Equity!I20</f>
        <v>-9.631822962488048</v>
      </c>
      <c r="J11" s="167">
        <f>-[1]Equity!J20</f>
        <v>-9.2261459170188047</v>
      </c>
      <c r="K11" s="167">
        <f>-[1]Equity!K20</f>
        <v>-8.7765604010182052</v>
      </c>
      <c r="L11" s="167">
        <f>-[1]Equity!L20</f>
        <v>-8.2875849110821598</v>
      </c>
    </row>
    <row r="12" spans="1:12" x14ac:dyDescent="0.2">
      <c r="B12" s="166" t="s">
        <v>144</v>
      </c>
      <c r="E12" s="165">
        <v>460.3</v>
      </c>
      <c r="F12" s="165">
        <v>461.7</v>
      </c>
      <c r="G12" s="164">
        <f>G14*2-F12</f>
        <v>461.90000000000003</v>
      </c>
      <c r="H12" s="156">
        <f>SUM(H8:H11)</f>
        <v>451.90809133840992</v>
      </c>
      <c r="I12" s="156">
        <f>SUM(I8:I11)</f>
        <v>442.27626837592186</v>
      </c>
      <c r="J12" s="156">
        <f>SUM(J8:J11)</f>
        <v>433.05012245890305</v>
      </c>
      <c r="K12" s="156">
        <f>SUM(K8:K11)</f>
        <v>424.27356205788482</v>
      </c>
      <c r="L12" s="156">
        <f>SUM(L8:L11)</f>
        <v>415.98597714680267</v>
      </c>
    </row>
    <row r="13" spans="1:12" x14ac:dyDescent="0.2">
      <c r="E13" s="165"/>
      <c r="F13" s="165"/>
      <c r="G13" s="164"/>
    </row>
    <row r="14" spans="1:12" x14ac:dyDescent="0.2">
      <c r="B14" s="154" t="s">
        <v>143</v>
      </c>
      <c r="E14" s="165">
        <v>464.7</v>
      </c>
      <c r="F14" s="165">
        <v>462.8</v>
      </c>
      <c r="G14" s="164">
        <v>461.8</v>
      </c>
      <c r="H14" s="156">
        <f>AVERAGE(H12,G12)</f>
        <v>456.90404566920495</v>
      </c>
      <c r="I14" s="156">
        <f t="shared" ref="I14:L14" si="0">AVERAGE(I12,H12)</f>
        <v>447.09217985716589</v>
      </c>
      <c r="J14" s="156">
        <f t="shared" si="0"/>
        <v>437.66319541741245</v>
      </c>
      <c r="K14" s="156">
        <f t="shared" si="0"/>
        <v>428.6618422583939</v>
      </c>
      <c r="L14" s="156">
        <f t="shared" si="0"/>
        <v>420.12976960234374</v>
      </c>
    </row>
    <row r="15" spans="1:12" x14ac:dyDescent="0.2">
      <c r="B15" s="163" t="s">
        <v>142</v>
      </c>
      <c r="E15" s="162">
        <f>E16-E14</f>
        <v>0</v>
      </c>
      <c r="F15" s="162">
        <f>F16-F14</f>
        <v>0</v>
      </c>
      <c r="G15" s="161">
        <f>G16-G14</f>
        <v>0</v>
      </c>
      <c r="H15" s="160">
        <f>G15</f>
        <v>0</v>
      </c>
      <c r="I15" s="159">
        <f>H15</f>
        <v>0</v>
      </c>
      <c r="J15" s="159">
        <f>I15</f>
        <v>0</v>
      </c>
      <c r="K15" s="159">
        <f>J15</f>
        <v>0</v>
      </c>
      <c r="L15" s="159">
        <f>K15</f>
        <v>0</v>
      </c>
    </row>
    <row r="16" spans="1:12" x14ac:dyDescent="0.2">
      <c r="B16" s="158" t="s">
        <v>141</v>
      </c>
      <c r="E16" s="157">
        <f>Income_Statement!E25</f>
        <v>464.7</v>
      </c>
      <c r="F16" s="157">
        <f>Income_Statement!F25</f>
        <v>462.8</v>
      </c>
      <c r="G16" s="188">
        <f>Income_Statement!G25</f>
        <v>461.8</v>
      </c>
      <c r="H16" s="156">
        <f>SUM(H14:H15)</f>
        <v>456.90404566920495</v>
      </c>
      <c r="I16" s="156">
        <f>SUM(I14:I15)</f>
        <v>447.09217985716589</v>
      </c>
      <c r="J16" s="156">
        <f>SUM(J14:J15)</f>
        <v>437.66319541741245</v>
      </c>
      <c r="K16" s="156">
        <f>SUM(K14:K15)</f>
        <v>428.6618422583939</v>
      </c>
      <c r="L16" s="156">
        <f>SUM(L14:L15)</f>
        <v>420.12976960234374</v>
      </c>
    </row>
    <row r="25" spans="8:12" x14ac:dyDescent="0.2">
      <c r="H25" s="155"/>
      <c r="I25" s="155"/>
      <c r="J25" s="155"/>
      <c r="K25" s="155"/>
      <c r="L25" s="155"/>
    </row>
  </sheetData>
  <mergeCells count="5">
    <mergeCell ref="D1:E1"/>
    <mergeCell ref="D2:E2"/>
    <mergeCell ref="D3:E3"/>
    <mergeCell ref="E8:G11"/>
    <mergeCell ref="B5:L5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1EC7-A89F-4150-82FF-BB417C7688FE}">
  <dimension ref="A1:L49"/>
  <sheetViews>
    <sheetView showGridLines="0" workbookViewId="0">
      <selection activeCell="O21" sqref="O21"/>
    </sheetView>
  </sheetViews>
  <sheetFormatPr baseColWidth="10" defaultColWidth="8.83203125" defaultRowHeight="15" x14ac:dyDescent="0.2"/>
  <cols>
    <col min="1" max="1" width="3.5" customWidth="1"/>
    <col min="2" max="2" width="22.1640625" customWidth="1"/>
    <col min="3" max="3" width="12.1640625"/>
    <col min="4" max="12" width="13.1640625" customWidth="1"/>
  </cols>
  <sheetData>
    <row r="1" spans="1:12" ht="16" x14ac:dyDescent="0.2">
      <c r="A1" t="s">
        <v>0</v>
      </c>
      <c r="D1" s="326" t="str">
        <f>Income_Statement!D1</f>
        <v>Target Corporation</v>
      </c>
      <c r="E1" s="327"/>
    </row>
    <row r="2" spans="1:12" ht="16" x14ac:dyDescent="0.2">
      <c r="A2" t="s">
        <v>1</v>
      </c>
      <c r="D2" s="326" t="str">
        <f>Income_Statement!D2</f>
        <v>TGT</v>
      </c>
      <c r="E2" s="327"/>
    </row>
    <row r="3" spans="1:12" ht="16" x14ac:dyDescent="0.2">
      <c r="A3" t="s">
        <v>2</v>
      </c>
      <c r="D3" s="328">
        <f>Income_Statement!D3</f>
        <v>45688</v>
      </c>
      <c r="E3" s="329"/>
      <c r="I3" s="90"/>
    </row>
    <row r="6" spans="1:12" ht="19" x14ac:dyDescent="0.25">
      <c r="B6" s="322" t="str">
        <f>"Debt &amp; Interest Schedule Schedule for "&amp;D1&amp;"  (all $ values in millions of USD except per share values)"</f>
        <v>Debt &amp; Interest Schedule Schedule for Target Corporation  (all $ values in millions of USD except per share values)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</row>
    <row r="7" spans="1:12" s="194" customFormat="1" ht="16" x14ac:dyDescent="0.2">
      <c r="B7" s="10" t="str">
        <f>"Fiscal Year Ending "&amp;TEXT(D3,"mmmm dd,")</f>
        <v>Fiscal Year Ending January 31,</v>
      </c>
      <c r="C7" s="10"/>
      <c r="D7" s="10"/>
      <c r="E7" s="11">
        <f>EDATE(F7,-12)</f>
        <v>44957</v>
      </c>
      <c r="F7" s="11">
        <f>EDATE(G7,-12)</f>
        <v>45322</v>
      </c>
      <c r="G7" s="11">
        <f>D3</f>
        <v>45688</v>
      </c>
      <c r="H7" s="12">
        <f>EDATE(G7,12)</f>
        <v>46053</v>
      </c>
      <c r="I7" s="12">
        <f t="shared" ref="I7:L7" si="0">EDATE(H7,12)</f>
        <v>46418</v>
      </c>
      <c r="J7" s="12">
        <f t="shared" si="0"/>
        <v>46783</v>
      </c>
      <c r="K7" s="12">
        <f t="shared" si="0"/>
        <v>47149</v>
      </c>
      <c r="L7" s="12">
        <f t="shared" si="0"/>
        <v>47514</v>
      </c>
    </row>
    <row r="8" spans="1:12" ht="16" x14ac:dyDescent="0.2">
      <c r="B8" s="194"/>
      <c r="C8" s="194"/>
      <c r="D8" s="194"/>
      <c r="E8" s="194"/>
      <c r="F8" s="194"/>
      <c r="G8" s="196"/>
      <c r="H8" s="194"/>
      <c r="I8" s="194"/>
      <c r="J8" s="194"/>
      <c r="K8" s="194"/>
      <c r="L8" s="194"/>
    </row>
    <row r="9" spans="1:12" ht="16" x14ac:dyDescent="0.2">
      <c r="B9" s="194" t="s">
        <v>59</v>
      </c>
      <c r="C9" s="194"/>
      <c r="D9" s="194"/>
      <c r="E9" s="343" t="s">
        <v>97</v>
      </c>
      <c r="F9" s="343"/>
      <c r="G9" s="344"/>
      <c r="H9" s="85">
        <f ca="1">Statement_Cash_Flows!H21</f>
        <v>-905.94631117908011</v>
      </c>
      <c r="I9" s="85">
        <f ca="1">Statement_Cash_Flows!I21</f>
        <v>1430.1441755932947</v>
      </c>
      <c r="J9" s="85">
        <f ca="1">Statement_Cash_Flows!J21</f>
        <v>1868.1019567716849</v>
      </c>
      <c r="K9" s="85">
        <f ca="1">Statement_Cash_Flows!K21</f>
        <v>2317.6388635703215</v>
      </c>
      <c r="L9" s="85">
        <f ca="1">Statement_Cash_Flows!L21</f>
        <v>2790.4821024713556</v>
      </c>
    </row>
    <row r="10" spans="1:12" ht="16" x14ac:dyDescent="0.2">
      <c r="B10" s="198" t="s">
        <v>101</v>
      </c>
      <c r="C10" s="194"/>
      <c r="D10" s="194"/>
      <c r="E10" s="343"/>
      <c r="F10" s="343"/>
      <c r="G10" s="344"/>
      <c r="H10" s="85">
        <f>Statement_Cash_Flows!H27</f>
        <v>-2000</v>
      </c>
      <c r="I10" s="85">
        <f>Statement_Cash_Flows!I27</f>
        <v>-2100</v>
      </c>
      <c r="J10" s="85">
        <f>Statement_Cash_Flows!J27</f>
        <v>-2205</v>
      </c>
      <c r="K10" s="85">
        <f>Statement_Cash_Flows!K27</f>
        <v>-2315.25</v>
      </c>
      <c r="L10" s="85">
        <f>Statement_Cash_Flows!L27</f>
        <v>-2431.0124999999998</v>
      </c>
    </row>
    <row r="11" spans="1:12" ht="16" x14ac:dyDescent="0.2">
      <c r="B11" s="198" t="s">
        <v>65</v>
      </c>
      <c r="C11" s="194"/>
      <c r="D11" s="194"/>
      <c r="E11" s="343"/>
      <c r="F11" s="343"/>
      <c r="G11" s="344"/>
      <c r="H11" s="85">
        <f>Statement_Cash_Flows!H28</f>
        <v>-2358.4</v>
      </c>
      <c r="I11" s="85">
        <f>Statement_Cash_Flows!I28</f>
        <v>-2528.2048000000004</v>
      </c>
      <c r="J11" s="85">
        <f>Statement_Cash_Flows!J28</f>
        <v>-2710.2355456000005</v>
      </c>
      <c r="K11" s="85">
        <f>Statement_Cash_Flows!K28</f>
        <v>-2905.3725048832007</v>
      </c>
      <c r="L11" s="85">
        <f>Statement_Cash_Flows!L28</f>
        <v>-3114.5593252347912</v>
      </c>
    </row>
    <row r="12" spans="1:12" ht="16" x14ac:dyDescent="0.2">
      <c r="B12" s="198" t="s">
        <v>66</v>
      </c>
      <c r="C12" s="194"/>
      <c r="D12" s="194"/>
      <c r="E12" s="343"/>
      <c r="F12" s="343"/>
      <c r="G12" s="344"/>
      <c r="H12" s="85">
        <f>Statement_Cash_Flows!H29</f>
        <v>0</v>
      </c>
      <c r="I12" s="85"/>
      <c r="J12" s="85"/>
      <c r="K12" s="85"/>
      <c r="L12" s="85"/>
    </row>
    <row r="13" spans="1:12" ht="16" x14ac:dyDescent="0.2">
      <c r="B13" s="198" t="s">
        <v>117</v>
      </c>
      <c r="C13" s="194"/>
      <c r="D13" s="194"/>
      <c r="E13" s="343"/>
      <c r="F13" s="343"/>
      <c r="G13" s="344"/>
      <c r="H13" s="85">
        <f>Balance_Sheet!G8</f>
        <v>4762</v>
      </c>
      <c r="I13" s="85">
        <f ca="1">Balance_Sheet!H8</f>
        <v>-502.34631117907975</v>
      </c>
      <c r="J13" s="85">
        <f ca="1">Balance_Sheet!I8</f>
        <v>-3700.4069355857855</v>
      </c>
      <c r="K13" s="85">
        <f ca="1">Balance_Sheet!J8</f>
        <v>-6747.5405244141002</v>
      </c>
      <c r="L13" s="85">
        <f ca="1">Balance_Sheet!K8</f>
        <v>-9650.5241657269798</v>
      </c>
    </row>
    <row r="14" spans="1:12" ht="16" x14ac:dyDescent="0.2">
      <c r="B14" s="198" t="s">
        <v>118</v>
      </c>
      <c r="C14" s="194"/>
      <c r="D14" s="194"/>
      <c r="E14" s="343"/>
      <c r="F14" s="343"/>
      <c r="G14" s="344"/>
      <c r="H14" s="87">
        <v>-2200</v>
      </c>
      <c r="I14" s="129">
        <f>H14</f>
        <v>-2200</v>
      </c>
      <c r="J14" s="129">
        <f t="shared" ref="J14:L14" si="1">I14</f>
        <v>-2200</v>
      </c>
      <c r="K14" s="129">
        <f t="shared" si="1"/>
        <v>-2200</v>
      </c>
      <c r="L14" s="129">
        <f t="shared" si="1"/>
        <v>-2200</v>
      </c>
    </row>
    <row r="15" spans="1:12" ht="16" x14ac:dyDescent="0.2">
      <c r="B15" s="195" t="s">
        <v>119</v>
      </c>
      <c r="C15" s="194"/>
      <c r="D15" s="194"/>
      <c r="E15" s="343"/>
      <c r="F15" s="343"/>
      <c r="G15" s="344"/>
      <c r="H15" s="199">
        <f ca="1">SUM(H9:H14)</f>
        <v>-2702.3463111790807</v>
      </c>
      <c r="I15" s="199">
        <f t="shared" ref="I15:L15" ca="1" si="2">SUM(I9:I14)</f>
        <v>-5900.4069355857855</v>
      </c>
      <c r="J15" s="199">
        <f t="shared" ca="1" si="2"/>
        <v>-8947.5405244141002</v>
      </c>
      <c r="K15" s="199">
        <f t="shared" ca="1" si="2"/>
        <v>-11850.52416572698</v>
      </c>
      <c r="L15" s="199">
        <f t="shared" ca="1" si="2"/>
        <v>-14605.613888490416</v>
      </c>
    </row>
    <row r="16" spans="1:12" ht="16" x14ac:dyDescent="0.2">
      <c r="B16" s="198" t="s">
        <v>62</v>
      </c>
      <c r="C16" s="194"/>
      <c r="D16" s="194"/>
      <c r="E16" s="343"/>
      <c r="F16" s="343"/>
      <c r="G16" s="344"/>
      <c r="H16" s="199">
        <f>H27</f>
        <v>-1500</v>
      </c>
      <c r="I16" s="199">
        <f t="shared" ref="I16:L16" si="3">I27</f>
        <v>-2000</v>
      </c>
      <c r="J16" s="199">
        <f t="shared" si="3"/>
        <v>-970</v>
      </c>
      <c r="K16" s="199">
        <f t="shared" si="3"/>
        <v>-500</v>
      </c>
      <c r="L16" s="199">
        <f t="shared" si="3"/>
        <v>-500</v>
      </c>
    </row>
    <row r="17" spans="2:12" ht="16" x14ac:dyDescent="0.2">
      <c r="B17" s="198" t="s">
        <v>120</v>
      </c>
      <c r="C17" s="194"/>
      <c r="D17" s="194"/>
      <c r="E17" s="343"/>
      <c r="F17" s="343"/>
      <c r="G17" s="344"/>
      <c r="H17" s="200">
        <f>H28</f>
        <v>1500</v>
      </c>
      <c r="I17" s="200">
        <f t="shared" ref="I17:L17" si="4">I28</f>
        <v>2000</v>
      </c>
      <c r="J17" s="200">
        <f t="shared" si="4"/>
        <v>970</v>
      </c>
      <c r="K17" s="200">
        <f t="shared" si="4"/>
        <v>500</v>
      </c>
      <c r="L17" s="200">
        <f t="shared" si="4"/>
        <v>500</v>
      </c>
    </row>
    <row r="18" spans="2:12" ht="16" x14ac:dyDescent="0.2">
      <c r="B18" s="61" t="s">
        <v>121</v>
      </c>
      <c r="C18" s="194"/>
      <c r="D18" s="194"/>
      <c r="E18" s="343"/>
      <c r="F18" s="343"/>
      <c r="G18" s="344"/>
      <c r="H18" s="20">
        <f ca="1">-SUM(H15:H17)</f>
        <v>2702.3463111790807</v>
      </c>
      <c r="I18" s="20">
        <f t="shared" ref="I18:L18" ca="1" si="5">-SUM(I15:I17)</f>
        <v>5900.4069355857855</v>
      </c>
      <c r="J18" s="20">
        <f t="shared" ca="1" si="5"/>
        <v>8947.5405244141002</v>
      </c>
      <c r="K18" s="20">
        <f t="shared" ca="1" si="5"/>
        <v>11850.52416572698</v>
      </c>
      <c r="L18" s="20">
        <f t="shared" ca="1" si="5"/>
        <v>14605.613888490416</v>
      </c>
    </row>
    <row r="19" spans="2:12" ht="16" x14ac:dyDescent="0.2">
      <c r="B19" s="194"/>
      <c r="C19" s="194"/>
      <c r="D19" s="194"/>
      <c r="E19" s="194"/>
      <c r="F19" s="194"/>
      <c r="G19" s="196"/>
      <c r="H19" s="199"/>
      <c r="I19" s="199"/>
      <c r="J19" s="199"/>
      <c r="K19" s="199"/>
      <c r="L19" s="199"/>
    </row>
    <row r="20" spans="2:12" ht="16" x14ac:dyDescent="0.2">
      <c r="B20" s="194"/>
      <c r="C20" s="194"/>
      <c r="D20" s="194"/>
      <c r="E20" s="194"/>
      <c r="F20" s="194"/>
      <c r="G20" s="196"/>
      <c r="H20" s="199"/>
      <c r="I20" s="199"/>
      <c r="J20" s="199"/>
      <c r="K20" s="199"/>
      <c r="L20" s="199"/>
    </row>
    <row r="21" spans="2:12" ht="16" x14ac:dyDescent="0.2">
      <c r="B21" s="36" t="s">
        <v>39</v>
      </c>
      <c r="C21" s="194"/>
      <c r="D21" s="194"/>
      <c r="E21" s="194"/>
      <c r="F21" s="194"/>
      <c r="G21" s="196"/>
      <c r="H21" s="199"/>
      <c r="I21" s="199"/>
      <c r="J21" s="199"/>
      <c r="K21" s="199"/>
      <c r="L21" s="199"/>
    </row>
    <row r="22" spans="2:12" ht="16" x14ac:dyDescent="0.2">
      <c r="B22" s="198" t="s">
        <v>122</v>
      </c>
      <c r="C22" s="194"/>
      <c r="D22" s="194"/>
      <c r="E22" s="212"/>
      <c r="F22" s="212"/>
      <c r="G22" s="213"/>
      <c r="H22" s="214">
        <f>G24</f>
        <v>0</v>
      </c>
      <c r="I22" s="214">
        <f t="shared" ref="I22:L22" ca="1" si="6">H24</f>
        <v>0</v>
      </c>
      <c r="J22" s="214">
        <f t="shared" ca="1" si="6"/>
        <v>0</v>
      </c>
      <c r="K22" s="214">
        <f t="shared" ca="1" si="6"/>
        <v>0</v>
      </c>
      <c r="L22" s="214">
        <f t="shared" ca="1" si="6"/>
        <v>0</v>
      </c>
    </row>
    <row r="23" spans="2:12" ht="16" x14ac:dyDescent="0.2">
      <c r="B23" s="198" t="s">
        <v>123</v>
      </c>
      <c r="C23" s="194"/>
      <c r="D23" s="194"/>
      <c r="E23" s="212"/>
      <c r="F23" s="212"/>
      <c r="G23" s="213"/>
      <c r="H23" s="200">
        <f ca="1">-MIN(H18,H22)</f>
        <v>0</v>
      </c>
      <c r="I23" s="200">
        <f t="shared" ref="I23:L23" ca="1" si="7">-MIN(I18,I22)</f>
        <v>0</v>
      </c>
      <c r="J23" s="200">
        <f t="shared" ca="1" si="7"/>
        <v>0</v>
      </c>
      <c r="K23" s="200">
        <f t="shared" ca="1" si="7"/>
        <v>0</v>
      </c>
      <c r="L23" s="200">
        <f t="shared" ca="1" si="7"/>
        <v>0</v>
      </c>
    </row>
    <row r="24" spans="2:12" ht="16" x14ac:dyDescent="0.2">
      <c r="B24" s="194" t="s">
        <v>124</v>
      </c>
      <c r="C24" s="194"/>
      <c r="D24" s="194"/>
      <c r="E24" s="107">
        <f>Balance_Sheet!E23</f>
        <v>0</v>
      </c>
      <c r="F24" s="107">
        <f>Balance_Sheet!F23</f>
        <v>0</v>
      </c>
      <c r="G24" s="107">
        <f>Balance_Sheet!G23</f>
        <v>0</v>
      </c>
      <c r="H24" s="199">
        <f ca="1">SUM(H22:H23)</f>
        <v>0</v>
      </c>
      <c r="I24" s="199">
        <f t="shared" ref="I24:L24" ca="1" si="8">SUM(I22:I23)</f>
        <v>0</v>
      </c>
      <c r="J24" s="199">
        <f t="shared" ca="1" si="8"/>
        <v>0</v>
      </c>
      <c r="K24" s="199">
        <f t="shared" ca="1" si="8"/>
        <v>0</v>
      </c>
      <c r="L24" s="199">
        <f t="shared" ca="1" si="8"/>
        <v>0</v>
      </c>
    </row>
    <row r="25" spans="2:12" ht="16" x14ac:dyDescent="0.2">
      <c r="B25" s="194"/>
      <c r="C25" s="194"/>
      <c r="D25" s="194"/>
      <c r="E25" s="194"/>
      <c r="F25" s="194"/>
      <c r="G25" s="196"/>
      <c r="H25" s="199"/>
      <c r="I25" s="199"/>
      <c r="J25" s="199"/>
      <c r="K25" s="199"/>
      <c r="L25" s="199"/>
    </row>
    <row r="26" spans="2:12" ht="16" x14ac:dyDescent="0.2">
      <c r="B26" s="36" t="s">
        <v>41</v>
      </c>
      <c r="C26" s="194"/>
      <c r="D26" s="194"/>
      <c r="E26" s="212"/>
      <c r="F26" s="212"/>
      <c r="G26" s="215" t="s">
        <v>122</v>
      </c>
      <c r="H26" s="214">
        <f>G29</f>
        <v>17886</v>
      </c>
      <c r="I26" s="214">
        <f>H26</f>
        <v>17886</v>
      </c>
      <c r="J26" s="214">
        <f t="shared" ref="J26:L26" si="9">I26</f>
        <v>17886</v>
      </c>
      <c r="K26" s="214">
        <f t="shared" si="9"/>
        <v>17886</v>
      </c>
      <c r="L26" s="214">
        <f t="shared" si="9"/>
        <v>17886</v>
      </c>
    </row>
    <row r="27" spans="2:12" ht="16" x14ac:dyDescent="0.2">
      <c r="B27" s="198" t="s">
        <v>125</v>
      </c>
      <c r="C27" s="194"/>
      <c r="D27" s="194"/>
      <c r="E27" s="212"/>
      <c r="F27" s="212"/>
      <c r="G27" s="130" t="s">
        <v>126</v>
      </c>
      <c r="H27" s="131">
        <f>-H28</f>
        <v>-1500</v>
      </c>
      <c r="I27" s="131">
        <f>-I28</f>
        <v>-2000</v>
      </c>
      <c r="J27" s="131">
        <f>-J28</f>
        <v>-970</v>
      </c>
      <c r="K27" s="131">
        <f>-K28</f>
        <v>-500</v>
      </c>
      <c r="L27" s="131">
        <f>-L28</f>
        <v>-500</v>
      </c>
    </row>
    <row r="28" spans="2:12" ht="16" x14ac:dyDescent="0.2">
      <c r="B28" s="198" t="s">
        <v>127</v>
      </c>
      <c r="C28" s="194"/>
      <c r="D28" s="194"/>
      <c r="E28" s="212"/>
      <c r="F28" s="212"/>
      <c r="G28" s="215" t="s">
        <v>128</v>
      </c>
      <c r="H28" s="87">
        <v>1500</v>
      </c>
      <c r="I28" s="87">
        <v>2000</v>
      </c>
      <c r="J28" s="87">
        <v>970</v>
      </c>
      <c r="K28" s="87">
        <v>500</v>
      </c>
      <c r="L28" s="87">
        <v>500</v>
      </c>
    </row>
    <row r="29" spans="2:12" ht="16" x14ac:dyDescent="0.2">
      <c r="B29" s="194" t="s">
        <v>124</v>
      </c>
      <c r="C29" s="194"/>
      <c r="D29" s="194"/>
      <c r="E29" s="107">
        <f>Balance_Sheet!E26</f>
        <v>18647</v>
      </c>
      <c r="F29" s="107">
        <f>Balance_Sheet!F26</f>
        <v>18201</v>
      </c>
      <c r="G29" s="107">
        <f>Balance_Sheet!G26</f>
        <v>17886</v>
      </c>
      <c r="H29" s="199">
        <f>SUM(H26:H28)</f>
        <v>17886</v>
      </c>
      <c r="I29" s="199">
        <f t="shared" ref="I29:L29" si="10">SUM(I26:I28)</f>
        <v>17886</v>
      </c>
      <c r="J29" s="199">
        <f t="shared" si="10"/>
        <v>17886</v>
      </c>
      <c r="K29" s="199">
        <f t="shared" si="10"/>
        <v>17886</v>
      </c>
      <c r="L29" s="199">
        <f t="shared" si="10"/>
        <v>17886</v>
      </c>
    </row>
    <row r="30" spans="2:12" ht="16" x14ac:dyDescent="0.2"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</row>
    <row r="31" spans="2:12" ht="16" x14ac:dyDescent="0.2"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</row>
    <row r="32" spans="2:12" ht="16" x14ac:dyDescent="0.2">
      <c r="B32" s="194"/>
      <c r="C32" s="194"/>
      <c r="D32" s="216" t="s">
        <v>129</v>
      </c>
      <c r="E32" s="217"/>
      <c r="F32" s="217" t="s">
        <v>130</v>
      </c>
      <c r="G32" s="217"/>
      <c r="H32" s="218"/>
      <c r="I32" s="218"/>
      <c r="J32" s="218"/>
      <c r="K32" s="218"/>
      <c r="L32" s="219"/>
    </row>
    <row r="33" spans="2:12" ht="16" x14ac:dyDescent="0.2">
      <c r="B33" s="194"/>
      <c r="C33" s="194"/>
      <c r="D33" s="220"/>
      <c r="E33" s="194"/>
      <c r="F33" s="194" t="s">
        <v>131</v>
      </c>
      <c r="G33" s="194"/>
      <c r="H33" s="133"/>
      <c r="I33" s="133"/>
      <c r="J33" s="133"/>
      <c r="K33" s="133"/>
      <c r="L33" s="134"/>
    </row>
    <row r="34" spans="2:12" ht="16" x14ac:dyDescent="0.2">
      <c r="D34" s="132"/>
      <c r="F34" t="s">
        <v>132</v>
      </c>
      <c r="H34" s="133"/>
      <c r="I34" s="133"/>
      <c r="J34" s="133"/>
      <c r="K34" s="133"/>
      <c r="L34" s="134"/>
    </row>
    <row r="35" spans="2:12" x14ac:dyDescent="0.2">
      <c r="D35" s="132"/>
      <c r="F35" t="s">
        <v>133</v>
      </c>
      <c r="H35" s="135"/>
      <c r="I35" s="135"/>
      <c r="J35" s="135"/>
      <c r="K35" s="135"/>
      <c r="L35" s="136"/>
    </row>
    <row r="36" spans="2:12" x14ac:dyDescent="0.2">
      <c r="D36" s="132"/>
      <c r="F36" t="s">
        <v>134</v>
      </c>
      <c r="H36" s="122"/>
      <c r="I36" s="122"/>
      <c r="J36" s="122"/>
      <c r="K36" s="122"/>
      <c r="L36" s="137"/>
    </row>
    <row r="37" spans="2:12" x14ac:dyDescent="0.2">
      <c r="D37" s="132"/>
      <c r="L37" s="6"/>
    </row>
    <row r="38" spans="2:12" x14ac:dyDescent="0.2">
      <c r="D38" s="132"/>
      <c r="L38" s="6"/>
    </row>
    <row r="39" spans="2:12" x14ac:dyDescent="0.2">
      <c r="D39" s="132" t="s">
        <v>135</v>
      </c>
      <c r="F39" t="s">
        <v>136</v>
      </c>
      <c r="H39" s="138"/>
      <c r="I39" s="138"/>
      <c r="J39" s="138"/>
      <c r="K39" s="138"/>
      <c r="L39" s="139"/>
    </row>
    <row r="40" spans="2:12" x14ac:dyDescent="0.2">
      <c r="D40" s="132"/>
      <c r="F40" t="s">
        <v>133</v>
      </c>
      <c r="H40" s="140"/>
      <c r="I40" s="141"/>
      <c r="J40" s="141"/>
      <c r="K40" s="141"/>
      <c r="L40" s="142"/>
    </row>
    <row r="41" spans="2:12" x14ac:dyDescent="0.2">
      <c r="D41" s="132"/>
      <c r="F41" t="s">
        <v>134</v>
      </c>
      <c r="H41" s="138"/>
      <c r="I41" s="138"/>
      <c r="J41" s="138"/>
      <c r="K41" s="138"/>
      <c r="L41" s="139"/>
    </row>
    <row r="42" spans="2:12" x14ac:dyDescent="0.2">
      <c r="D42" s="132"/>
      <c r="L42" s="6"/>
    </row>
    <row r="43" spans="2:12" x14ac:dyDescent="0.2">
      <c r="D43" s="132"/>
      <c r="E43" s="7" t="s">
        <v>137</v>
      </c>
      <c r="H43" s="138"/>
      <c r="I43" s="138"/>
      <c r="J43" s="138"/>
      <c r="K43" s="138"/>
      <c r="L43" s="139"/>
    </row>
    <row r="44" spans="2:12" x14ac:dyDescent="0.2">
      <c r="D44" s="132"/>
      <c r="L44" s="6"/>
    </row>
    <row r="45" spans="2:12" ht="16" x14ac:dyDescent="0.2">
      <c r="D45" s="132" t="s">
        <v>138</v>
      </c>
      <c r="F45" t="s">
        <v>136</v>
      </c>
      <c r="H45" s="143"/>
      <c r="I45" s="143"/>
      <c r="J45" s="143"/>
      <c r="K45" s="143"/>
      <c r="L45" s="144"/>
    </row>
    <row r="46" spans="2:12" x14ac:dyDescent="0.2">
      <c r="D46" s="132"/>
      <c r="F46" t="s">
        <v>133</v>
      </c>
      <c r="H46" s="145"/>
      <c r="I46" s="146"/>
      <c r="J46" s="146"/>
      <c r="K46" s="146"/>
      <c r="L46" s="147"/>
    </row>
    <row r="47" spans="2:12" x14ac:dyDescent="0.2">
      <c r="D47" s="132"/>
      <c r="F47" t="s">
        <v>139</v>
      </c>
      <c r="H47" s="138"/>
      <c r="I47" s="138"/>
      <c r="J47" s="138"/>
      <c r="K47" s="138"/>
      <c r="L47" s="139"/>
    </row>
    <row r="48" spans="2:12" x14ac:dyDescent="0.2">
      <c r="D48" s="132"/>
      <c r="L48" s="6"/>
    </row>
    <row r="49" spans="4:12" ht="16" x14ac:dyDescent="0.2">
      <c r="D49" s="148" t="s">
        <v>140</v>
      </c>
      <c r="E49" s="4"/>
      <c r="F49" s="4"/>
      <c r="G49" s="4"/>
      <c r="H49" s="149"/>
      <c r="I49" s="149"/>
      <c r="J49" s="149"/>
      <c r="K49" s="149"/>
      <c r="L49" s="150"/>
    </row>
  </sheetData>
  <mergeCells count="5">
    <mergeCell ref="D1:E1"/>
    <mergeCell ref="D2:E2"/>
    <mergeCell ref="D3:E3"/>
    <mergeCell ref="E9:G18"/>
    <mergeCell ref="B6:L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FEF-4EB7-5840-A436-B376E4DC7351}">
  <dimension ref="A1:R38"/>
  <sheetViews>
    <sheetView showGridLines="0" topLeftCell="A6" workbookViewId="0">
      <selection activeCell="Q38" sqref="Q38"/>
    </sheetView>
  </sheetViews>
  <sheetFormatPr baseColWidth="10" defaultColWidth="11" defaultRowHeight="16" x14ac:dyDescent="0.2"/>
  <cols>
    <col min="1" max="1" width="3.1640625" style="253" customWidth="1"/>
    <col min="2" max="2" width="28.33203125" style="253" customWidth="1"/>
    <col min="3" max="3" width="11" style="253"/>
    <col min="4" max="12" width="11.83203125" style="253" customWidth="1"/>
    <col min="13" max="16384" width="11" style="253"/>
  </cols>
  <sheetData>
    <row r="1" spans="1:18" x14ac:dyDescent="0.2">
      <c r="A1" s="253" t="s">
        <v>0</v>
      </c>
      <c r="D1" s="345" t="str">
        <f>[1]Income_Statement!D1</f>
        <v>Home Depot, Inc.</v>
      </c>
      <c r="E1" s="346"/>
    </row>
    <row r="2" spans="1:18" x14ac:dyDescent="0.2">
      <c r="A2" s="253" t="s">
        <v>1</v>
      </c>
      <c r="D2" s="345" t="str">
        <f>[1]Income_Statement!D2</f>
        <v>HD</v>
      </c>
      <c r="E2" s="346"/>
    </row>
    <row r="3" spans="1:18" x14ac:dyDescent="0.2">
      <c r="A3" s="253" t="s">
        <v>2</v>
      </c>
      <c r="D3" s="347">
        <f>[1]Income_Statement!D3</f>
        <v>45322</v>
      </c>
      <c r="E3" s="346"/>
      <c r="I3" s="254"/>
    </row>
    <row r="6" spans="1:18" ht="19" x14ac:dyDescent="0.25">
      <c r="B6" s="255" t="str">
        <f>"DCF Analysis for "&amp;D1&amp;" as of Fiscal Year Ending "&amp;D4&amp;"   (all $ values in millions of USD except per share values)"</f>
        <v>DCF Analysis for Home Depot, Inc. as of Fiscal Year Ending    (all $ values in millions of USD except per share values)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N6" s="348" t="s">
        <v>196</v>
      </c>
      <c r="O6" s="349"/>
      <c r="P6" s="349"/>
      <c r="Q6" s="350"/>
    </row>
    <row r="7" spans="1:18" x14ac:dyDescent="0.2">
      <c r="B7" s="257" t="s">
        <v>197</v>
      </c>
      <c r="C7" s="257"/>
      <c r="D7" s="257"/>
      <c r="E7" s="258">
        <f>EDATE(F7,-12)</f>
        <v>44592</v>
      </c>
      <c r="F7" s="258">
        <f>EDATE(G7,-12)</f>
        <v>44957</v>
      </c>
      <c r="G7" s="258">
        <f>D3</f>
        <v>45322</v>
      </c>
      <c r="H7" s="259">
        <f>EDATE(G7,12)</f>
        <v>45688</v>
      </c>
      <c r="I7" s="259">
        <f t="shared" ref="I7:L7" si="0">EDATE(H7,12)</f>
        <v>46053</v>
      </c>
      <c r="J7" s="259">
        <f t="shared" si="0"/>
        <v>46418</v>
      </c>
      <c r="K7" s="259">
        <f t="shared" si="0"/>
        <v>46783</v>
      </c>
      <c r="L7" s="259">
        <f t="shared" si="0"/>
        <v>47149</v>
      </c>
      <c r="N7" s="260" t="s">
        <v>198</v>
      </c>
      <c r="Q7" s="261">
        <v>19237</v>
      </c>
      <c r="R7" s="253" t="s">
        <v>199</v>
      </c>
    </row>
    <row r="8" spans="1:18" x14ac:dyDescent="0.2">
      <c r="N8" s="260" t="s">
        <v>200</v>
      </c>
      <c r="Q8" s="261">
        <v>42842</v>
      </c>
      <c r="R8" s="253" t="s">
        <v>201</v>
      </c>
    </row>
    <row r="9" spans="1:18" x14ac:dyDescent="0.2">
      <c r="G9" s="262"/>
      <c r="N9" s="260" t="s">
        <v>202</v>
      </c>
      <c r="Q9" s="263">
        <f>Q7/SUM(Q7:Q8)</f>
        <v>0.3098793472833003</v>
      </c>
    </row>
    <row r="10" spans="1:18" x14ac:dyDescent="0.2">
      <c r="B10" s="264" t="s">
        <v>203</v>
      </c>
      <c r="C10" s="264"/>
      <c r="D10" s="264"/>
      <c r="E10" s="265">
        <f>Income_Statement!E16</f>
        <v>3848</v>
      </c>
      <c r="F10" s="265">
        <f>Income_Statement!F16</f>
        <v>5707</v>
      </c>
      <c r="G10" s="265">
        <f>Income_Statement!G16</f>
        <v>5566</v>
      </c>
      <c r="H10" s="265">
        <f>Income_Statement!H16</f>
        <v>4209.0021000000015</v>
      </c>
      <c r="I10" s="265">
        <f>Income_Statement!I16</f>
        <v>4375.6414624800027</v>
      </c>
      <c r="J10" s="265">
        <f>Income_Statement!J16</f>
        <v>4610.496387368883</v>
      </c>
      <c r="K10" s="265">
        <f>Income_Statement!K16</f>
        <v>4917.025903913287</v>
      </c>
      <c r="L10" s="265">
        <f>Income_Statement!L16</f>
        <v>5300.3275862893979</v>
      </c>
      <c r="N10" s="260" t="s">
        <v>204</v>
      </c>
      <c r="Q10" s="263">
        <f>Q8/SUM(Q7:Q8)</f>
        <v>0.69012065271669965</v>
      </c>
    </row>
    <row r="11" spans="1:18" x14ac:dyDescent="0.2">
      <c r="B11" s="266" t="s">
        <v>13</v>
      </c>
      <c r="C11" s="267"/>
      <c r="D11" s="267"/>
      <c r="E11" s="268">
        <f>Income_Statement!E18</f>
        <v>-478</v>
      </c>
      <c r="F11" s="268">
        <f>Income_Statement!F18</f>
        <v>-502</v>
      </c>
      <c r="G11" s="268">
        <f>Income_Statement!G18</f>
        <v>-411</v>
      </c>
      <c r="H11" s="268">
        <f ca="1">Income_Statement!H18</f>
        <v>-800.90323360323907</v>
      </c>
      <c r="I11" s="268">
        <f ca="1">Income_Statement!I18</f>
        <v>-803.68924821061262</v>
      </c>
      <c r="J11" s="268">
        <f ca="1">Income_Statement!J18</f>
        <v>-815.84915496651013</v>
      </c>
      <c r="K11" s="268">
        <f ca="1">Income_Statement!K18</f>
        <v>-836.50648157860883</v>
      </c>
      <c r="L11" s="268">
        <f ca="1">Income_Statement!L18</f>
        <v>-864.90701198864633</v>
      </c>
      <c r="N11" s="260"/>
      <c r="Q11" s="262"/>
    </row>
    <row r="12" spans="1:18" x14ac:dyDescent="0.2">
      <c r="B12" s="264" t="s">
        <v>205</v>
      </c>
      <c r="E12" s="269">
        <f>Income_Statement!E20</f>
        <v>3418</v>
      </c>
      <c r="F12" s="269">
        <f>Income_Statement!F20</f>
        <v>5297</v>
      </c>
      <c r="G12" s="269">
        <f>Income_Statement!G20</f>
        <v>5261</v>
      </c>
      <c r="H12" s="269">
        <f ca="1">Income_Statement!H20</f>
        <v>3408.0988663967623</v>
      </c>
      <c r="I12" s="269">
        <f ca="1">Income_Statement!I20</f>
        <v>3571.95221426939</v>
      </c>
      <c r="J12" s="269">
        <f ca="1">Income_Statement!J20</f>
        <v>3794.647232402373</v>
      </c>
      <c r="K12" s="269">
        <f ca="1">Income_Statement!K20</f>
        <v>4080.519422334678</v>
      </c>
      <c r="L12" s="269">
        <f ca="1">Income_Statement!L20</f>
        <v>4435.4205743007515</v>
      </c>
      <c r="N12" s="260" t="s">
        <v>206</v>
      </c>
      <c r="Q12" s="270">
        <v>2.1884000000000001E-2</v>
      </c>
      <c r="R12" s="253" t="s">
        <v>207</v>
      </c>
    </row>
    <row r="13" spans="1:18" x14ac:dyDescent="0.2">
      <c r="B13" s="271" t="s">
        <v>208</v>
      </c>
      <c r="E13" s="272">
        <f>Income_Statement!E22</f>
        <v>-638</v>
      </c>
      <c r="F13" s="272">
        <f>Income_Statement!F22</f>
        <v>-1159</v>
      </c>
      <c r="G13" s="272">
        <f>Income_Statement!G22</f>
        <v>-1170</v>
      </c>
      <c r="H13" s="272">
        <f ca="1">Income_Statement!H22</f>
        <v>-800.90323360323907</v>
      </c>
      <c r="I13" s="272">
        <f ca="1">Income_Statement!I22</f>
        <v>-803.68924821061262</v>
      </c>
      <c r="J13" s="272">
        <f ca="1">Income_Statement!J22</f>
        <v>-815.84915496651013</v>
      </c>
      <c r="K13" s="272">
        <f ca="1">Income_Statement!K22</f>
        <v>-836.50648157860883</v>
      </c>
      <c r="L13" s="272">
        <f ca="1">Income_Statement!L22</f>
        <v>-864.90701198864633</v>
      </c>
      <c r="N13" s="260" t="s">
        <v>209</v>
      </c>
      <c r="Q13" s="273">
        <v>0.22839999999999999</v>
      </c>
    </row>
    <row r="14" spans="1:18" ht="17" thickBot="1" x14ac:dyDescent="0.25">
      <c r="B14" s="274" t="s">
        <v>17</v>
      </c>
      <c r="C14" s="275"/>
      <c r="D14" s="275"/>
      <c r="E14" s="276">
        <f>Income_Statement!E23</f>
        <v>2780</v>
      </c>
      <c r="F14" s="276">
        <f>Income_Statement!F23</f>
        <v>4138</v>
      </c>
      <c r="G14" s="276">
        <f>Income_Statement!G23</f>
        <v>4091</v>
      </c>
      <c r="H14" s="276">
        <f ca="1">Income_Statement!H23</f>
        <v>2607.1956327935231</v>
      </c>
      <c r="I14" s="276">
        <f ca="1">Income_Statement!I23</f>
        <v>2768.2629660587772</v>
      </c>
      <c r="J14" s="276">
        <f ca="1">Income_Statement!J23</f>
        <v>2978.798077435863</v>
      </c>
      <c r="K14" s="276">
        <f ca="1">Income_Statement!K23</f>
        <v>3244.0129407560689</v>
      </c>
      <c r="L14" s="276">
        <f ca="1">Income_Statement!L23</f>
        <v>3570.513562312105</v>
      </c>
      <c r="N14" s="260" t="s">
        <v>210</v>
      </c>
      <c r="Q14" s="277">
        <f>Q12*(1-Q13)</f>
        <v>1.6885694400000002E-2</v>
      </c>
      <c r="R14" s="253" t="s">
        <v>211</v>
      </c>
    </row>
    <row r="15" spans="1:18" ht="17" thickTop="1" x14ac:dyDescent="0.2">
      <c r="N15" s="260"/>
      <c r="Q15" s="262"/>
    </row>
    <row r="16" spans="1:18" x14ac:dyDescent="0.2">
      <c r="B16" s="253" t="s">
        <v>28</v>
      </c>
      <c r="E16" s="278">
        <f>Income_Statement!E37</f>
        <v>0.18665886483323582</v>
      </c>
      <c r="F16" s="278">
        <f>Income_Statement!F37</f>
        <v>0.21880309609212761</v>
      </c>
      <c r="G16" s="278">
        <f>Income_Statement!G37</f>
        <v>0.22239118038395742</v>
      </c>
      <c r="H16" s="278">
        <f>Income_Statement!H37</f>
        <v>0.23499999999999999</v>
      </c>
      <c r="I16" s="278">
        <f>Income_Statement!I37</f>
        <v>0.22499999999999998</v>
      </c>
      <c r="J16" s="278">
        <f>Income_Statement!J37</f>
        <v>0.21499999999999997</v>
      </c>
      <c r="K16" s="278">
        <f>Income_Statement!K37</f>
        <v>0.20499999999999996</v>
      </c>
      <c r="L16" s="278">
        <f>Income_Statement!L37</f>
        <v>0.19499999999999995</v>
      </c>
      <c r="N16" s="260" t="s">
        <v>212</v>
      </c>
      <c r="Q16" s="279">
        <v>1.42</v>
      </c>
    </row>
    <row r="17" spans="2:18" x14ac:dyDescent="0.2">
      <c r="G17" s="262"/>
      <c r="N17" s="260" t="s">
        <v>213</v>
      </c>
      <c r="Q17" s="280">
        <v>4.4690000000000001E-2</v>
      </c>
      <c r="R17" s="253" t="s">
        <v>214</v>
      </c>
    </row>
    <row r="18" spans="2:18" x14ac:dyDescent="0.2">
      <c r="B18" s="253" t="s">
        <v>215</v>
      </c>
      <c r="E18" s="281">
        <f>E10*(1-E16)</f>
        <v>3129.7366881217085</v>
      </c>
      <c r="F18" s="281">
        <f t="shared" ref="F18:L18" si="1">F10*(1-F16)</f>
        <v>4458.2907306022271</v>
      </c>
      <c r="G18" s="281">
        <f t="shared" si="1"/>
        <v>4328.1706899828932</v>
      </c>
      <c r="H18" s="281">
        <f t="shared" si="1"/>
        <v>3219.8866065000011</v>
      </c>
      <c r="I18" s="281">
        <f t="shared" si="1"/>
        <v>3391.1221334220022</v>
      </c>
      <c r="J18" s="281">
        <f t="shared" si="1"/>
        <v>3619.2396640845732</v>
      </c>
      <c r="K18" s="281">
        <f t="shared" si="1"/>
        <v>3909.0355936110632</v>
      </c>
      <c r="L18" s="281">
        <f t="shared" si="1"/>
        <v>4266.7637069629654</v>
      </c>
      <c r="N18" s="260" t="s">
        <v>216</v>
      </c>
      <c r="Q18" s="280">
        <v>0.06</v>
      </c>
    </row>
    <row r="19" spans="2:18" x14ac:dyDescent="0.2">
      <c r="B19" s="282" t="s">
        <v>217</v>
      </c>
      <c r="E19" s="283">
        <f>E14+(-E11*(1-E16))</f>
        <v>3168.7770626097135</v>
      </c>
      <c r="F19" s="283">
        <f t="shared" ref="F19:L19" si="2">F14+(-F11*(1-F16))</f>
        <v>4530.1608457617522</v>
      </c>
      <c r="G19" s="283">
        <f t="shared" si="2"/>
        <v>4410.5972248621938</v>
      </c>
      <c r="H19" s="283">
        <f t="shared" ca="1" si="2"/>
        <v>3219.8866065000011</v>
      </c>
      <c r="I19" s="283">
        <f t="shared" ca="1" si="2"/>
        <v>3391.1221334220018</v>
      </c>
      <c r="J19" s="283">
        <f t="shared" ca="1" si="2"/>
        <v>3619.2396640845736</v>
      </c>
      <c r="K19" s="283">
        <f t="shared" ca="1" si="2"/>
        <v>3909.0355936110627</v>
      </c>
      <c r="L19" s="283">
        <f t="shared" ca="1" si="2"/>
        <v>4266.7637069629654</v>
      </c>
      <c r="N19" s="260" t="s">
        <v>218</v>
      </c>
      <c r="Q19" s="277">
        <f>Q17+Q16*Q18</f>
        <v>0.12989000000000001</v>
      </c>
      <c r="R19" s="253" t="s">
        <v>219</v>
      </c>
    </row>
    <row r="20" spans="2:18" x14ac:dyDescent="0.2">
      <c r="E20" s="284"/>
      <c r="F20" s="284"/>
      <c r="G20" s="285"/>
      <c r="H20" s="284"/>
      <c r="I20" s="284"/>
      <c r="J20" s="284"/>
      <c r="K20" s="284"/>
      <c r="L20" s="284"/>
      <c r="N20" s="286"/>
      <c r="Q20" s="262"/>
    </row>
    <row r="21" spans="2:18" x14ac:dyDescent="0.2">
      <c r="B21" s="287" t="s">
        <v>220</v>
      </c>
      <c r="E21" s="284"/>
      <c r="F21" s="284"/>
      <c r="G21" s="285"/>
      <c r="H21" s="284"/>
      <c r="I21" s="284"/>
      <c r="J21" s="284"/>
      <c r="K21" s="284"/>
      <c r="L21" s="284"/>
      <c r="N21" s="288" t="s">
        <v>221</v>
      </c>
      <c r="O21" s="289"/>
      <c r="P21" s="289"/>
      <c r="Q21" s="290">
        <f>Q19*Q10+Q14*Q9</f>
        <v>9.4872299540469399E-2</v>
      </c>
    </row>
    <row r="22" spans="2:18" x14ac:dyDescent="0.2">
      <c r="B22" s="291" t="s">
        <v>33</v>
      </c>
      <c r="E22" s="272">
        <f>Balance_Sheet!E12</f>
        <v>17846</v>
      </c>
      <c r="F22" s="272">
        <f>Balance_Sheet!F12</f>
        <v>17498</v>
      </c>
      <c r="G22" s="272">
        <f>Balance_Sheet!G12</f>
        <v>19454</v>
      </c>
      <c r="H22" s="272">
        <f ca="1">Balance_Sheet!H12</f>
        <v>13503.618689396264</v>
      </c>
      <c r="I22" s="272">
        <f ca="1">Balance_Sheet!I12</f>
        <v>10183.283459971584</v>
      </c>
      <c r="J22" s="272">
        <f ca="1">Balance_Sheet!J12</f>
        <v>7111.1068958691885</v>
      </c>
      <c r="K22" s="272">
        <f ca="1">Balance_Sheet!K12</f>
        <v>4279.1042842176921</v>
      </c>
      <c r="L22" s="272">
        <f ca="1">Balance_Sheet!L12</f>
        <v>1691.8174279362231</v>
      </c>
    </row>
    <row r="23" spans="2:18" x14ac:dyDescent="0.2">
      <c r="B23" s="292" t="s">
        <v>40</v>
      </c>
      <c r="C23" s="267"/>
      <c r="D23" s="267"/>
      <c r="E23" s="268">
        <f>Balance_Sheet!E24</f>
        <v>19500</v>
      </c>
      <c r="F23" s="268">
        <f>Balance_Sheet!F24</f>
        <v>19304</v>
      </c>
      <c r="G23" s="268">
        <f>Balance_Sheet!G24</f>
        <v>20799</v>
      </c>
      <c r="H23" s="268">
        <f>Balance_Sheet!H24</f>
        <v>18131.31733660274</v>
      </c>
      <c r="I23" s="268">
        <f>Balance_Sheet!I24</f>
        <v>17955.601751139286</v>
      </c>
      <c r="J23" s="268">
        <f>Balance_Sheet!J24</f>
        <v>17905.617238156385</v>
      </c>
      <c r="K23" s="268">
        <f>Balance_Sheet!K24</f>
        <v>17979.432231668783</v>
      </c>
      <c r="L23" s="268">
        <f>Balance_Sheet!L24</f>
        <v>18177.698573401569</v>
      </c>
    </row>
    <row r="24" spans="2:18" x14ac:dyDescent="0.2">
      <c r="B24" s="293" t="s">
        <v>222</v>
      </c>
      <c r="C24" s="264"/>
      <c r="D24" s="264"/>
      <c r="E24" s="294">
        <f>E22-E23</f>
        <v>-1654</v>
      </c>
      <c r="F24" s="294">
        <f t="shared" ref="F24:L24" si="3">F22-F23</f>
        <v>-1806</v>
      </c>
      <c r="G24" s="294">
        <f t="shared" si="3"/>
        <v>-1345</v>
      </c>
      <c r="H24" s="294">
        <f t="shared" ca="1" si="3"/>
        <v>-4627.6986472064764</v>
      </c>
      <c r="I24" s="294">
        <f t="shared" ca="1" si="3"/>
        <v>-7772.3182911677013</v>
      </c>
      <c r="J24" s="294">
        <f t="shared" ca="1" si="3"/>
        <v>-10794.510342287196</v>
      </c>
      <c r="K24" s="294">
        <f t="shared" ca="1" si="3"/>
        <v>-13700.327947451091</v>
      </c>
      <c r="L24" s="294">
        <f t="shared" ca="1" si="3"/>
        <v>-16485.881145465344</v>
      </c>
    </row>
    <row r="25" spans="2:18" x14ac:dyDescent="0.2">
      <c r="B25" s="253" t="s">
        <v>223</v>
      </c>
      <c r="E25" s="284"/>
      <c r="F25" s="284">
        <f>F24-E24</f>
        <v>-152</v>
      </c>
      <c r="G25" s="284">
        <f t="shared" ref="G25:L25" si="4">G24-F24</f>
        <v>461</v>
      </c>
      <c r="H25" s="284">
        <f t="shared" ca="1" si="4"/>
        <v>-3282.6986472064764</v>
      </c>
      <c r="I25" s="284">
        <f t="shared" ca="1" si="4"/>
        <v>-3144.6196439612249</v>
      </c>
      <c r="J25" s="284">
        <f t="shared" ca="1" si="4"/>
        <v>-3022.1920511194949</v>
      </c>
      <c r="K25" s="284">
        <f t="shared" ca="1" si="4"/>
        <v>-2905.8176051638948</v>
      </c>
      <c r="L25" s="284">
        <f t="shared" ca="1" si="4"/>
        <v>-2785.5531980142532</v>
      </c>
    </row>
    <row r="26" spans="2:18" x14ac:dyDescent="0.2">
      <c r="E26" s="284"/>
      <c r="F26" s="284"/>
      <c r="G26" s="285"/>
      <c r="H26" s="284"/>
      <c r="I26" s="284"/>
      <c r="J26" s="284"/>
      <c r="K26" s="284"/>
      <c r="L26" s="284"/>
      <c r="N26" s="348" t="s">
        <v>224</v>
      </c>
      <c r="O26" s="349"/>
      <c r="P26" s="349"/>
      <c r="Q26" s="350"/>
    </row>
    <row r="27" spans="2:18" x14ac:dyDescent="0.2">
      <c r="B27" s="253" t="s">
        <v>225</v>
      </c>
      <c r="E27" s="284"/>
      <c r="F27" s="284"/>
      <c r="G27" s="285"/>
      <c r="H27" s="284"/>
      <c r="I27" s="284"/>
      <c r="J27" s="284"/>
      <c r="K27" s="284"/>
      <c r="L27" s="284"/>
      <c r="N27" s="295" t="str">
        <f>"Terminal Value"&amp;" in "&amp;YEAR(L7)&amp;" dollars:"</f>
        <v>Terminal Value in 2029 dollars:</v>
      </c>
      <c r="O27" s="296"/>
      <c r="Q27" s="297">
        <f ca="1">(L32*(1+Q30))/(Q21-Q30)</f>
        <v>113544.62817957929</v>
      </c>
    </row>
    <row r="28" spans="2:18" x14ac:dyDescent="0.2">
      <c r="B28" s="298" t="s">
        <v>226</v>
      </c>
      <c r="C28" s="299"/>
      <c r="D28" s="299"/>
      <c r="E28" s="300">
        <f>Fixed_Asset_Schedule!E13</f>
        <v>2385</v>
      </c>
      <c r="F28" s="300">
        <f>Fixed_Asset_Schedule!F13</f>
        <v>2415</v>
      </c>
      <c r="G28" s="300">
        <f>Fixed_Asset_Schedule!G13</f>
        <v>2529</v>
      </c>
      <c r="H28" s="300">
        <f>Fixed_Asset_Schedule!H13</f>
        <v>2648.52</v>
      </c>
      <c r="I28" s="300">
        <f>Fixed_Asset_Schedule!I13</f>
        <v>2776.8595881600004</v>
      </c>
      <c r="J28" s="300">
        <f>Fixed_Asset_Schedule!J13</f>
        <v>2887.4283904814406</v>
      </c>
      <c r="K28" s="300">
        <f>Fixed_Asset_Schedule!K13</f>
        <v>2983.6747204542262</v>
      </c>
      <c r="L28" s="300">
        <f>Fixed_Asset_Schedule!L13</f>
        <v>3068.6496994088729</v>
      </c>
      <c r="N28" s="295" t="s">
        <v>227</v>
      </c>
      <c r="O28" s="296"/>
      <c r="Q28" s="297">
        <f ca="1">SUM(H35:L35)+(Q27/((1+Q21)^L34))</f>
        <v>92421.570992099558</v>
      </c>
    </row>
    <row r="29" spans="2:18" x14ac:dyDescent="0.2">
      <c r="B29" s="298" t="s">
        <v>228</v>
      </c>
      <c r="C29" s="299"/>
      <c r="D29" s="299"/>
      <c r="E29" s="300">
        <f>-Fixed_Asset_Schedule!E10</f>
        <v>-5528</v>
      </c>
      <c r="F29" s="300">
        <f>-Fixed_Asset_Schedule!F10</f>
        <v>-4806</v>
      </c>
      <c r="G29" s="300">
        <f>-Fixed_Asset_Schedule!G10</f>
        <v>-2891</v>
      </c>
      <c r="H29" s="300">
        <f>-Fixed_Asset_Schedule!H10</f>
        <v>-4431.0142800000003</v>
      </c>
      <c r="I29" s="300">
        <f>-Fixed_Asset_Schedule!I10</f>
        <v>-4312.5373981800003</v>
      </c>
      <c r="J29" s="300">
        <f>-Fixed_Asset_Schedule!J10</f>
        <v>-4224.1829734368002</v>
      </c>
      <c r="K29" s="300">
        <f>-Fixed_Asset_Schedule!K10</f>
        <v>-4163.8827614909887</v>
      </c>
      <c r="L29" s="300">
        <f>-Fixed_Asset_Schedule!L10</f>
        <v>-4130.144634500447</v>
      </c>
      <c r="N29" s="295"/>
      <c r="O29" s="296"/>
      <c r="P29" s="296"/>
      <c r="Q29" s="262"/>
    </row>
    <row r="30" spans="2:18" x14ac:dyDescent="0.2">
      <c r="B30" s="298" t="s">
        <v>229</v>
      </c>
      <c r="C30" s="299"/>
      <c r="D30" s="299"/>
      <c r="E30" s="300"/>
      <c r="F30" s="300">
        <f>-F25</f>
        <v>152</v>
      </c>
      <c r="G30" s="300">
        <f t="shared" ref="G30:L30" si="5">-G25</f>
        <v>-461</v>
      </c>
      <c r="H30" s="300">
        <f t="shared" ca="1" si="5"/>
        <v>3282.6986472064764</v>
      </c>
      <c r="I30" s="300">
        <f t="shared" ca="1" si="5"/>
        <v>3144.6196439612249</v>
      </c>
      <c r="J30" s="300">
        <f t="shared" ca="1" si="5"/>
        <v>3022.1920511194949</v>
      </c>
      <c r="K30" s="300">
        <f t="shared" ca="1" si="5"/>
        <v>2905.8176051638948</v>
      </c>
      <c r="L30" s="300">
        <f t="shared" ca="1" si="5"/>
        <v>2785.5531980142532</v>
      </c>
      <c r="N30" s="260" t="s">
        <v>230</v>
      </c>
      <c r="Q30" s="301">
        <v>0.04</v>
      </c>
      <c r="R30" s="253" t="s">
        <v>231</v>
      </c>
    </row>
    <row r="31" spans="2:18" x14ac:dyDescent="0.2">
      <c r="E31" s="284"/>
      <c r="F31" s="284"/>
      <c r="G31" s="285"/>
      <c r="H31" s="284"/>
      <c r="I31" s="284"/>
      <c r="J31" s="284"/>
      <c r="K31" s="284"/>
      <c r="L31" s="284"/>
      <c r="N31" s="286"/>
      <c r="Q31" s="262"/>
    </row>
    <row r="32" spans="2:18" ht="17" thickBot="1" x14ac:dyDescent="0.25">
      <c r="B32" s="302" t="s">
        <v>232</v>
      </c>
      <c r="C32" s="274"/>
      <c r="D32" s="274"/>
      <c r="E32" s="303"/>
      <c r="F32" s="303">
        <f>F18+SUM(F28:F30)</f>
        <v>2219.2907306022271</v>
      </c>
      <c r="G32" s="303">
        <f t="shared" ref="G32:L32" si="6">G18+SUM(G28:G30)</f>
        <v>3505.1706899828932</v>
      </c>
      <c r="H32" s="303">
        <f t="shared" ca="1" si="6"/>
        <v>4720.0909737064776</v>
      </c>
      <c r="I32" s="303">
        <f t="shared" ca="1" si="6"/>
        <v>5000.0639673632268</v>
      </c>
      <c r="J32" s="303">
        <f t="shared" ca="1" si="6"/>
        <v>5304.6771322487084</v>
      </c>
      <c r="K32" s="303">
        <f t="shared" ca="1" si="6"/>
        <v>5634.6451577381958</v>
      </c>
      <c r="L32" s="303">
        <f t="shared" ca="1" si="6"/>
        <v>5990.8219698856446</v>
      </c>
      <c r="M32" s="304"/>
      <c r="N32" s="295" t="s">
        <v>233</v>
      </c>
      <c r="O32" s="296"/>
      <c r="P32" s="296"/>
      <c r="Q32" s="305">
        <f>Balance_Sheet!G8</f>
        <v>4762</v>
      </c>
    </row>
    <row r="33" spans="7:18" ht="17" thickTop="1" x14ac:dyDescent="0.2">
      <c r="M33" s="306"/>
      <c r="N33" s="295" t="s">
        <v>234</v>
      </c>
      <c r="O33" s="296"/>
      <c r="P33" s="296"/>
      <c r="Q33" s="305">
        <f>Q7</f>
        <v>19237</v>
      </c>
    </row>
    <row r="34" spans="7:18" x14ac:dyDescent="0.2">
      <c r="G34" s="264" t="s">
        <v>235</v>
      </c>
      <c r="H34" s="307">
        <f>COLUMN(H7)-COLUMN($G$7)</f>
        <v>1</v>
      </c>
      <c r="I34" s="307">
        <f t="shared" ref="I34:L34" si="7">COLUMN(I7)-COLUMN($G$7)</f>
        <v>2</v>
      </c>
      <c r="J34" s="307">
        <f t="shared" si="7"/>
        <v>3</v>
      </c>
      <c r="K34" s="307">
        <f t="shared" si="7"/>
        <v>4</v>
      </c>
      <c r="L34" s="307">
        <f t="shared" si="7"/>
        <v>5</v>
      </c>
      <c r="M34" s="308"/>
      <c r="N34" s="295" t="s">
        <v>236</v>
      </c>
      <c r="O34" s="296"/>
      <c r="P34" s="296"/>
      <c r="Q34" s="309">
        <v>454.4</v>
      </c>
    </row>
    <row r="35" spans="7:18" x14ac:dyDescent="0.2">
      <c r="G35" s="253" t="s">
        <v>237</v>
      </c>
      <c r="H35" s="310">
        <f ca="1">H32/((1+$Q$21)^H34)</f>
        <v>4311.0881293531256</v>
      </c>
      <c r="I35" s="310">
        <f t="shared" ref="I35:L35" ca="1" si="8">I32/((1+$Q$21)^I34)</f>
        <v>4171.0810037890215</v>
      </c>
      <c r="J35" s="310">
        <f t="shared" ca="1" si="8"/>
        <v>4041.741664127173</v>
      </c>
      <c r="K35" s="310">
        <f t="shared" ca="1" si="8"/>
        <v>3921.1431618718193</v>
      </c>
      <c r="L35" s="310">
        <f t="shared" ca="1" si="8"/>
        <v>3807.7556646778185</v>
      </c>
      <c r="N35" s="295"/>
      <c r="O35" s="296"/>
      <c r="P35" s="296"/>
      <c r="Q35" s="262"/>
    </row>
    <row r="36" spans="7:18" x14ac:dyDescent="0.2">
      <c r="N36" s="295" t="s">
        <v>238</v>
      </c>
      <c r="O36" s="296"/>
      <c r="Q36" s="297">
        <v>61400</v>
      </c>
      <c r="R36" s="253" t="s">
        <v>239</v>
      </c>
    </row>
    <row r="37" spans="7:18" x14ac:dyDescent="0.2">
      <c r="N37" s="295"/>
      <c r="O37" s="296"/>
      <c r="P37" s="296"/>
      <c r="Q37" s="262"/>
    </row>
    <row r="38" spans="7:18" x14ac:dyDescent="0.2">
      <c r="N38" s="288" t="s">
        <v>240</v>
      </c>
      <c r="O38" s="311"/>
      <c r="P38" s="311"/>
      <c r="Q38" s="312">
        <f>Q36/Q34</f>
        <v>135.12323943661971</v>
      </c>
    </row>
  </sheetData>
  <mergeCells count="5">
    <mergeCell ref="D1:E1"/>
    <mergeCell ref="D2:E2"/>
    <mergeCell ref="D3:E3"/>
    <mergeCell ref="N6:Q6"/>
    <mergeCell ref="N26:Q2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Income_Statement</vt:lpstr>
      <vt:lpstr>Balance_Sheet</vt:lpstr>
      <vt:lpstr>Statement_Cash_Flows</vt:lpstr>
      <vt:lpstr>NWC</vt:lpstr>
      <vt:lpstr>Fixed_Asset_Schedule</vt:lpstr>
      <vt:lpstr>Equity</vt:lpstr>
      <vt:lpstr>#Shares</vt:lpstr>
      <vt:lpstr>Debt&amp;Interest</vt:lpstr>
      <vt:lpstr>DCF</vt:lpstr>
      <vt:lpstr>Tariff Simple Regression</vt:lpstr>
      <vt:lpstr>Tariff Multiple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Kevin</dc:creator>
  <cp:lastModifiedBy>Le, Ngoc Ngan Ha</cp:lastModifiedBy>
  <dcterms:created xsi:type="dcterms:W3CDTF">2025-04-19T22:26:42Z</dcterms:created>
  <dcterms:modified xsi:type="dcterms:W3CDTF">2025-05-30T02:09:53Z</dcterms:modified>
</cp:coreProperties>
</file>