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аблица 1" sheetId="1" r:id="rId4"/>
    <sheet state="visible" name="Таблица 2" sheetId="2" r:id="rId5"/>
    <sheet state="visible" name="Таблица 3" sheetId="3" r:id="rId6"/>
    <sheet state="visible" name="Таблица 4" sheetId="4" r:id="rId7"/>
  </sheets>
  <definedNames/>
  <calcPr/>
</workbook>
</file>

<file path=xl/sharedStrings.xml><?xml version="1.0" encoding="utf-8"?>
<sst xmlns="http://schemas.openxmlformats.org/spreadsheetml/2006/main" count="110" uniqueCount="66">
  <si>
    <t>ϕ</t>
  </si>
  <si>
    <t>F</t>
  </si>
  <si>
    <t>r</t>
  </si>
  <si>
    <t>M</t>
  </si>
  <si>
    <t>ϕ ср</t>
  </si>
  <si>
    <t>M ср</t>
  </si>
  <si>
    <t>b</t>
  </si>
  <si>
    <t>a</t>
  </si>
  <si>
    <t>di</t>
  </si>
  <si>
    <t>D</t>
  </si>
  <si>
    <t>b СКО</t>
  </si>
  <si>
    <t>a СКО</t>
  </si>
  <si>
    <t>dy</t>
  </si>
  <si>
    <t xml:space="preserve">Тогда k = </t>
  </si>
  <si>
    <t>Период колебания без грузов</t>
  </si>
  <si>
    <t>T1</t>
  </si>
  <si>
    <t>T2</t>
  </si>
  <si>
    <t>T3</t>
  </si>
  <si>
    <t>(T)</t>
  </si>
  <si>
    <t>погрешность</t>
  </si>
  <si>
    <t>I =</t>
  </si>
  <si>
    <t>Таблица 2</t>
  </si>
  <si>
    <t>l</t>
  </si>
  <si>
    <t>l^2</t>
  </si>
  <si>
    <t>T^2</t>
  </si>
  <si>
    <t>число измерений</t>
  </si>
  <si>
    <t>li - l</t>
  </si>
  <si>
    <t>Ti - T</t>
  </si>
  <si>
    <t>l*T</t>
  </si>
  <si>
    <t>m груза</t>
  </si>
  <si>
    <t>Ic</t>
  </si>
  <si>
    <t>Ic теор знач</t>
  </si>
  <si>
    <t>средние значения:</t>
  </si>
  <si>
    <t>m</t>
  </si>
  <si>
    <t>Ic теор</t>
  </si>
  <si>
    <t>m изм</t>
  </si>
  <si>
    <t>r изм</t>
  </si>
  <si>
    <t>Таблица 4</t>
  </si>
  <si>
    <t>Измеренные значения</t>
  </si>
  <si>
    <t>Коэф ст</t>
  </si>
  <si>
    <t>Предел измерений</t>
  </si>
  <si>
    <t>Цена деления</t>
  </si>
  <si>
    <t>Дельта</t>
  </si>
  <si>
    <t>Объект</t>
  </si>
  <si>
    <t>I</t>
  </si>
  <si>
    <t>I теор</t>
  </si>
  <si>
    <t>h</t>
  </si>
  <si>
    <t>Секундомер</t>
  </si>
  <si>
    <t>30 мин</t>
  </si>
  <si>
    <t>с</t>
  </si>
  <si>
    <t>Сплошной диск</t>
  </si>
  <si>
    <t>Полый цилиндр</t>
  </si>
  <si>
    <t>Сплошной цилиндр</t>
  </si>
  <si>
    <t>Шар</t>
  </si>
  <si>
    <t>Рассчитаем погрешность T</t>
  </si>
  <si>
    <t>Кол-во измерений</t>
  </si>
  <si>
    <t>Ti - Tср</t>
  </si>
  <si>
    <t>СКО</t>
  </si>
  <si>
    <t>Доверительный интервал</t>
  </si>
  <si>
    <t>Абсолютная погрешность</t>
  </si>
  <si>
    <t>Относительная погрешность %</t>
  </si>
  <si>
    <t>Погрешность для I</t>
  </si>
  <si>
    <t>Производная по k</t>
  </si>
  <si>
    <t>Производная по T</t>
  </si>
  <si>
    <t>Дельта I</t>
  </si>
  <si>
    <t>Эпсилон I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</si>
</sst>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0"/>
    <numFmt numFmtId="165" formatCode="0.000000"/>
  </numFmts>
  <fonts count="5">
    <font>
      <sz val="11.0"/>
      <color theme="1"/>
      <name val="Calibri"/>
      <scheme val="minor"/>
    </font>
    <font>
      <sz val="11.0"/>
      <color theme="1"/>
      <name val="Calibri"/>
    </font>
    <font/>
    <font>
      <color theme="1"/>
      <name val="Calibri"/>
      <scheme val="minor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9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2" fillId="0" fontId="1" numFmtId="0" xfId="0" applyBorder="1" applyFont="1"/>
    <xf borderId="3" fillId="0" fontId="1" numFmtId="0" xfId="0" applyAlignment="1" applyBorder="1" applyFont="1">
      <alignment horizontal="center"/>
    </xf>
    <xf borderId="4" fillId="0" fontId="2" numFmtId="0" xfId="0" applyBorder="1" applyFont="1"/>
    <xf borderId="0" fillId="0" fontId="3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shrinkToFit="0" wrapText="1"/>
    </xf>
    <xf borderId="3" fillId="0" fontId="4" numFmtId="0" xfId="0" applyAlignment="1" applyBorder="1" applyFont="1">
      <alignment horizontal="center"/>
    </xf>
    <xf borderId="5" fillId="0" fontId="2" numFmtId="0" xfId="0" applyBorder="1" applyFont="1"/>
    <xf borderId="6" fillId="0" fontId="1" numFmtId="0" xfId="0" applyBorder="1" applyFont="1"/>
    <xf borderId="0" fillId="0" fontId="1" numFmtId="0" xfId="0" applyAlignment="1" applyFont="1">
      <alignment horizontal="center" vertical="center"/>
    </xf>
    <xf borderId="0" fillId="0" fontId="1" numFmtId="164" xfId="0" applyFont="1" applyNumberFormat="1"/>
    <xf borderId="7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/>
    </xf>
    <xf borderId="6" fillId="0" fontId="2" numFmtId="0" xfId="0" applyBorder="1" applyFont="1"/>
    <xf borderId="8" fillId="0" fontId="2" numFmtId="0" xfId="0" applyBorder="1" applyFont="1"/>
    <xf borderId="2" fillId="0" fontId="1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Угол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'Таблица 1'!$C$2:$O$2</c:f>
            </c:numRef>
          </c:xVal>
          <c:yVal>
            <c:numRef>
              <c:f>'Таблица 1'!$C$7:$O$7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148068"/>
        <c:axId val="1361559193"/>
      </c:scatterChart>
      <c:valAx>
        <c:axId val="16281480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Угол</a:t>
                </a:r>
              </a:p>
            </c:rich>
          </c:tx>
          <c:layout>
            <c:manualLayout>
              <c:xMode val="edge"/>
              <c:yMode val="edge"/>
              <c:x val="0.4830763342082239"/>
              <c:y val="0.887939632545931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61559193"/>
      </c:valAx>
      <c:valAx>
        <c:axId val="13615591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Момент силы</a:t>
                </a:r>
              </a:p>
            </c:rich>
          </c:tx>
          <c:layout>
            <c:manualLayout>
              <c:xMode val="edge"/>
              <c:yMode val="edge"/>
              <c:x val="0.019444444444444445"/>
              <c:y val="0.3760298191892680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28148068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'Таблица 2'!$F$4:$F$9</c:f>
            </c:numRef>
          </c:xVal>
          <c:yVal>
            <c:numRef>
              <c:f>'Таблица 2'!$G$4:$G$9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487379"/>
        <c:axId val="1469664198"/>
      </c:scatterChart>
      <c:valAx>
        <c:axId val="7934873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69664198"/>
      </c:valAx>
      <c:valAx>
        <c:axId val="14696641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93487379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'Таблица 3'!$F$4:$F$8</c:f>
            </c:numRef>
          </c:xVal>
          <c:yVal>
            <c:numRef>
              <c:f>'Таблица 3'!$G$4:$G$8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250437"/>
        <c:axId val="650085046"/>
      </c:scatterChart>
      <c:valAx>
        <c:axId val="12402504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50085046"/>
      </c:valAx>
      <c:valAx>
        <c:axId val="6500850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40250437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104775</xdr:colOff>
      <xdr:row>2</xdr:row>
      <xdr:rowOff>133350</xdr:rowOff>
    </xdr:from>
    <xdr:ext cx="4371975" cy="28860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38100</xdr:colOff>
      <xdr:row>1</xdr:row>
      <xdr:rowOff>95250</xdr:rowOff>
    </xdr:from>
    <xdr:ext cx="4371975" cy="28765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152400</xdr:colOff>
      <xdr:row>2</xdr:row>
      <xdr:rowOff>0</xdr:rowOff>
    </xdr:from>
    <xdr:ext cx="4371975" cy="28765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2.0"/>
    <col customWidth="1" min="4" max="26" width="8.71"/>
  </cols>
  <sheetData>
    <row r="1">
      <c r="C1" s="1"/>
      <c r="D1" s="2"/>
      <c r="E1" s="1"/>
      <c r="F1" s="2"/>
      <c r="G1" s="1"/>
      <c r="H1" s="2"/>
      <c r="I1" s="1"/>
      <c r="J1" s="2"/>
      <c r="K1" s="1"/>
      <c r="L1" s="2"/>
      <c r="M1" s="1"/>
      <c r="N1" s="2"/>
    </row>
    <row r="2">
      <c r="B2" s="3" t="s">
        <v>0</v>
      </c>
      <c r="C2" s="4">
        <v>4.71238898038469</v>
      </c>
      <c r="D2" s="5"/>
      <c r="E2" s="4">
        <v>3.141592653589793</v>
      </c>
      <c r="F2" s="5"/>
      <c r="G2" s="4">
        <v>1.5707963267948966</v>
      </c>
      <c r="H2" s="5"/>
      <c r="I2" s="4">
        <v>-1.5707963267948966</v>
      </c>
      <c r="J2" s="5"/>
      <c r="K2" s="4">
        <v>-3.141592653589793</v>
      </c>
      <c r="L2" s="5"/>
      <c r="M2" s="4">
        <v>-4.71238898038469</v>
      </c>
      <c r="N2" s="5"/>
      <c r="O2" s="6">
        <v>0.0</v>
      </c>
    </row>
    <row r="3">
      <c r="B3" s="3"/>
      <c r="C3" s="3" t="s">
        <v>1</v>
      </c>
      <c r="D3" s="3" t="s">
        <v>2</v>
      </c>
      <c r="E3" s="3" t="s">
        <v>1</v>
      </c>
      <c r="F3" s="3" t="s">
        <v>2</v>
      </c>
      <c r="G3" s="3" t="s">
        <v>1</v>
      </c>
      <c r="H3" s="3" t="s">
        <v>2</v>
      </c>
      <c r="I3" s="3" t="s">
        <v>1</v>
      </c>
      <c r="J3" s="3" t="s">
        <v>2</v>
      </c>
      <c r="K3" s="3" t="s">
        <v>1</v>
      </c>
      <c r="L3" s="3" t="s">
        <v>2</v>
      </c>
      <c r="M3" s="3" t="s">
        <v>1</v>
      </c>
      <c r="N3" s="3" t="s">
        <v>2</v>
      </c>
    </row>
    <row r="4">
      <c r="B4" s="3"/>
      <c r="C4" s="3">
        <v>0.38</v>
      </c>
      <c r="D4" s="3">
        <v>275.0</v>
      </c>
      <c r="E4" s="3">
        <v>0.249</v>
      </c>
      <c r="F4" s="3">
        <v>278.0</v>
      </c>
      <c r="G4" s="3">
        <v>0.145</v>
      </c>
      <c r="H4" s="3">
        <v>257.0</v>
      </c>
      <c r="I4" s="3">
        <v>0.147</v>
      </c>
      <c r="J4" s="3">
        <v>281.0</v>
      </c>
      <c r="K4" s="3">
        <v>0.262</v>
      </c>
      <c r="L4" s="3">
        <v>277.0</v>
      </c>
      <c r="M4" s="3">
        <v>0.388</v>
      </c>
      <c r="N4" s="3">
        <v>276.0</v>
      </c>
    </row>
    <row r="5">
      <c r="B5" s="3"/>
      <c r="C5" s="3">
        <v>0.502</v>
      </c>
      <c r="D5" s="3">
        <v>202.0</v>
      </c>
      <c r="E5" s="3">
        <v>0.358</v>
      </c>
      <c r="F5" s="3">
        <v>195.0</v>
      </c>
      <c r="G5" s="3">
        <v>0.197</v>
      </c>
      <c r="H5" s="3">
        <v>189.0</v>
      </c>
      <c r="I5" s="3">
        <v>0.214</v>
      </c>
      <c r="J5" s="3">
        <v>195.0</v>
      </c>
      <c r="K5" s="3">
        <v>0.364</v>
      </c>
      <c r="L5" s="3">
        <v>200.0</v>
      </c>
      <c r="M5" s="3">
        <v>0.517</v>
      </c>
      <c r="N5" s="3">
        <v>217.0</v>
      </c>
    </row>
    <row r="6">
      <c r="B6" s="3"/>
      <c r="C6" s="3">
        <v>0.858</v>
      </c>
      <c r="D6" s="3">
        <v>119.0</v>
      </c>
      <c r="E6" s="3">
        <v>0.75</v>
      </c>
      <c r="F6" s="3">
        <v>95.0</v>
      </c>
      <c r="G6" s="3">
        <v>0.376</v>
      </c>
      <c r="H6" s="3">
        <v>100.0</v>
      </c>
      <c r="I6" s="3">
        <v>0.351</v>
      </c>
      <c r="J6" s="3">
        <v>121.0</v>
      </c>
      <c r="K6" s="3">
        <v>0.789</v>
      </c>
      <c r="L6" s="3">
        <v>96.0</v>
      </c>
      <c r="M6" s="3">
        <v>0.826</v>
      </c>
      <c r="N6" s="3">
        <v>133.0</v>
      </c>
    </row>
    <row r="7">
      <c r="B7" s="3" t="s">
        <v>3</v>
      </c>
      <c r="C7" s="4">
        <f>SUM(C4*D4,C5*D5,C6*D6)/1000/3</f>
        <v>0.1026686667</v>
      </c>
      <c r="D7" s="5"/>
      <c r="E7" s="4">
        <f>SUM(E4*F4,E5*F5,E6*F6)/1000/3</f>
        <v>0.070094</v>
      </c>
      <c r="F7" s="5"/>
      <c r="G7" s="4">
        <f>SUM(G4*H4,G5*H5,G6*H6)/1000/3</f>
        <v>0.037366</v>
      </c>
      <c r="H7" s="5"/>
      <c r="I7" s="4">
        <f>-SUM(I4*J4,I5*J5,I6*J6)/1000/3</f>
        <v>-0.041836</v>
      </c>
      <c r="J7" s="5"/>
      <c r="K7" s="4">
        <f>-SUM(K4*L4,K5*L5,K6*L6)/1000/3</f>
        <v>-0.073706</v>
      </c>
      <c r="L7" s="5"/>
      <c r="M7" s="4">
        <f>-SUM(M4*N4,M5*N5,M6*N6)/1000/3</f>
        <v>-0.1097116667</v>
      </c>
      <c r="N7" s="5"/>
      <c r="O7" s="6">
        <v>0.0</v>
      </c>
    </row>
    <row r="8">
      <c r="B8" s="3" t="s">
        <v>4</v>
      </c>
      <c r="C8" s="6">
        <v>0.0</v>
      </c>
    </row>
    <row r="9">
      <c r="B9" s="6" t="s">
        <v>5</v>
      </c>
      <c r="C9" s="6">
        <f>SUM(C7:O7)/7</f>
        <v>-0.002160714286</v>
      </c>
    </row>
    <row r="10">
      <c r="B10" s="6" t="s">
        <v>6</v>
      </c>
      <c r="C10" s="6">
        <f>((C2-C8)*(C7-C9)+(E2-C8)*(E7-C9)+(G2-C8)*(G7-C9)+(I2-C8)*(I7-C9)+(K2-C8)*(K7-C9)+(M2-C8)*(M7-C9)+(O2-C8)*(O7-C9))/(C2^2+E2^2+G2^2+I2^2+K2^2+M2^2+O2^2)</f>
        <v>0.02282607015</v>
      </c>
    </row>
    <row r="11">
      <c r="B11" s="6" t="s">
        <v>7</v>
      </c>
      <c r="C11" s="6">
        <f>C9-C10*C8</f>
        <v>-0.002160714286</v>
      </c>
    </row>
    <row r="12">
      <c r="B12" s="6" t="s">
        <v>8</v>
      </c>
      <c r="C12" s="7">
        <f>C7-($C$11+$C$10*C2)</f>
        <v>-0.002735940476</v>
      </c>
      <c r="E12" s="7">
        <f>E7-($C$11+$C$10*E2)</f>
        <v>0.0005445</v>
      </c>
      <c r="G12" s="7">
        <f>G7-($C$11+$C$10*G2)</f>
        <v>0.003671607143</v>
      </c>
      <c r="I12" s="7">
        <f>I7-($C$11+$C$10*I2)</f>
        <v>-0.003820178571</v>
      </c>
      <c r="K12" s="7">
        <f>K7-($C$11+$C$10*K2)</f>
        <v>0.0001649285714</v>
      </c>
      <c r="M12" s="7">
        <f>M7-($C$11+$C$10*M2)</f>
        <v>0.00001436904762</v>
      </c>
    </row>
    <row r="13">
      <c r="B13" s="6" t="s">
        <v>9</v>
      </c>
      <c r="C13" s="6">
        <f>SUMSQ(C2:O2)</f>
        <v>69.08723081</v>
      </c>
    </row>
    <row r="14">
      <c r="B14" s="6" t="s">
        <v>10</v>
      </c>
      <c r="C14" s="6">
        <f>SUMSQ(C12:N12)/C13/(7-2)</f>
        <v>0.0000001038794618</v>
      </c>
      <c r="D14" s="6">
        <f t="shared" ref="D14:D15" si="1">SQRT(C14)</f>
        <v>0.0003223033692</v>
      </c>
    </row>
    <row r="15">
      <c r="B15" s="6" t="s">
        <v>11</v>
      </c>
      <c r="C15" s="6">
        <f>SUMSQ(C12:N12)/5/7</f>
        <v>0.000001025249193</v>
      </c>
      <c r="D15" s="6">
        <f t="shared" si="1"/>
        <v>0.001012545897</v>
      </c>
    </row>
    <row r="16">
      <c r="B16" s="6" t="s">
        <v>12</v>
      </c>
      <c r="C16" s="6">
        <f>2*D14</f>
        <v>0.0006446067384</v>
      </c>
    </row>
    <row r="18">
      <c r="B18" s="6" t="s">
        <v>13</v>
      </c>
      <c r="C18" s="6">
        <f>C10</f>
        <v>0.02282607015</v>
      </c>
      <c r="D18" s="6">
        <f>C16</f>
        <v>0.0006446067384</v>
      </c>
    </row>
    <row r="20">
      <c r="B20" s="8" t="s">
        <v>14</v>
      </c>
      <c r="D20" s="6" t="s">
        <v>15</v>
      </c>
      <c r="E20" s="6" t="s">
        <v>16</v>
      </c>
      <c r="F20" s="6" t="s">
        <v>17</v>
      </c>
      <c r="G20" s="6" t="s">
        <v>18</v>
      </c>
      <c r="H20" s="6" t="s">
        <v>19</v>
      </c>
    </row>
    <row r="21" ht="15.75" customHeight="1">
      <c r="D21" s="6">
        <v>2.61</v>
      </c>
      <c r="E21" s="6">
        <v>2.6</v>
      </c>
      <c r="F21" s="6">
        <v>2.61</v>
      </c>
      <c r="G21" s="6">
        <f>SUM(D21:F21)/3</f>
        <v>2.606666667</v>
      </c>
      <c r="H21" s="6">
        <f>(MAX(D21:F21)-MIN(D21:F21))/2</f>
        <v>0.005</v>
      </c>
    </row>
    <row r="22" ht="15.75" customHeight="1">
      <c r="C22" s="6" t="s">
        <v>20</v>
      </c>
      <c r="D22" s="6">
        <f>C18*G21^2/4/PI()/PI()</f>
        <v>0.003928641568</v>
      </c>
    </row>
    <row r="23" ht="15.75" customHeight="1">
      <c r="C23" s="6" t="s">
        <v>19</v>
      </c>
      <c r="D23" s="6">
        <f>D22*SQRT((D18/C18)^2+(2*H21/G21)^2)</f>
        <v>0.0001119636146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I2:J2"/>
    <mergeCell ref="K2:L2"/>
    <mergeCell ref="C1:D1"/>
    <mergeCell ref="E1:F1"/>
    <mergeCell ref="G1:H1"/>
    <mergeCell ref="I1:J1"/>
    <mergeCell ref="K1:L1"/>
    <mergeCell ref="M1:N1"/>
    <mergeCell ref="C2:D2"/>
    <mergeCell ref="M2:N2"/>
    <mergeCell ref="C7:D7"/>
    <mergeCell ref="C12:D12"/>
    <mergeCell ref="E12:F12"/>
    <mergeCell ref="G12:H12"/>
    <mergeCell ref="I12:J12"/>
    <mergeCell ref="K12:L12"/>
    <mergeCell ref="M12:N12"/>
    <mergeCell ref="B20:C21"/>
    <mergeCell ref="E2:F2"/>
    <mergeCell ref="G2:H2"/>
    <mergeCell ref="E7:F7"/>
    <mergeCell ref="G7:H7"/>
    <mergeCell ref="I7:J7"/>
    <mergeCell ref="K7:L7"/>
    <mergeCell ref="M7:N7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2.71"/>
    <col customWidth="1" min="4" max="26" width="8.71"/>
  </cols>
  <sheetData>
    <row r="2">
      <c r="B2" s="9" t="s">
        <v>21</v>
      </c>
      <c r="C2" s="10"/>
      <c r="D2" s="10"/>
      <c r="E2" s="10"/>
      <c r="F2" s="10"/>
      <c r="G2" s="5"/>
    </row>
    <row r="3">
      <c r="B3" s="3" t="s">
        <v>22</v>
      </c>
      <c r="C3" s="3" t="s">
        <v>15</v>
      </c>
      <c r="D3" s="3" t="s">
        <v>16</v>
      </c>
      <c r="E3" s="3" t="s">
        <v>17</v>
      </c>
      <c r="F3" s="3" t="s">
        <v>23</v>
      </c>
      <c r="G3" s="3" t="s">
        <v>24</v>
      </c>
    </row>
    <row r="4">
      <c r="B4" s="3">
        <v>55.0</v>
      </c>
      <c r="C4" s="3">
        <v>3.0</v>
      </c>
      <c r="D4" s="3">
        <v>3.01</v>
      </c>
      <c r="E4" s="3">
        <v>3.01</v>
      </c>
      <c r="F4" s="3">
        <f t="shared" ref="F4:F9" si="1">(B4/1000)^2</f>
        <v>0.003025</v>
      </c>
      <c r="G4" s="3">
        <f t="shared" ref="G4:G9" si="2">(SUM(C4:E4)/3)^2</f>
        <v>9.040044444</v>
      </c>
    </row>
    <row r="5">
      <c r="B5" s="3">
        <v>70.0</v>
      </c>
      <c r="C5" s="3">
        <v>3.27</v>
      </c>
      <c r="D5" s="3">
        <v>3.26</v>
      </c>
      <c r="E5" s="3">
        <v>3.26</v>
      </c>
      <c r="F5" s="3">
        <f t="shared" si="1"/>
        <v>0.0049</v>
      </c>
      <c r="G5" s="3">
        <f t="shared" si="2"/>
        <v>10.64934444</v>
      </c>
    </row>
    <row r="6">
      <c r="B6" s="3">
        <v>90.0</v>
      </c>
      <c r="C6" s="3">
        <v>3.57</v>
      </c>
      <c r="D6" s="3">
        <v>3.56</v>
      </c>
      <c r="E6" s="3">
        <v>3.52</v>
      </c>
      <c r="F6" s="3">
        <f t="shared" si="1"/>
        <v>0.0081</v>
      </c>
      <c r="G6" s="3">
        <f t="shared" si="2"/>
        <v>12.6025</v>
      </c>
    </row>
    <row r="7">
      <c r="B7" s="3">
        <v>110.0</v>
      </c>
      <c r="C7" s="3">
        <v>4.07</v>
      </c>
      <c r="D7" s="3">
        <v>4.09</v>
      </c>
      <c r="E7" s="3">
        <v>4.05</v>
      </c>
      <c r="F7" s="3">
        <f t="shared" si="1"/>
        <v>0.0121</v>
      </c>
      <c r="G7" s="3">
        <f t="shared" si="2"/>
        <v>16.5649</v>
      </c>
    </row>
    <row r="8">
      <c r="B8" s="3">
        <v>130.0</v>
      </c>
      <c r="C8" s="3">
        <v>4.48</v>
      </c>
      <c r="D8" s="3">
        <v>4.4</v>
      </c>
      <c r="E8" s="3">
        <v>4.45</v>
      </c>
      <c r="F8" s="3">
        <f t="shared" si="1"/>
        <v>0.0169</v>
      </c>
      <c r="G8" s="3">
        <f t="shared" si="2"/>
        <v>19.74321111</v>
      </c>
    </row>
    <row r="9">
      <c r="B9" s="3">
        <v>150.0</v>
      </c>
      <c r="C9" s="3">
        <v>4.96</v>
      </c>
      <c r="D9" s="3">
        <v>4.94</v>
      </c>
      <c r="E9" s="3">
        <v>4.93</v>
      </c>
      <c r="F9" s="3">
        <f t="shared" si="1"/>
        <v>0.0225</v>
      </c>
      <c r="G9" s="3">
        <f t="shared" si="2"/>
        <v>24.43654444</v>
      </c>
    </row>
    <row r="10">
      <c r="F10" s="11">
        <f t="shared" ref="F10:G10" si="3">AVERAGE(F4:F9)</f>
        <v>0.01125416667</v>
      </c>
      <c r="G10" s="11">
        <f t="shared" si="3"/>
        <v>15.50609074</v>
      </c>
    </row>
    <row r="13">
      <c r="B13" s="6" t="s">
        <v>25</v>
      </c>
      <c r="C13" s="6" t="s">
        <v>26</v>
      </c>
      <c r="D13" s="6" t="s">
        <v>27</v>
      </c>
      <c r="E13" s="6" t="s">
        <v>28</v>
      </c>
      <c r="F13" s="6" t="s">
        <v>6</v>
      </c>
      <c r="G13" s="6" t="s">
        <v>7</v>
      </c>
    </row>
    <row r="14">
      <c r="B14" s="12">
        <v>6.0</v>
      </c>
      <c r="C14" s="6">
        <f t="shared" ref="C14:C19" si="4">F4-$F$10</f>
        <v>-0.008229166667</v>
      </c>
      <c r="D14" s="6">
        <f t="shared" ref="D14:D19" si="5">G4-$G$10</f>
        <v>-6.466046296</v>
      </c>
      <c r="E14" s="7">
        <f t="shared" ref="E14:E19" si="6">C14*D14</f>
        <v>0.05321017265</v>
      </c>
      <c r="F14" s="12">
        <f>SUM(E14:E19)/SUMSQ(C14:C19)</f>
        <v>788.4331325</v>
      </c>
      <c r="G14" s="12">
        <f>G10-F14*F10</f>
        <v>6.632932862</v>
      </c>
    </row>
    <row r="15">
      <c r="C15" s="6">
        <f t="shared" si="4"/>
        <v>-0.006354166667</v>
      </c>
      <c r="D15" s="6">
        <f t="shared" si="5"/>
        <v>-4.856746296</v>
      </c>
      <c r="E15" s="7">
        <f t="shared" si="6"/>
        <v>0.03086057542</v>
      </c>
    </row>
    <row r="16">
      <c r="C16" s="6">
        <f t="shared" si="4"/>
        <v>-0.003154166667</v>
      </c>
      <c r="D16" s="6">
        <f t="shared" si="5"/>
        <v>-2.903590741</v>
      </c>
      <c r="E16" s="7">
        <f t="shared" si="6"/>
        <v>0.009158409128</v>
      </c>
    </row>
    <row r="17">
      <c r="C17" s="6">
        <f t="shared" si="4"/>
        <v>0.0008458333333</v>
      </c>
      <c r="D17" s="6">
        <f t="shared" si="5"/>
        <v>1.058809259</v>
      </c>
      <c r="E17" s="7">
        <f t="shared" si="6"/>
        <v>0.0008955761651</v>
      </c>
    </row>
    <row r="18">
      <c r="C18" s="6">
        <f t="shared" si="4"/>
        <v>0.005645833333</v>
      </c>
      <c r="D18" s="6">
        <f t="shared" si="5"/>
        <v>4.23712037</v>
      </c>
      <c r="E18" s="7">
        <f t="shared" si="6"/>
        <v>0.02392207542</v>
      </c>
    </row>
    <row r="19">
      <c r="C19" s="6">
        <f t="shared" si="4"/>
        <v>0.01124583333</v>
      </c>
      <c r="D19" s="6">
        <f t="shared" si="5"/>
        <v>8.930453704</v>
      </c>
      <c r="E19" s="7">
        <f t="shared" si="6"/>
        <v>0.1004303939</v>
      </c>
    </row>
    <row r="21" ht="15.75" customHeight="1">
      <c r="B21" s="6" t="s">
        <v>29</v>
      </c>
      <c r="C21" s="6">
        <f>F14*'Таблица 1'!C18/8/PI()/PI()</f>
        <v>0.2279325145</v>
      </c>
    </row>
    <row r="22" ht="15.75" customHeight="1">
      <c r="B22" s="6" t="s">
        <v>30</v>
      </c>
      <c r="C22" s="13">
        <f>(G14*'Таблица 1'!C18/4/PI()/PI()-'Таблица 1'!D22)/2</f>
        <v>-0.00004676937269</v>
      </c>
    </row>
    <row r="23" ht="15.75" customHeight="1">
      <c r="B23" s="6" t="s">
        <v>31</v>
      </c>
      <c r="C23" s="13">
        <f>C21*(0.015^2/4+0.04^2/12)</f>
        <v>0.00004321220588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2:G2"/>
    <mergeCell ref="B14:B19"/>
    <mergeCell ref="F14:F19"/>
    <mergeCell ref="G14:G19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">
      <c r="B2" s="9" t="s">
        <v>21</v>
      </c>
      <c r="C2" s="10"/>
      <c r="D2" s="10"/>
      <c r="E2" s="10"/>
      <c r="F2" s="10"/>
      <c r="G2" s="5"/>
    </row>
    <row r="3">
      <c r="B3" s="3" t="s">
        <v>22</v>
      </c>
      <c r="C3" s="3" t="s">
        <v>15</v>
      </c>
      <c r="D3" s="3" t="s">
        <v>16</v>
      </c>
      <c r="E3" s="3" t="s">
        <v>17</v>
      </c>
      <c r="F3" s="3" t="s">
        <v>23</v>
      </c>
      <c r="G3" s="3" t="s">
        <v>24</v>
      </c>
    </row>
    <row r="4">
      <c r="B4" s="3">
        <v>0.0</v>
      </c>
      <c r="C4" s="3">
        <v>2.73</v>
      </c>
      <c r="D4" s="3">
        <v>2.73</v>
      </c>
      <c r="E4" s="3">
        <v>2.69</v>
      </c>
      <c r="F4" s="3">
        <f t="shared" ref="F4:F8" si="1">(B4/1000)^2</f>
        <v>0</v>
      </c>
      <c r="G4" s="3">
        <f t="shared" ref="G4:G8" si="2">(SUM(C4:E4)/3)^2</f>
        <v>7.380277778</v>
      </c>
    </row>
    <row r="5">
      <c r="B5" s="3">
        <v>30.0</v>
      </c>
      <c r="C5" s="3">
        <v>2.83</v>
      </c>
      <c r="D5" s="3">
        <v>2.87</v>
      </c>
      <c r="E5" s="3">
        <v>2.89</v>
      </c>
      <c r="F5" s="3">
        <f t="shared" si="1"/>
        <v>0.0009</v>
      </c>
      <c r="G5" s="3">
        <f t="shared" si="2"/>
        <v>8.198677778</v>
      </c>
    </row>
    <row r="6">
      <c r="B6" s="3">
        <v>60.0</v>
      </c>
      <c r="C6" s="3">
        <v>3.15</v>
      </c>
      <c r="D6" s="3">
        <v>3.09</v>
      </c>
      <c r="E6" s="3">
        <v>3.14</v>
      </c>
      <c r="F6" s="3">
        <f t="shared" si="1"/>
        <v>0.0036</v>
      </c>
      <c r="G6" s="3">
        <f t="shared" si="2"/>
        <v>9.776044444</v>
      </c>
    </row>
    <row r="7">
      <c r="B7" s="3">
        <v>90.0</v>
      </c>
      <c r="C7" s="3">
        <v>3.57</v>
      </c>
      <c r="D7" s="3">
        <v>3.59</v>
      </c>
      <c r="E7" s="3">
        <v>3.6</v>
      </c>
      <c r="F7" s="3">
        <f t="shared" si="1"/>
        <v>0.0081</v>
      </c>
      <c r="G7" s="3">
        <f t="shared" si="2"/>
        <v>12.86417778</v>
      </c>
    </row>
    <row r="8">
      <c r="B8" s="3">
        <v>120.0</v>
      </c>
      <c r="C8" s="3">
        <v>4.17</v>
      </c>
      <c r="D8" s="3">
        <v>4.1</v>
      </c>
      <c r="E8" s="3">
        <v>4.14</v>
      </c>
      <c r="F8" s="3">
        <f t="shared" si="1"/>
        <v>0.0144</v>
      </c>
      <c r="G8" s="3">
        <f t="shared" si="2"/>
        <v>17.11201111</v>
      </c>
    </row>
    <row r="9">
      <c r="B9" s="4" t="s">
        <v>32</v>
      </c>
      <c r="C9" s="10"/>
      <c r="D9" s="10"/>
      <c r="E9" s="5"/>
      <c r="F9" s="3">
        <f t="shared" ref="F9:G9" si="3">AVERAGE(F4:F8)</f>
        <v>0.0054</v>
      </c>
      <c r="G9" s="3">
        <f t="shared" si="3"/>
        <v>11.06623778</v>
      </c>
    </row>
    <row r="13">
      <c r="B13" s="3" t="s">
        <v>25</v>
      </c>
      <c r="C13" s="3" t="s">
        <v>26</v>
      </c>
      <c r="D13" s="3" t="s">
        <v>27</v>
      </c>
      <c r="E13" s="3" t="s">
        <v>28</v>
      </c>
      <c r="F13" s="3" t="s">
        <v>6</v>
      </c>
      <c r="G13" s="3" t="s">
        <v>7</v>
      </c>
    </row>
    <row r="14">
      <c r="B14" s="14">
        <v>5.0</v>
      </c>
      <c r="C14" s="3">
        <f t="shared" ref="C14:C18" si="4">F4-$F$9</f>
        <v>-0.0054</v>
      </c>
      <c r="D14" s="3">
        <f t="shared" ref="D14:D18" si="5">G4-$G$9</f>
        <v>-3.68596</v>
      </c>
      <c r="E14" s="15">
        <f t="shared" ref="E14:E18" si="6">C14*D14</f>
        <v>0.019904184</v>
      </c>
      <c r="F14" s="14">
        <f>SUM(E14:E18)/SUMSQ(C14:C18)</f>
        <v>669.7669221</v>
      </c>
      <c r="G14" s="14">
        <f>G9-F14*F9</f>
        <v>7.449496398</v>
      </c>
    </row>
    <row r="15">
      <c r="B15" s="16"/>
      <c r="C15" s="3">
        <f t="shared" si="4"/>
        <v>-0.0045</v>
      </c>
      <c r="D15" s="3">
        <f t="shared" si="5"/>
        <v>-2.86756</v>
      </c>
      <c r="E15" s="15">
        <f t="shared" si="6"/>
        <v>0.01290402</v>
      </c>
      <c r="F15" s="16"/>
      <c r="G15" s="16"/>
    </row>
    <row r="16">
      <c r="B16" s="16"/>
      <c r="C16" s="3">
        <f t="shared" si="4"/>
        <v>-0.0018</v>
      </c>
      <c r="D16" s="3">
        <f t="shared" si="5"/>
        <v>-1.290193333</v>
      </c>
      <c r="E16" s="15">
        <f t="shared" si="6"/>
        <v>0.002322348</v>
      </c>
      <c r="F16" s="16"/>
      <c r="G16" s="16"/>
    </row>
    <row r="17">
      <c r="B17" s="16"/>
      <c r="C17" s="3">
        <f t="shared" si="4"/>
        <v>0.0027</v>
      </c>
      <c r="D17" s="3">
        <f t="shared" si="5"/>
        <v>1.79794</v>
      </c>
      <c r="E17" s="15">
        <f t="shared" si="6"/>
        <v>0.004854438</v>
      </c>
      <c r="F17" s="16"/>
      <c r="G17" s="16"/>
    </row>
    <row r="18">
      <c r="B18" s="17"/>
      <c r="C18" s="3">
        <f t="shared" si="4"/>
        <v>0.009</v>
      </c>
      <c r="D18" s="3">
        <f t="shared" si="5"/>
        <v>6.045773333</v>
      </c>
      <c r="E18" s="15">
        <f t="shared" si="6"/>
        <v>0.05441196</v>
      </c>
      <c r="F18" s="17"/>
      <c r="G18" s="17"/>
    </row>
    <row r="19">
      <c r="B19" s="12"/>
      <c r="E19" s="7"/>
      <c r="F19" s="12"/>
      <c r="G19" s="12"/>
    </row>
    <row r="20">
      <c r="B20" s="6" t="s">
        <v>30</v>
      </c>
      <c r="C20" s="6">
        <f>G4*'Таблица 1'!C18/4/PI()/PI()</f>
        <v>0.00426721101</v>
      </c>
    </row>
    <row r="21" ht="15.75" customHeight="1">
      <c r="B21" s="6" t="s">
        <v>33</v>
      </c>
      <c r="C21" s="6">
        <f>F14*'Таблица 1'!C18/4/PI()/PI()</f>
        <v>0.387253281</v>
      </c>
    </row>
    <row r="22" ht="15.75" customHeight="1">
      <c r="B22" s="6" t="s">
        <v>34</v>
      </c>
      <c r="C22" s="6">
        <f>C23*C24^2/2</f>
        <v>0.004391824125</v>
      </c>
    </row>
    <row r="23" ht="15.75" customHeight="1">
      <c r="B23" s="6" t="s">
        <v>35</v>
      </c>
      <c r="C23" s="6">
        <v>0.393</v>
      </c>
    </row>
    <row r="24" ht="15.75" customHeight="1">
      <c r="B24" s="6" t="s">
        <v>36</v>
      </c>
      <c r="C24" s="6">
        <f>299/2000</f>
        <v>0.1495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2:G2"/>
    <mergeCell ref="B9:E9"/>
    <mergeCell ref="B14:B18"/>
    <mergeCell ref="F14:F18"/>
    <mergeCell ref="G14:G18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43"/>
    <col customWidth="1" min="2" max="14" width="8.71"/>
    <col customWidth="1" min="15" max="15" width="13.71"/>
    <col customWidth="1" min="16" max="16" width="18.86"/>
    <col customWidth="1" min="17" max="17" width="14.14"/>
    <col customWidth="1" min="18" max="26" width="8.71"/>
  </cols>
  <sheetData>
    <row r="1">
      <c r="A1" s="4" t="s">
        <v>37</v>
      </c>
      <c r="B1" s="10"/>
      <c r="C1" s="10"/>
      <c r="D1" s="10"/>
      <c r="E1" s="10"/>
      <c r="F1" s="10"/>
      <c r="G1" s="10"/>
      <c r="H1" s="5"/>
      <c r="I1" s="3"/>
      <c r="J1" s="3"/>
    </row>
    <row r="2">
      <c r="A2" s="4"/>
      <c r="B2" s="10"/>
      <c r="C2" s="10"/>
      <c r="D2" s="10"/>
      <c r="E2" s="10"/>
      <c r="F2" s="5"/>
      <c r="G2" s="4" t="s">
        <v>38</v>
      </c>
      <c r="H2" s="10"/>
      <c r="I2" s="10"/>
      <c r="J2" s="5"/>
      <c r="L2" s="6" t="s">
        <v>39</v>
      </c>
      <c r="O2" s="3"/>
      <c r="P2" s="3" t="s">
        <v>40</v>
      </c>
      <c r="Q2" s="3" t="s">
        <v>41</v>
      </c>
      <c r="R2" s="3" t="s">
        <v>42</v>
      </c>
    </row>
    <row r="3">
      <c r="A3" s="3" t="s">
        <v>43</v>
      </c>
      <c r="B3" s="3" t="s">
        <v>15</v>
      </c>
      <c r="C3" s="3" t="s">
        <v>16</v>
      </c>
      <c r="D3" s="3" t="s">
        <v>17</v>
      </c>
      <c r="E3" s="3" t="s">
        <v>18</v>
      </c>
      <c r="F3" s="3" t="s">
        <v>44</v>
      </c>
      <c r="G3" s="3" t="s">
        <v>45</v>
      </c>
      <c r="H3" s="3" t="s">
        <v>33</v>
      </c>
      <c r="I3" s="3" t="s">
        <v>2</v>
      </c>
      <c r="J3" s="3" t="s">
        <v>46</v>
      </c>
      <c r="L3" s="6">
        <v>4.3</v>
      </c>
      <c r="O3" s="3" t="s">
        <v>47</v>
      </c>
      <c r="P3" s="3" t="s">
        <v>48</v>
      </c>
      <c r="Q3" s="3">
        <v>0.01</v>
      </c>
      <c r="R3" s="3">
        <f>Q3/2</f>
        <v>0.005</v>
      </c>
      <c r="S3" s="6" t="s">
        <v>49</v>
      </c>
    </row>
    <row r="4">
      <c r="A4" s="3" t="s">
        <v>50</v>
      </c>
      <c r="B4" s="3">
        <v>1.66</v>
      </c>
      <c r="C4" s="3">
        <v>1.62</v>
      </c>
      <c r="D4" s="3">
        <v>1.61</v>
      </c>
      <c r="E4" s="3">
        <f t="shared" ref="E4:E7" si="1">AVERAGE(B4:D4)</f>
        <v>1.63</v>
      </c>
      <c r="F4" s="3">
        <f>'Таблица 1'!$C$18*'Таблица 4'!E4^2/4/PI()/PI()</f>
        <v>0.001536195964</v>
      </c>
      <c r="G4" s="3">
        <f>H4*I4^2/2</f>
        <v>0.0017049235</v>
      </c>
      <c r="H4" s="3">
        <v>0.287</v>
      </c>
      <c r="I4" s="3">
        <f>218/2000</f>
        <v>0.109</v>
      </c>
      <c r="J4" s="3"/>
    </row>
    <row r="5">
      <c r="A5" s="3" t="s">
        <v>51</v>
      </c>
      <c r="B5" s="3">
        <v>1.13</v>
      </c>
      <c r="C5" s="3">
        <v>1.13</v>
      </c>
      <c r="D5" s="3">
        <v>1.11</v>
      </c>
      <c r="E5" s="3">
        <f t="shared" si="1"/>
        <v>1.123333333</v>
      </c>
      <c r="F5" s="3">
        <f>'Таблица 1'!$C$18*'Таблица 4'!E5^2/4/PI()/PI()</f>
        <v>0.0007296065147</v>
      </c>
      <c r="G5" s="3">
        <f>H5/2*(I5^2+J5^2/6)</f>
        <v>0.00076110936</v>
      </c>
      <c r="H5" s="3">
        <v>0.363</v>
      </c>
      <c r="I5" s="3">
        <f>100/2000</f>
        <v>0.05</v>
      </c>
      <c r="J5" s="3">
        <f>100.8/1000</f>
        <v>0.1008</v>
      </c>
    </row>
    <row r="6">
      <c r="A6" s="3" t="s">
        <v>52</v>
      </c>
      <c r="B6" s="3">
        <v>0.85</v>
      </c>
      <c r="C6" s="3">
        <v>0.92</v>
      </c>
      <c r="D6" s="3">
        <v>0.92</v>
      </c>
      <c r="E6" s="3">
        <f t="shared" si="1"/>
        <v>0.8966666667</v>
      </c>
      <c r="F6" s="3">
        <f>'Таблица 1'!$C$18*'Таблица 4'!E6^2/4/PI()/PI()</f>
        <v>0.0004648720778</v>
      </c>
      <c r="G6" s="3">
        <f>H6/4*(I6^2+J6^2/3)</f>
        <v>0.0006737561667</v>
      </c>
      <c r="H6" s="3">
        <v>0.458</v>
      </c>
      <c r="I6" s="3">
        <f>99/2000</f>
        <v>0.0495</v>
      </c>
      <c r="J6" s="3">
        <f>101.5/1000</f>
        <v>0.1015</v>
      </c>
    </row>
    <row r="7">
      <c r="A7" s="3" t="s">
        <v>53</v>
      </c>
      <c r="B7" s="3">
        <v>1.62</v>
      </c>
      <c r="C7" s="3">
        <v>1.56</v>
      </c>
      <c r="D7" s="3">
        <v>1.61</v>
      </c>
      <c r="E7" s="3">
        <f t="shared" si="1"/>
        <v>1.596666667</v>
      </c>
      <c r="F7" s="3">
        <f>'Таблица 1'!$C$18*'Таблица 4'!E7^2/4/PI()/PI()</f>
        <v>0.001474008297</v>
      </c>
      <c r="G7" s="3">
        <f>2*H7*I7^2/5</f>
        <v>0.00156156</v>
      </c>
      <c r="H7" s="3">
        <v>0.924</v>
      </c>
      <c r="I7" s="3">
        <f>130/2000</f>
        <v>0.065</v>
      </c>
      <c r="J7" s="3"/>
    </row>
    <row r="11">
      <c r="A11" s="3" t="s">
        <v>54</v>
      </c>
      <c r="B11" s="3" t="s">
        <v>55</v>
      </c>
      <c r="C11" s="4" t="s">
        <v>56</v>
      </c>
      <c r="D11" s="10"/>
      <c r="E11" s="5"/>
      <c r="F11" s="3" t="s">
        <v>57</v>
      </c>
      <c r="G11" s="3" t="s">
        <v>58</v>
      </c>
      <c r="H11" s="3" t="s">
        <v>59</v>
      </c>
      <c r="I11" s="3" t="s">
        <v>60</v>
      </c>
    </row>
    <row r="12">
      <c r="A12" s="3" t="s">
        <v>50</v>
      </c>
      <c r="B12" s="14">
        <v>3.0</v>
      </c>
      <c r="C12" s="3">
        <f t="shared" ref="C12:E12" si="2">B4-$E4</f>
        <v>0.03</v>
      </c>
      <c r="D12" s="3">
        <f t="shared" si="2"/>
        <v>-0.01</v>
      </c>
      <c r="E12" s="3">
        <f t="shared" si="2"/>
        <v>-0.02</v>
      </c>
      <c r="F12" s="3">
        <f t="shared" ref="F12:F15" si="4">SQRT(SUMSQ(C12:E12)/$B$12/($B$12-1))</f>
        <v>0.01527525232</v>
      </c>
      <c r="G12" s="3">
        <f t="shared" ref="G12:G15" si="5">$L$3*F12</f>
        <v>0.06568358496</v>
      </c>
      <c r="H12" s="3">
        <f t="shared" ref="H12:H15" si="6">SQRT(G12^2+(2*$R$3/3)^2)</f>
        <v>0.06576811115</v>
      </c>
      <c r="I12" s="3">
        <f t="shared" ref="I12:I15" si="7">H12/E4*100</f>
        <v>4.034853445</v>
      </c>
    </row>
    <row r="13">
      <c r="A13" s="3" t="s">
        <v>51</v>
      </c>
      <c r="B13" s="16"/>
      <c r="C13" s="3">
        <f t="shared" ref="C13:E13" si="3">B5-$E5</f>
        <v>0.006666666667</v>
      </c>
      <c r="D13" s="3">
        <f t="shared" si="3"/>
        <v>0.006666666667</v>
      </c>
      <c r="E13" s="3">
        <f t="shared" si="3"/>
        <v>-0.01333333333</v>
      </c>
      <c r="F13" s="3">
        <f t="shared" si="4"/>
        <v>0.006666666667</v>
      </c>
      <c r="G13" s="3">
        <f t="shared" si="5"/>
        <v>0.02866666667</v>
      </c>
      <c r="H13" s="3">
        <f t="shared" si="6"/>
        <v>0.02885981443</v>
      </c>
      <c r="I13" s="3">
        <f t="shared" si="7"/>
        <v>2.569122946</v>
      </c>
    </row>
    <row r="14">
      <c r="A14" s="3" t="s">
        <v>52</v>
      </c>
      <c r="B14" s="16"/>
      <c r="C14" s="3">
        <f t="shared" ref="C14:E14" si="8">B6-$E6</f>
        <v>-0.04666666667</v>
      </c>
      <c r="D14" s="3">
        <f t="shared" si="8"/>
        <v>0.02333333333</v>
      </c>
      <c r="E14" s="3">
        <f t="shared" si="8"/>
        <v>0.02333333333</v>
      </c>
      <c r="F14" s="3">
        <f t="shared" si="4"/>
        <v>0.02333333333</v>
      </c>
      <c r="G14" s="3">
        <f t="shared" si="5"/>
        <v>0.1003333333</v>
      </c>
      <c r="H14" s="3">
        <f t="shared" si="6"/>
        <v>0.100388689</v>
      </c>
      <c r="I14" s="3">
        <f t="shared" si="7"/>
        <v>11.19576458</v>
      </c>
    </row>
    <row r="15">
      <c r="A15" s="3" t="s">
        <v>53</v>
      </c>
      <c r="B15" s="17"/>
      <c r="C15" s="3">
        <f t="shared" ref="C15:E15" si="9">B7-$E7</f>
        <v>0.02333333333</v>
      </c>
      <c r="D15" s="3">
        <f t="shared" si="9"/>
        <v>-0.03666666667</v>
      </c>
      <c r="E15" s="3">
        <f t="shared" si="9"/>
        <v>0.01333333333</v>
      </c>
      <c r="F15" s="3">
        <f t="shared" si="4"/>
        <v>0.01855921454</v>
      </c>
      <c r="G15" s="3">
        <f t="shared" si="5"/>
        <v>0.07980462253</v>
      </c>
      <c r="H15" s="3">
        <f t="shared" si="6"/>
        <v>0.07987420666</v>
      </c>
      <c r="I15" s="3">
        <f t="shared" si="7"/>
        <v>5.002559916</v>
      </c>
    </row>
    <row r="17">
      <c r="A17" s="3" t="s">
        <v>61</v>
      </c>
      <c r="B17" s="3" t="s">
        <v>62</v>
      </c>
      <c r="C17" s="3" t="s">
        <v>63</v>
      </c>
      <c r="D17" s="3" t="s">
        <v>64</v>
      </c>
      <c r="E17" s="3" t="s">
        <v>65</v>
      </c>
    </row>
    <row r="18">
      <c r="A18" s="3" t="s">
        <v>50</v>
      </c>
      <c r="B18" s="3">
        <f t="shared" ref="B18:B21" si="10">E4^2/4/PI()/PI()</f>
        <v>0.0673000632</v>
      </c>
      <c r="C18" s="3">
        <f>'Таблица 1'!$C$18*'Таблица 4'!E4/2/PI()/PI()</f>
        <v>0.001884903023</v>
      </c>
      <c r="D18" s="3">
        <f>SQRT((B18*'Таблица 1'!$D$18)^2 + ('Таблица 4'!C18*'Таблица 4'!H12)^2)</f>
        <v>0.0001313381146</v>
      </c>
      <c r="E18" s="3">
        <f t="shared" ref="E18:E21" si="11">D18/F4*100</f>
        <v>8.549567744</v>
      </c>
    </row>
    <row r="19">
      <c r="A19" s="3" t="s">
        <v>51</v>
      </c>
      <c r="B19" s="3">
        <f t="shared" si="10"/>
        <v>0.03196373751</v>
      </c>
      <c r="C19" s="3">
        <f>'Таблица 1'!$C$18*'Таблица 4'!E5/2/PI()/PI()</f>
        <v>0.001299002697</v>
      </c>
      <c r="D19" s="18">
        <f>SQRT((B19*'Таблица 1'!$D$18)^2 + ('Таблица 4'!C19*'Таблица 4'!H13)^2)</f>
        <v>0.00004277791332</v>
      </c>
      <c r="E19" s="3">
        <f t="shared" si="11"/>
        <v>5.863148486</v>
      </c>
    </row>
    <row r="20">
      <c r="A20" s="3" t="s">
        <v>52</v>
      </c>
      <c r="B20" s="3">
        <f t="shared" si="10"/>
        <v>0.02036583936</v>
      </c>
      <c r="C20" s="3">
        <f>'Таблица 1'!$C$18*'Таблица 4'!E6/2/PI()/PI()</f>
        <v>0.001036889393</v>
      </c>
      <c r="D20" s="3">
        <f>SQRT((B20*'Таблица 1'!$D$18)^2 + ('Таблица 4'!C20*'Таблица 4'!H14)^2)</f>
        <v>0.0001049165422</v>
      </c>
      <c r="E20" s="3">
        <f t="shared" si="11"/>
        <v>22.56890598</v>
      </c>
    </row>
    <row r="21" ht="15.75" customHeight="1">
      <c r="A21" s="3" t="s">
        <v>53</v>
      </c>
      <c r="B21" s="3">
        <f t="shared" si="10"/>
        <v>0.06457564916</v>
      </c>
      <c r="C21" s="3">
        <f>'Таблица 1'!$C$18*'Таблица 4'!E7/2/PI()/PI()</f>
        <v>0.001846356949</v>
      </c>
      <c r="D21" s="3">
        <f>SQRT((B21*'Таблица 1'!$D$18)^2 + ('Таблица 4'!C21*'Таблица 4'!H15)^2)</f>
        <v>0.0001532382898</v>
      </c>
      <c r="E21" s="3">
        <f t="shared" si="11"/>
        <v>10.39602627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H1"/>
    <mergeCell ref="A2:F2"/>
    <mergeCell ref="G2:J2"/>
    <mergeCell ref="C11:E11"/>
    <mergeCell ref="B12:B15"/>
  </mergeCells>
  <printOptions/>
  <pageMargins bottom="0.75" footer="0.0" header="0.0" left="0.7" right="0.7" top="0.75"/>
  <pageSetup orientation="landscape"/>
  <drawing r:id="rId1"/>
</worksheet>
</file>