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665" activeTab="2"/>
  </bookViews>
  <sheets>
    <sheet name="Лист1" sheetId="1" r:id="rId1"/>
    <sheet name="Таблица 2" sheetId="2" r:id="rId2"/>
    <sheet name="Таблица 3" sheetId="3" r:id="rId3"/>
  </sheets>
  <calcPr calcId="144525"/>
</workbook>
</file>

<file path=xl/sharedStrings.xml><?xml version="1.0" encoding="utf-8"?>
<sst xmlns="http://schemas.openxmlformats.org/spreadsheetml/2006/main" count="61" uniqueCount="32">
  <si>
    <t>ϕ</t>
  </si>
  <si>
    <t>F</t>
  </si>
  <si>
    <t>r</t>
  </si>
  <si>
    <t>M</t>
  </si>
  <si>
    <t>ϕ ср</t>
  </si>
  <si>
    <t>M ср</t>
  </si>
  <si>
    <t>b</t>
  </si>
  <si>
    <t>a</t>
  </si>
  <si>
    <t>di</t>
  </si>
  <si>
    <t>D</t>
  </si>
  <si>
    <t>b СКО</t>
  </si>
  <si>
    <t>a СКО</t>
  </si>
  <si>
    <t>dy</t>
  </si>
  <si>
    <t xml:space="preserve">Тогда k = </t>
  </si>
  <si>
    <t>Период колебания без грузов</t>
  </si>
  <si>
    <t>T1</t>
  </si>
  <si>
    <t>T2</t>
  </si>
  <si>
    <t>T3</t>
  </si>
  <si>
    <t>(T)</t>
  </si>
  <si>
    <t>погрешность</t>
  </si>
  <si>
    <t>I =</t>
  </si>
  <si>
    <t>Таблица 2</t>
  </si>
  <si>
    <t>l</t>
  </si>
  <si>
    <t>l^2</t>
  </si>
  <si>
    <t>T^2</t>
  </si>
  <si>
    <t>число измерений</t>
  </si>
  <si>
    <t>li - l</t>
  </si>
  <si>
    <t>Ti - T</t>
  </si>
  <si>
    <t>l*T</t>
  </si>
  <si>
    <t>m груза</t>
  </si>
  <si>
    <t>Ic</t>
  </si>
  <si>
    <t>Ic теор знач</t>
  </si>
</sst>
</file>

<file path=xl/styles.xml><?xml version="1.0" encoding="utf-8"?>
<styleSheet xmlns="http://schemas.openxmlformats.org/spreadsheetml/2006/main">
  <numFmts count="5">
    <numFmt numFmtId="176" formatCode="0.000000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6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3" borderId="14" applyNumberFormat="0" applyFon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6" xfId="0" applyBorder="1" applyAlignment="1">
      <alignment horizontal="center"/>
    </xf>
    <xf numFmtId="0" fontId="2" fillId="0" borderId="1" xfId="0" applyFont="1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М(</a:t>
            </a:r>
            <a:r>
              <a:rPr altLang="ru-RU"/>
              <a:t>phi</a:t>
            </a:r>
            <a:r>
              <a:rPr lang="ru-RU" altLang="en-US"/>
              <a:t>)</a:t>
            </a:r>
            <a:endParaRPr altLang="ru-RU"/>
          </a:p>
        </c:rich>
      </c:tx>
      <c:layout>
        <c:manualLayout>
          <c:xMode val="edge"/>
          <c:yMode val="edge"/>
          <c:x val="0.45731272294887"/>
          <c:y val="0.01876407305479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30796670630202"/>
          <c:y val="0.099074305729297"/>
          <c:w val="0.96829171621086"/>
          <c:h val="0.870152614460846"/>
        </c:manualLayout>
      </c:layout>
      <c:scatterChart>
        <c:scatterStyle val="marker"/>
        <c:varyColors val="0"/>
        <c:ser>
          <c:idx val="0"/>
          <c:order val="0"/>
          <c:tx>
            <c:strRef>
              <c:f>"Угол"</c:f>
              <c:strCache>
                <c:ptCount val="1"/>
                <c:pt idx="0">
                  <c:v>Угол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Лист1!$C$2:$O$2</c:f>
              <c:numCache>
                <c:formatCode>General</c:formatCode>
                <c:ptCount val="13"/>
                <c:pt idx="0">
                  <c:v>4.71238898038469</c:v>
                </c:pt>
                <c:pt idx="2">
                  <c:v>3.14159265358979</c:v>
                </c:pt>
                <c:pt idx="4">
                  <c:v>1.5707963267949</c:v>
                </c:pt>
                <c:pt idx="6">
                  <c:v>-1.5707963267949</c:v>
                </c:pt>
                <c:pt idx="8">
                  <c:v>-3.14159265358979</c:v>
                </c:pt>
                <c:pt idx="10">
                  <c:v>-4.71238898038469</c:v>
                </c:pt>
                <c:pt idx="12">
                  <c:v>0</c:v>
                </c:pt>
              </c:numCache>
            </c:numRef>
          </c:xVal>
          <c:yVal>
            <c:numRef>
              <c:f>Лист1!$C$7:$O$7</c:f>
              <c:numCache>
                <c:formatCode>General</c:formatCode>
                <c:ptCount val="13"/>
                <c:pt idx="0">
                  <c:v>0.10564</c:v>
                </c:pt>
                <c:pt idx="2">
                  <c:v>0.06852</c:v>
                </c:pt>
                <c:pt idx="4">
                  <c:v>0.03627</c:v>
                </c:pt>
                <c:pt idx="6">
                  <c:v>-0.0390666666666667</c:v>
                </c:pt>
                <c:pt idx="8">
                  <c:v>-0.08144</c:v>
                </c:pt>
                <c:pt idx="10">
                  <c:v>-0.105273333333333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1272"/>
        <c:axId val="130219704"/>
      </c:scatterChart>
      <c:valAx>
        <c:axId val="1302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Момент силы, Н*м</a:t>
                </a:r>
              </a:p>
            </c:rich>
          </c:tx>
          <c:layout>
            <c:manualLayout>
              <c:xMode val="edge"/>
              <c:yMode val="edge"/>
              <c:x val="0.508957590170432"/>
              <c:y val="0.124218163622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219704"/>
        <c:crosses val="autoZero"/>
        <c:crossBetween val="midCat"/>
      </c:valAx>
      <c:valAx>
        <c:axId val="1302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Угол, рад. </a:t>
                </a:r>
                <a:endParaRPr lang="ru-RU" altLang="en-US"/>
              </a:p>
            </c:rich>
          </c:tx>
          <c:layout>
            <c:manualLayout>
              <c:xMode val="edge"/>
              <c:yMode val="edge"/>
              <c:x val="0.872000924824944"/>
              <c:y val="0.5692997716536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2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T^2(L^2)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'Таблица 2'!$F$4:$F$10</c:f>
              <c:numCache>
                <c:formatCode>General</c:formatCode>
                <c:ptCount val="7"/>
                <c:pt idx="0">
                  <c:v>0.002809</c:v>
                </c:pt>
                <c:pt idx="1">
                  <c:v>0.005329</c:v>
                </c:pt>
                <c:pt idx="2">
                  <c:v>0.009216</c:v>
                </c:pt>
                <c:pt idx="3">
                  <c:v>0.0144</c:v>
                </c:pt>
                <c:pt idx="4">
                  <c:v>0.020164</c:v>
                </c:pt>
                <c:pt idx="5">
                  <c:v>0.04</c:v>
                </c:pt>
                <c:pt idx="6">
                  <c:v>0.068644</c:v>
                </c:pt>
              </c:numCache>
            </c:numRef>
          </c:xVal>
          <c:yVal>
            <c:numRef>
              <c:f>'Таблица 2'!$G$4:$G$10</c:f>
              <c:numCache>
                <c:formatCode>General</c:formatCode>
                <c:ptCount val="7"/>
                <c:pt idx="0">
                  <c:v>80.9400111111111</c:v>
                </c:pt>
                <c:pt idx="1">
                  <c:v>99.2016</c:v>
                </c:pt>
                <c:pt idx="2">
                  <c:v>126.187777777778</c:v>
                </c:pt>
                <c:pt idx="3">
                  <c:v>161.7984</c:v>
                </c:pt>
                <c:pt idx="4">
                  <c:v>201.9241</c:v>
                </c:pt>
                <c:pt idx="5">
                  <c:v>340.4025</c:v>
                </c:pt>
                <c:pt idx="6">
                  <c:v>537.930711111111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8488"/>
        <c:axId val="131234960"/>
      </c:scatterChart>
      <c:valAx>
        <c:axId val="1312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L^2, </a:t>
                </a:r>
                <a:r>
                  <a:rPr lang="ru-RU" altLang="en-US"/>
                  <a:t>м</a:t>
                </a:r>
                <a:r>
                  <a:rPr altLang="ru-RU"/>
                  <a:t>^2</a:t>
                </a:r>
                <a:endParaRPr alt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34960"/>
        <c:crosses val="autoZero"/>
        <c:crossBetween val="midCat"/>
      </c:valAx>
      <c:valAx>
        <c:axId val="131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T^2, (H*m)^2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3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'Таблица 3'!$F$4:$F$8</c:f>
              <c:numCache>
                <c:formatCode>General</c:formatCode>
                <c:ptCount val="5"/>
                <c:pt idx="0">
                  <c:v>0</c:v>
                </c:pt>
                <c:pt idx="1">
                  <c:v>0.0009</c:v>
                </c:pt>
                <c:pt idx="2">
                  <c:v>0.0036</c:v>
                </c:pt>
                <c:pt idx="3">
                  <c:v>0.0081</c:v>
                </c:pt>
                <c:pt idx="4">
                  <c:v>0.0144</c:v>
                </c:pt>
              </c:numCache>
            </c:numRef>
          </c:xVal>
          <c:yVal>
            <c:numRef>
              <c:f>'Таблица 3'!$G$4:$G$8</c:f>
              <c:numCache>
                <c:formatCode>General</c:formatCode>
                <c:ptCount val="5"/>
                <c:pt idx="0">
                  <c:v>66.3681777777778</c:v>
                </c:pt>
                <c:pt idx="1">
                  <c:v>71.1773444444445</c:v>
                </c:pt>
                <c:pt idx="2">
                  <c:v>85.5008444444445</c:v>
                </c:pt>
                <c:pt idx="3">
                  <c:v>114.0624</c:v>
                </c:pt>
                <c:pt idx="4">
                  <c:v>153.346944444444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5744"/>
        <c:axId val="343514128"/>
      </c:scatterChart>
      <c:valAx>
        <c:axId val="1312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514128"/>
        <c:crosses val="autoZero"/>
        <c:crossBetween val="midCat"/>
      </c:valAx>
      <c:valAx>
        <c:axId val="343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647700</xdr:colOff>
      <xdr:row>12</xdr:row>
      <xdr:rowOff>61595</xdr:rowOff>
    </xdr:from>
    <xdr:to>
      <xdr:col>19</xdr:col>
      <xdr:colOff>171450</xdr:colOff>
      <xdr:row>37</xdr:row>
      <xdr:rowOff>137160</xdr:rowOff>
    </xdr:to>
    <xdr:graphicFrame>
      <xdr:nvGraphicFramePr>
        <xdr:cNvPr id="2" name="Диаграмма 1"/>
        <xdr:cNvGraphicFramePr/>
      </xdr:nvGraphicFramePr>
      <xdr:xfrm>
        <a:off x="7077075" y="2461895"/>
        <a:ext cx="8010525" cy="507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123825</xdr:colOff>
      <xdr:row>2</xdr:row>
      <xdr:rowOff>128270</xdr:rowOff>
    </xdr:from>
    <xdr:to>
      <xdr:col>15</xdr:col>
      <xdr:colOff>428625</xdr:colOff>
      <xdr:row>17</xdr:row>
      <xdr:rowOff>4445</xdr:rowOff>
    </xdr:to>
    <xdr:graphicFrame>
      <xdr:nvGraphicFramePr>
        <xdr:cNvPr id="2" name="Диаграмма 1"/>
        <xdr:cNvGraphicFramePr/>
      </xdr:nvGraphicFramePr>
      <xdr:xfrm>
        <a:off x="7890510" y="528320"/>
        <a:ext cx="57054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161925</xdr:colOff>
      <xdr:row>2</xdr:row>
      <xdr:rowOff>4445</xdr:rowOff>
    </xdr:from>
    <xdr:to>
      <xdr:col>20</xdr:col>
      <xdr:colOff>466725</xdr:colOff>
      <xdr:row>16</xdr:row>
      <xdr:rowOff>80645</xdr:rowOff>
    </xdr:to>
    <xdr:graphicFrame>
      <xdr:nvGraphicFramePr>
        <xdr:cNvPr id="2" name="Диаграмма 1"/>
        <xdr:cNvGraphicFramePr/>
      </xdr:nvGraphicFramePr>
      <xdr:xfrm>
        <a:off x="10191750" y="404495"/>
        <a:ext cx="57054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3"/>
  <sheetViews>
    <sheetView workbookViewId="0">
      <selection activeCell="D23" sqref="D23"/>
    </sheetView>
  </sheetViews>
  <sheetFormatPr defaultColWidth="9" defaultRowHeight="15.75"/>
  <cols>
    <col min="3" max="3" width="12" customWidth="1"/>
  </cols>
  <sheetData>
    <row r="1" spans="3:14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15">
      <c r="B2" s="12" t="s">
        <v>0</v>
      </c>
      <c r="C2" s="13">
        <v>4.71238898038469</v>
      </c>
      <c r="D2" s="14"/>
      <c r="E2" s="13">
        <v>3.14159265358979</v>
      </c>
      <c r="F2" s="14"/>
      <c r="G2" s="13">
        <v>1.5707963267949</v>
      </c>
      <c r="H2" s="14"/>
      <c r="I2" s="13">
        <v>-1.5707963267949</v>
      </c>
      <c r="J2" s="14"/>
      <c r="K2" s="13">
        <v>-3.14159265358979</v>
      </c>
      <c r="L2" s="14"/>
      <c r="M2" s="13">
        <v>-4.71238898038469</v>
      </c>
      <c r="N2" s="14"/>
      <c r="O2">
        <v>0</v>
      </c>
    </row>
    <row r="3" spans="2:14">
      <c r="B3" s="2"/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</row>
    <row r="4" spans="2:14">
      <c r="B4" s="2"/>
      <c r="C4" s="15">
        <v>0.39</v>
      </c>
      <c r="D4" s="15">
        <v>280</v>
      </c>
      <c r="E4" s="15">
        <v>0.25</v>
      </c>
      <c r="F4" s="15">
        <v>271</v>
      </c>
      <c r="G4" s="15">
        <v>0.13</v>
      </c>
      <c r="H4" s="15">
        <v>277</v>
      </c>
      <c r="I4" s="15">
        <v>0.14</v>
      </c>
      <c r="J4" s="15">
        <v>275</v>
      </c>
      <c r="K4" s="15">
        <v>0.36</v>
      </c>
      <c r="L4" s="15">
        <v>275</v>
      </c>
      <c r="M4" s="15">
        <v>0.38</v>
      </c>
      <c r="N4" s="15">
        <v>275</v>
      </c>
    </row>
    <row r="5" spans="2:14">
      <c r="B5" s="2"/>
      <c r="C5" s="15">
        <v>0.54</v>
      </c>
      <c r="D5" s="15">
        <v>193</v>
      </c>
      <c r="E5" s="15">
        <v>0.39</v>
      </c>
      <c r="F5" s="15">
        <v>179</v>
      </c>
      <c r="G5" s="15">
        <v>0.19</v>
      </c>
      <c r="H5" s="15">
        <v>188</v>
      </c>
      <c r="I5" s="15">
        <v>0.2</v>
      </c>
      <c r="J5" s="15">
        <v>194</v>
      </c>
      <c r="K5" s="15">
        <v>0.36</v>
      </c>
      <c r="L5" s="15">
        <v>200</v>
      </c>
      <c r="M5" s="15">
        <v>0.54</v>
      </c>
      <c r="N5" s="15">
        <v>194</v>
      </c>
    </row>
    <row r="6" spans="2:14">
      <c r="B6" s="2"/>
      <c r="C6" s="15">
        <v>0.9</v>
      </c>
      <c r="D6" s="15">
        <v>115</v>
      </c>
      <c r="E6" s="15">
        <v>0.8</v>
      </c>
      <c r="F6" s="15">
        <v>85</v>
      </c>
      <c r="G6" s="15">
        <v>0.36</v>
      </c>
      <c r="H6" s="15">
        <v>103</v>
      </c>
      <c r="I6" s="15">
        <v>0.38</v>
      </c>
      <c r="J6" s="15">
        <v>105</v>
      </c>
      <c r="K6" s="15">
        <v>0.78</v>
      </c>
      <c r="L6" s="15">
        <v>94</v>
      </c>
      <c r="M6" s="15">
        <v>0.96</v>
      </c>
      <c r="N6" s="15">
        <v>111</v>
      </c>
    </row>
    <row r="7" spans="2:15">
      <c r="B7" s="2" t="s">
        <v>3</v>
      </c>
      <c r="C7" s="13">
        <f>SUM(C4*D4,C5*D5,C6*D6)/1000/3</f>
        <v>0.10564</v>
      </c>
      <c r="D7" s="14"/>
      <c r="E7" s="13">
        <f>SUM(E4*F4,E5*F5,E6*F6)/1000/3</f>
        <v>0.06852</v>
      </c>
      <c r="F7" s="14"/>
      <c r="G7" s="13">
        <f t="shared" ref="G7" si="0">SUM(G4*H4,G5*H5,G6*H6)/1000/3</f>
        <v>0.03627</v>
      </c>
      <c r="H7" s="14"/>
      <c r="I7" s="13">
        <f>-SUM(I4*J4,I5*J5,I6*J6)/1000/3</f>
        <v>-0.0390666666666667</v>
      </c>
      <c r="J7" s="14"/>
      <c r="K7" s="13">
        <f t="shared" ref="K7" si="1">-SUM(K4*L4,K5*L5,K6*L6)/1000/3</f>
        <v>-0.08144</v>
      </c>
      <c r="L7" s="14"/>
      <c r="M7" s="13">
        <f t="shared" ref="M7" si="2">-SUM(M4*N4,M5*N5,M6*N6)/1000/3</f>
        <v>-0.105273333333333</v>
      </c>
      <c r="N7" s="14"/>
      <c r="O7">
        <v>0</v>
      </c>
    </row>
    <row r="8" spans="2:3">
      <c r="B8" s="12" t="s">
        <v>4</v>
      </c>
      <c r="C8">
        <v>0</v>
      </c>
    </row>
    <row r="9" spans="2:3">
      <c r="B9" t="s">
        <v>5</v>
      </c>
      <c r="C9">
        <f>SUM(C7:O7)/7</f>
        <v>-0.00219285714285714</v>
      </c>
    </row>
    <row r="10" spans="2:3">
      <c r="B10" t="s">
        <v>6</v>
      </c>
      <c r="C10">
        <f>((C2-C8)*(C7-C9)+(E2-C8)*(E7-C9)+(G2-C8)*(G7-C9)+(I2-C8)*(I7-C9)+(K2-C8)*(K7-C9)+(M2-C8)*(M7-C9)+(O2-C8)*(O7-C9))/(C2^2+E2^2+G2^2+I2^2+K2^2+M2^2+O2^2)</f>
        <v>0.0229182360171648</v>
      </c>
    </row>
    <row r="11" spans="2:3">
      <c r="B11" t="s">
        <v>7</v>
      </c>
      <c r="C11">
        <f>C9-C10*C8</f>
        <v>-0.00219285714285714</v>
      </c>
    </row>
    <row r="12" spans="2:14">
      <c r="B12" t="s">
        <v>8</v>
      </c>
      <c r="C12" s="9">
        <f>C7-($C$11+$C$10*C2)</f>
        <v>-0.000166785714285703</v>
      </c>
      <c r="D12" s="9"/>
      <c r="E12" s="9">
        <f t="shared" ref="E12:N12" si="3">E7-($C$11+$C$10*E2)</f>
        <v>-0.00128690476190477</v>
      </c>
      <c r="F12" s="9"/>
      <c r="G12" s="9">
        <f t="shared" ref="G12:N12" si="4">G7-($C$11+$C$10*G2)</f>
        <v>0.00246297619047619</v>
      </c>
      <c r="H12" s="9"/>
      <c r="I12" s="9">
        <f t="shared" ref="I12:N12" si="5">I7-($C$11+$C$10*I2)</f>
        <v>-0.000873928571428581</v>
      </c>
      <c r="J12" s="9"/>
      <c r="K12" s="9">
        <f t="shared" ref="K12:N12" si="6">K7-($C$11+$C$10*K2)</f>
        <v>-0.00724738095238096</v>
      </c>
      <c r="L12" s="9"/>
      <c r="M12" s="9">
        <f>M7-($C$11+$C$10*M2)</f>
        <v>0.00491916666666666</v>
      </c>
      <c r="N12" s="9"/>
    </row>
    <row r="13" spans="2:3">
      <c r="B13" t="s">
        <v>9</v>
      </c>
      <c r="C13">
        <f>SUMSQ(C2:O2)</f>
        <v>69.0872308076255</v>
      </c>
    </row>
    <row r="14" spans="2:4">
      <c r="B14" t="s">
        <v>10</v>
      </c>
      <c r="C14">
        <f>SUMSQ(C12:N12)/C13/(7-2)</f>
        <v>2.46750881662159e-7</v>
      </c>
      <c r="D14">
        <f>SQRT(C14)</f>
        <v>0.00049674025572945</v>
      </c>
    </row>
    <row r="15" spans="2:4">
      <c r="B15" t="s">
        <v>11</v>
      </c>
      <c r="C15">
        <f>SUMSQ(C12:N12)/5/7</f>
        <v>2.43533358762553e-6</v>
      </c>
      <c r="D15">
        <f>SQRT(C15)</f>
        <v>0.00156055553814196</v>
      </c>
    </row>
    <row r="16" spans="2:3">
      <c r="B16" t="s">
        <v>12</v>
      </c>
      <c r="C16">
        <f>2*D14</f>
        <v>0.0009934805114589</v>
      </c>
    </row>
    <row r="18" spans="2:4">
      <c r="B18" t="s">
        <v>13</v>
      </c>
      <c r="C18">
        <f>C10</f>
        <v>0.0229182360171648</v>
      </c>
      <c r="D18">
        <f>C16</f>
        <v>0.0009934805114589</v>
      </c>
    </row>
    <row r="20" spans="2:8">
      <c r="B20" s="16" t="s">
        <v>14</v>
      </c>
      <c r="C20" s="16"/>
      <c r="D20" t="s">
        <v>15</v>
      </c>
      <c r="E20" t="s">
        <v>16</v>
      </c>
      <c r="F20" t="s">
        <v>17</v>
      </c>
      <c r="G20" t="s">
        <v>18</v>
      </c>
      <c r="H20" t="s">
        <v>19</v>
      </c>
    </row>
    <row r="21" spans="2:8">
      <c r="B21" s="16"/>
      <c r="C21" s="16"/>
      <c r="D21" s="17">
        <v>2.78</v>
      </c>
      <c r="E21" s="18">
        <v>2.66</v>
      </c>
      <c r="F21" s="18">
        <v>2.61</v>
      </c>
      <c r="G21">
        <f>SUM(D21:F21)/3</f>
        <v>2.68333333333333</v>
      </c>
      <c r="H21">
        <f>(MAX(D21:F21)-MIN(D21:F21))/2</f>
        <v>0.085</v>
      </c>
    </row>
    <row r="22" spans="3:4">
      <c r="C22" t="s">
        <v>20</v>
      </c>
      <c r="D22">
        <f>C18*G21^2/4/PI()/PI()</f>
        <v>0.00417994629759537</v>
      </c>
    </row>
    <row r="23" spans="3:4">
      <c r="C23" t="s">
        <v>19</v>
      </c>
      <c r="D23">
        <f>D22*SQRT((D18/C18)^2+(2*H21/G21)^2)</f>
        <v>0.000320873486701119</v>
      </c>
    </row>
  </sheetData>
  <mergeCells count="25">
    <mergeCell ref="C1:D1"/>
    <mergeCell ref="E1:F1"/>
    <mergeCell ref="G1:H1"/>
    <mergeCell ref="I1:J1"/>
    <mergeCell ref="K1:L1"/>
    <mergeCell ref="M1:N1"/>
    <mergeCell ref="C2:D2"/>
    <mergeCell ref="E2:F2"/>
    <mergeCell ref="G2:H2"/>
    <mergeCell ref="I2:J2"/>
    <mergeCell ref="K2:L2"/>
    <mergeCell ref="M2:N2"/>
    <mergeCell ref="C7:D7"/>
    <mergeCell ref="E7:F7"/>
    <mergeCell ref="G7:H7"/>
    <mergeCell ref="I7:J7"/>
    <mergeCell ref="K7:L7"/>
    <mergeCell ref="M7:N7"/>
    <mergeCell ref="C12:D12"/>
    <mergeCell ref="E12:F12"/>
    <mergeCell ref="G12:H12"/>
    <mergeCell ref="I12:J12"/>
    <mergeCell ref="K12:L12"/>
    <mergeCell ref="M12:N12"/>
    <mergeCell ref="B20:C2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zoomScale="115" zoomScaleNormal="115" workbookViewId="0">
      <selection activeCell="C23" sqref="C23"/>
    </sheetView>
  </sheetViews>
  <sheetFormatPr defaultColWidth="9" defaultRowHeight="15.75" outlineLevelCol="6"/>
  <cols>
    <col min="3" max="3" width="12.7111111111111" customWidth="1"/>
    <col min="4" max="4" width="13.5555555555556"/>
    <col min="5" max="7" width="12.4444444444444"/>
  </cols>
  <sheetData>
    <row r="2" spans="2:7">
      <c r="B2" s="1" t="s">
        <v>21</v>
      </c>
      <c r="C2" s="1"/>
      <c r="D2" s="1"/>
      <c r="E2" s="1"/>
      <c r="F2" s="1"/>
      <c r="G2" s="1"/>
    </row>
    <row r="3" spans="2:7">
      <c r="B3" s="2" t="s">
        <v>22</v>
      </c>
      <c r="C3" s="2" t="s">
        <v>15</v>
      </c>
      <c r="D3" s="2" t="s">
        <v>16</v>
      </c>
      <c r="E3" s="2" t="s">
        <v>17</v>
      </c>
      <c r="F3" s="2" t="s">
        <v>23</v>
      </c>
      <c r="G3" s="2" t="s">
        <v>24</v>
      </c>
    </row>
    <row r="4" spans="2:7">
      <c r="B4" s="3">
        <v>53</v>
      </c>
      <c r="C4" s="4">
        <v>9.02</v>
      </c>
      <c r="D4" s="4">
        <v>8.92</v>
      </c>
      <c r="E4" s="4">
        <v>9.05</v>
      </c>
      <c r="F4" s="2">
        <f>(B4/1000)^2</f>
        <v>0.002809</v>
      </c>
      <c r="G4" s="2">
        <f>(SUM(C4:E4)/3)^2</f>
        <v>80.9400111111111</v>
      </c>
    </row>
    <row r="5" spans="2:7">
      <c r="B5" s="5">
        <v>73</v>
      </c>
      <c r="C5" s="6">
        <v>9.93</v>
      </c>
      <c r="D5" s="6">
        <v>9.97</v>
      </c>
      <c r="E5" s="6">
        <v>9.98</v>
      </c>
      <c r="F5" s="2">
        <f t="shared" ref="F5:F9" si="0">(B5/1000)^2</f>
        <v>0.005329</v>
      </c>
      <c r="G5" s="2">
        <f t="shared" ref="G5:G9" si="1">(SUM(C5:E5)/3)^2</f>
        <v>99.2016</v>
      </c>
    </row>
    <row r="6" spans="2:7">
      <c r="B6" s="5">
        <v>96</v>
      </c>
      <c r="C6" s="6">
        <v>11.24</v>
      </c>
      <c r="D6" s="6">
        <v>11.21</v>
      </c>
      <c r="E6" s="6">
        <v>11.25</v>
      </c>
      <c r="F6" s="2">
        <f t="shared" si="0"/>
        <v>0.009216</v>
      </c>
      <c r="G6" s="2">
        <f t="shared" si="1"/>
        <v>126.187777777778</v>
      </c>
    </row>
    <row r="7" spans="2:7">
      <c r="B7" s="5">
        <v>120</v>
      </c>
      <c r="C7" s="6">
        <v>12.76</v>
      </c>
      <c r="D7" s="6">
        <v>12.69</v>
      </c>
      <c r="E7" s="6">
        <v>12.71</v>
      </c>
      <c r="F7" s="2">
        <f t="shared" si="0"/>
        <v>0.0144</v>
      </c>
      <c r="G7" s="2">
        <f t="shared" si="1"/>
        <v>161.7984</v>
      </c>
    </row>
    <row r="8" spans="2:7">
      <c r="B8" s="5">
        <v>142</v>
      </c>
      <c r="C8" s="6">
        <v>14.25</v>
      </c>
      <c r="D8" s="6">
        <v>14.19</v>
      </c>
      <c r="E8" s="6">
        <v>14.19</v>
      </c>
      <c r="F8" s="2">
        <f t="shared" si="0"/>
        <v>0.020164</v>
      </c>
      <c r="G8" s="2">
        <f t="shared" si="1"/>
        <v>201.9241</v>
      </c>
    </row>
    <row r="9" spans="2:7">
      <c r="B9" s="5">
        <v>200</v>
      </c>
      <c r="C9" s="6">
        <v>18.49</v>
      </c>
      <c r="D9" s="6">
        <v>18.44</v>
      </c>
      <c r="E9" s="6">
        <v>18.42</v>
      </c>
      <c r="F9" s="2">
        <f t="shared" si="0"/>
        <v>0.04</v>
      </c>
      <c r="G9" s="2">
        <f t="shared" si="1"/>
        <v>340.4025</v>
      </c>
    </row>
    <row r="10" spans="2:7">
      <c r="B10" s="5">
        <v>262</v>
      </c>
      <c r="C10" s="6">
        <v>23.2</v>
      </c>
      <c r="D10" s="6">
        <v>23.12</v>
      </c>
      <c r="E10" s="6">
        <v>23.26</v>
      </c>
      <c r="F10" s="2">
        <f>(B10/1000)^2</f>
        <v>0.068644</v>
      </c>
      <c r="G10" s="2">
        <f>(SUM(C10:E10)/3)^2</f>
        <v>537.930711111111</v>
      </c>
    </row>
    <row r="12" spans="6:7">
      <c r="F12" s="8">
        <f>AVERAGE(F4:F10)</f>
        <v>0.0229374285714286</v>
      </c>
      <c r="G12" s="8">
        <f>AVERAGE(G4:G10)</f>
        <v>221.197871428571</v>
      </c>
    </row>
    <row r="13" spans="2:7">
      <c r="B13" t="s">
        <v>25</v>
      </c>
      <c r="C13" t="s">
        <v>26</v>
      </c>
      <c r="D13" t="s">
        <v>27</v>
      </c>
      <c r="E13" t="s">
        <v>28</v>
      </c>
      <c r="F13" t="s">
        <v>6</v>
      </c>
      <c r="G13" t="s">
        <v>7</v>
      </c>
    </row>
    <row r="14" spans="2:7">
      <c r="B14" s="7">
        <v>7</v>
      </c>
      <c r="C14">
        <f>F4-$F$12</f>
        <v>-0.0201284285714286</v>
      </c>
      <c r="D14">
        <f>G4-$G$12</f>
        <v>-140.25786031746</v>
      </c>
      <c r="E14" s="9">
        <f>C14*D14</f>
        <v>2.82317032298141</v>
      </c>
      <c r="F14" s="7">
        <f>SUM(E14:E20)/SUMSQ(C14:C20)</f>
        <v>6939.44123164452</v>
      </c>
      <c r="G14" s="7">
        <f>G12-F14*F12</f>
        <v>62.0249338520988</v>
      </c>
    </row>
    <row r="15" spans="2:7">
      <c r="B15" s="7"/>
      <c r="C15">
        <f>F5-$F$12</f>
        <v>-0.0176084285714286</v>
      </c>
      <c r="D15">
        <f>G5-$G$12</f>
        <v>-121.996271428571</v>
      </c>
      <c r="E15" s="9">
        <f t="shared" ref="E15:E19" si="2">C15*D15</f>
        <v>2.14816263143061</v>
      </c>
      <c r="F15" s="7"/>
      <c r="G15" s="7"/>
    </row>
    <row r="16" spans="2:7">
      <c r="B16" s="7"/>
      <c r="C16">
        <f>F6-$F$12</f>
        <v>-0.0137214285714286</v>
      </c>
      <c r="D16">
        <f>G6-$G$12</f>
        <v>-95.0100936507936</v>
      </c>
      <c r="E16" s="9">
        <f t="shared" si="2"/>
        <v>1.3036742135941</v>
      </c>
      <c r="F16" s="7"/>
      <c r="G16" s="7"/>
    </row>
    <row r="17" spans="2:7">
      <c r="B17" s="7"/>
      <c r="C17">
        <f>F7-$F$12</f>
        <v>-0.00853742857142858</v>
      </c>
      <c r="D17">
        <f>G7-$G$12</f>
        <v>-59.3994714285715</v>
      </c>
      <c r="E17" s="9">
        <f t="shared" si="2"/>
        <v>0.507118744502042</v>
      </c>
      <c r="F17" s="7"/>
      <c r="G17" s="7"/>
    </row>
    <row r="18" spans="2:7">
      <c r="B18" s="7"/>
      <c r="C18">
        <f>F8-$F$12</f>
        <v>-0.00277342857142858</v>
      </c>
      <c r="D18">
        <f>G8-$G$12</f>
        <v>-19.2737714285715</v>
      </c>
      <c r="E18" s="9">
        <f t="shared" si="2"/>
        <v>0.0534544283591839</v>
      </c>
      <c r="F18" s="7"/>
      <c r="G18" s="7"/>
    </row>
    <row r="19" spans="2:7">
      <c r="B19" s="7"/>
      <c r="C19">
        <f>F9-$F$12</f>
        <v>0.0170625714285714</v>
      </c>
      <c r="D19">
        <f>G9-$G$12</f>
        <v>119.204628571429</v>
      </c>
      <c r="E19" s="9">
        <f t="shared" si="2"/>
        <v>2.03393748961633</v>
      </c>
      <c r="F19" s="7"/>
      <c r="G19" s="7"/>
    </row>
    <row r="20" spans="3:5">
      <c r="C20">
        <f>F10-$F$12</f>
        <v>0.0457065714285714</v>
      </c>
      <c r="D20">
        <f>G10-$G$12</f>
        <v>316.73283968254</v>
      </c>
      <c r="E20" s="9">
        <f>C20*D20</f>
        <v>14.4767721607243</v>
      </c>
    </row>
    <row r="21" spans="2:3">
      <c r="B21" t="s">
        <v>29</v>
      </c>
      <c r="C21">
        <f>F14*Лист1!C18/8/PI()/PI()</f>
        <v>2.01426198952462</v>
      </c>
    </row>
    <row r="22" spans="2:3">
      <c r="B22" t="s">
        <v>30</v>
      </c>
      <c r="C22" s="10">
        <f>(G14*Лист1!C18/4/PI()/PI()-Лист1!D22)/2</f>
        <v>0.0159135609241401</v>
      </c>
    </row>
    <row r="23" spans="2:3">
      <c r="B23" t="s">
        <v>31</v>
      </c>
      <c r="C23" s="10">
        <f>C21*(0.015^2/4+0.04^2/12)</f>
        <v>0.00038187050218071</v>
      </c>
    </row>
  </sheetData>
  <mergeCells count="4">
    <mergeCell ref="B2:G2"/>
    <mergeCell ref="B14:B19"/>
    <mergeCell ref="F14:F19"/>
    <mergeCell ref="G14:G19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tabSelected="1" workbookViewId="0">
      <selection activeCell="F14" sqref="F14:F18"/>
    </sheetView>
  </sheetViews>
  <sheetFormatPr defaultColWidth="9" defaultRowHeight="15.75" outlineLevelCol="6"/>
  <sheetData>
    <row r="2" spans="2:7">
      <c r="B2" s="1" t="s">
        <v>21</v>
      </c>
      <c r="C2" s="1"/>
      <c r="D2" s="1"/>
      <c r="E2" s="1"/>
      <c r="F2" s="1"/>
      <c r="G2" s="1"/>
    </row>
    <row r="3" spans="2:7">
      <c r="B3" s="2" t="s">
        <v>22</v>
      </c>
      <c r="C3" s="2" t="s">
        <v>15</v>
      </c>
      <c r="D3" s="2" t="s">
        <v>16</v>
      </c>
      <c r="E3" s="2" t="s">
        <v>17</v>
      </c>
      <c r="F3" s="2" t="s">
        <v>23</v>
      </c>
      <c r="G3" s="2" t="s">
        <v>24</v>
      </c>
    </row>
    <row r="4" spans="2:7">
      <c r="B4" s="3">
        <v>0</v>
      </c>
      <c r="C4" s="4">
        <v>8.19</v>
      </c>
      <c r="D4" s="4">
        <v>8.13</v>
      </c>
      <c r="E4" s="4">
        <v>8.12</v>
      </c>
      <c r="F4" s="2">
        <f>(B4/1000)^2</f>
        <v>0</v>
      </c>
      <c r="G4" s="2">
        <f>(SUM(C4:E4)/3)^2</f>
        <v>66.3681777777778</v>
      </c>
    </row>
    <row r="5" spans="2:7">
      <c r="B5" s="5">
        <v>30</v>
      </c>
      <c r="C5" s="6">
        <v>8.4</v>
      </c>
      <c r="D5" s="6">
        <v>8.45</v>
      </c>
      <c r="E5" s="6">
        <v>8.46</v>
      </c>
      <c r="F5" s="2">
        <f t="shared" ref="F5:F9" si="0">(B5/1000)^2</f>
        <v>0.0009</v>
      </c>
      <c r="G5" s="2">
        <f t="shared" ref="G5:G9" si="1">(SUM(C5:E5)/3)^2</f>
        <v>71.1773444444445</v>
      </c>
    </row>
    <row r="6" spans="2:7">
      <c r="B6" s="5">
        <v>60</v>
      </c>
      <c r="C6" s="6">
        <v>9.24</v>
      </c>
      <c r="D6" s="6">
        <v>9.26</v>
      </c>
      <c r="E6" s="6">
        <v>9.24</v>
      </c>
      <c r="F6" s="2">
        <f t="shared" si="0"/>
        <v>0.0036</v>
      </c>
      <c r="G6" s="2">
        <f t="shared" si="1"/>
        <v>85.5008444444445</v>
      </c>
    </row>
    <row r="7" spans="2:7">
      <c r="B7" s="5">
        <v>90</v>
      </c>
      <c r="C7" s="6">
        <v>10.72</v>
      </c>
      <c r="D7" s="6">
        <v>10.69</v>
      </c>
      <c r="E7" s="6">
        <v>10.63</v>
      </c>
      <c r="F7" s="2">
        <f t="shared" si="0"/>
        <v>0.0081</v>
      </c>
      <c r="G7" s="2">
        <f t="shared" si="1"/>
        <v>114.0624</v>
      </c>
    </row>
    <row r="8" spans="2:7">
      <c r="B8" s="5">
        <v>120</v>
      </c>
      <c r="C8" s="6">
        <v>12.42</v>
      </c>
      <c r="D8" s="6">
        <v>12.36</v>
      </c>
      <c r="E8" s="6">
        <v>12.37</v>
      </c>
      <c r="F8" s="2">
        <f t="shared" si="0"/>
        <v>0.0144</v>
      </c>
      <c r="G8" s="2">
        <f t="shared" si="1"/>
        <v>153.346944444444</v>
      </c>
    </row>
    <row r="9" spans="2:7">
      <c r="B9" s="2"/>
      <c r="C9" s="2"/>
      <c r="D9" s="2"/>
      <c r="E9" s="2"/>
      <c r="F9" s="8">
        <f>AVERAGE(F4:F8)</f>
        <v>0.0054</v>
      </c>
      <c r="G9" s="8">
        <f>AVERAGE(G4:G8)</f>
        <v>98.0911422222222</v>
      </c>
    </row>
    <row r="13" spans="2:7">
      <c r="B13" t="s">
        <v>25</v>
      </c>
      <c r="C13" t="s">
        <v>26</v>
      </c>
      <c r="D13" t="s">
        <v>27</v>
      </c>
      <c r="E13" t="s">
        <v>28</v>
      </c>
      <c r="F13" t="s">
        <v>6</v>
      </c>
      <c r="G13" t="s">
        <v>7</v>
      </c>
    </row>
    <row r="14" spans="2:7">
      <c r="B14" s="7">
        <v>5</v>
      </c>
      <c r="C14">
        <f>F4-$F$9</f>
        <v>-0.0054</v>
      </c>
      <c r="D14">
        <f>G4-$G$9</f>
        <v>-31.7229644444445</v>
      </c>
      <c r="E14" s="9">
        <f>C14*D14</f>
        <v>0.171304008</v>
      </c>
      <c r="F14" s="7">
        <f>SUM(E14:E18)/SUMSQ(C14:C18)</f>
        <v>6069.98190719455</v>
      </c>
      <c r="G14" s="7">
        <f>G9-F14*F9</f>
        <v>65.3132399233717</v>
      </c>
    </row>
    <row r="15" spans="2:7">
      <c r="B15" s="7"/>
      <c r="C15">
        <f>F5-$F$9</f>
        <v>-0.0045</v>
      </c>
      <c r="D15">
        <f>G5-$G$9</f>
        <v>-26.9137977777778</v>
      </c>
      <c r="E15" s="9">
        <f t="shared" ref="E15:E19" si="2">C15*D15</f>
        <v>0.12111209</v>
      </c>
      <c r="F15" s="7"/>
      <c r="G15" s="7"/>
    </row>
    <row r="16" spans="2:7">
      <c r="B16" s="7"/>
      <c r="C16">
        <f>F6-$F$9</f>
        <v>-0.0018</v>
      </c>
      <c r="D16">
        <f>G6-$G$9</f>
        <v>-12.5902977777778</v>
      </c>
      <c r="E16" s="9">
        <f t="shared" si="2"/>
        <v>0.022662536</v>
      </c>
      <c r="F16" s="7"/>
      <c r="G16" s="7"/>
    </row>
    <row r="17" spans="2:7">
      <c r="B17" s="7"/>
      <c r="C17">
        <f>F7-$F$9</f>
        <v>0.0027</v>
      </c>
      <c r="D17">
        <f>G7-$G$9</f>
        <v>15.9712577777778</v>
      </c>
      <c r="E17" s="9">
        <f t="shared" si="2"/>
        <v>0.043122396</v>
      </c>
      <c r="F17" s="7"/>
      <c r="G17" s="7"/>
    </row>
    <row r="18" spans="2:7">
      <c r="B18" s="7"/>
      <c r="C18">
        <f>F8-$F$9</f>
        <v>0.009</v>
      </c>
      <c r="D18">
        <f>G8-$G$9</f>
        <v>55.2558022222222</v>
      </c>
      <c r="E18" s="9">
        <f t="shared" si="2"/>
        <v>0.49730222</v>
      </c>
      <c r="F18" s="7"/>
      <c r="G18" s="7"/>
    </row>
    <row r="19" spans="2:7">
      <c r="B19" s="7"/>
      <c r="E19" s="9"/>
      <c r="F19" s="7"/>
      <c r="G19" s="7"/>
    </row>
    <row r="20" spans="3:3">
      <c r="C20">
        <f>G4*Лист1!C18/4/PI()/PI()</f>
        <v>0.0385284328663765</v>
      </c>
    </row>
  </sheetData>
  <mergeCells count="4">
    <mergeCell ref="B2:G2"/>
    <mergeCell ref="B14:B18"/>
    <mergeCell ref="F14:F18"/>
    <mergeCell ref="G14:G1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Таблица 2</vt:lpstr>
      <vt:lpstr>Таблица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kaladin</cp:lastModifiedBy>
  <dcterms:created xsi:type="dcterms:W3CDTF">2006-09-16T03:00:00Z</dcterms:created>
  <dcterms:modified xsi:type="dcterms:W3CDTF">2022-06-02T16:33:27Z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